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15" windowWidth="7650" windowHeight="8985" tabRatio="714" activeTab="2"/>
  </bookViews>
  <sheets>
    <sheet name="toelichting" sheetId="1" r:id="rId1"/>
    <sheet name="deeln" sheetId="2" state="hidden" r:id="rId2"/>
    <sheet name="lln" sheetId="3" r:id="rId3"/>
    <sheet name="begr" sheetId="4" r:id="rId4"/>
    <sheet name="form" sheetId="5" r:id="rId5"/>
    <sheet name="mip" sheetId="6" r:id="rId6"/>
    <sheet name="act" sheetId="7" r:id="rId7"/>
    <sheet name="expl" sheetId="8" r:id="rId8"/>
    <sheet name="bal" sheetId="9" r:id="rId9"/>
    <sheet name="hulp kosten functies" sheetId="10" r:id="rId10"/>
    <sheet name="hulp bas" sheetId="11" state="hidden" r:id="rId11"/>
    <sheet name="hulp sbo" sheetId="12" state="hidden" r:id="rId12"/>
    <sheet name="tab" sheetId="13" r:id="rId13"/>
  </sheets>
  <definedNames>
    <definedName name="_xlnm.Print_Area" localSheetId="6">'act'!$B$2:$Q$63</definedName>
    <definedName name="_xlnm.Print_Area" localSheetId="8">'bal'!$B$2:$M$54</definedName>
    <definedName name="_xlnm.Print_Area" localSheetId="3">'begr'!$B$2:$M$116</definedName>
    <definedName name="_xlnm.Print_Area" localSheetId="1">'deeln'!$B$2:$H$90</definedName>
    <definedName name="_xlnm.Print_Area" localSheetId="7">'expl'!$B$2:$K$78</definedName>
    <definedName name="_xlnm.Print_Area" localSheetId="4">'form'!$B$2:$AE$135</definedName>
    <definedName name="_xlnm.Print_Area" localSheetId="10">'hulp bas'!$B$2:$BL$91</definedName>
    <definedName name="_xlnm.Print_Area" localSheetId="9">'hulp kosten functies'!$B$2:$Q$95</definedName>
    <definedName name="_xlnm.Print_Area" localSheetId="11">'hulp sbo'!$B$2:$L$95</definedName>
    <definedName name="_xlnm.Print_Area" localSheetId="2">'lln'!$B$2:$M$204</definedName>
    <definedName name="_xlnm.Print_Area" localSheetId="5">'mip'!$B$2:$AB$92</definedName>
    <definedName name="_xlnm.Print_Area" localSheetId="12">'tab'!$B$2:$R$92</definedName>
    <definedName name="_xlnm.Print_Area" localSheetId="0">'toelichting'!$B$2:$P$217</definedName>
    <definedName name="DA">'tab'!$D$104:$Y$140</definedName>
    <definedName name="tabel_schooljaren2">'tab'!#REF!</definedName>
    <definedName name="tabelsalaris">'tab'!$D$96:$Y$140</definedName>
    <definedName name="verhoudingstabel">'tab'!$E$149:$F$190</definedName>
  </definedNames>
  <calcPr fullCalcOnLoad="1"/>
</workbook>
</file>

<file path=xl/comments13.xml><?xml version="1.0" encoding="utf-8"?>
<comments xmlns="http://schemas.openxmlformats.org/spreadsheetml/2006/main">
  <authors>
    <author>Keizer</author>
  </authors>
  <commentList>
    <comment ref="E65" authorId="0">
      <text>
        <r>
          <rPr>
            <sz val="8"/>
            <rFont val="Tahoma"/>
            <family val="2"/>
          </rPr>
          <t xml:space="preserve">Jaarlijkse aanpassing conform opgave programma van eisen SBO in oktober van elk jaar. </t>
        </r>
      </text>
    </comment>
    <comment ref="E56" authorId="0">
      <text>
        <r>
          <rPr>
            <sz val="8"/>
            <rFont val="Tahoma"/>
            <family val="2"/>
          </rPr>
          <t xml:space="preserve">Jaarlijkse aanpassing conform opgave programma van eisen SWV  in oktober van elk jaar. </t>
        </r>
      </text>
    </comment>
    <comment ref="E94" authorId="0">
      <text>
        <r>
          <rPr>
            <sz val="10"/>
            <rFont val="Tahoma"/>
            <family val="2"/>
          </rPr>
          <t>Cfi: nov 07.</t>
        </r>
      </text>
    </comment>
    <comment ref="E64" authorId="0">
      <text>
        <r>
          <rPr>
            <sz val="8"/>
            <rFont val="Tahoma"/>
            <family val="2"/>
          </rPr>
          <t xml:space="preserve">Gemiddelde bedrag vastgesteld op basis van berekening met Londo SBO. </t>
        </r>
      </text>
    </comment>
    <comment ref="E72" authorId="0">
      <text>
        <r>
          <rPr>
            <sz val="8"/>
            <rFont val="Tahoma"/>
            <family val="2"/>
          </rPr>
          <t xml:space="preserve">Jaarlijkse aanpassing conform opgave programma van eisen SBO in oktober van elk jaar. </t>
        </r>
      </text>
    </comment>
    <comment ref="E71" authorId="0">
      <text>
        <r>
          <rPr>
            <sz val="8"/>
            <rFont val="Tahoma"/>
            <family val="2"/>
          </rPr>
          <t xml:space="preserve">Gemiddelde bedrag vastgesteld op basis van berekening met Londo SBO. </t>
        </r>
      </text>
    </comment>
    <comment ref="E83" authorId="0">
      <text>
        <r>
          <rPr>
            <sz val="9"/>
            <rFont val="Tahoma"/>
            <family val="2"/>
          </rPr>
          <t>Voor 07-08 is de regeling aangepast waarbij ook de compensatiehoeveelheid schoolgewicht wordt meegeteld. Zie daarvoor de Regeling artikel 37 met toelichting.</t>
        </r>
      </text>
    </comment>
  </commentList>
</comments>
</file>

<file path=xl/comments3.xml><?xml version="1.0" encoding="utf-8"?>
<comments xmlns="http://schemas.openxmlformats.org/spreadsheetml/2006/main">
  <authors>
    <author>Keizer</author>
  </authors>
  <commentList>
    <comment ref="E27" authorId="0">
      <text>
        <r>
          <rPr>
            <sz val="9"/>
            <rFont val="Tahoma"/>
            <family val="2"/>
          </rPr>
          <t>Voor 07-08 is de regeling aangepast waarbij ook de compensatiehoeveelheid schoolgewicht wordt meegeteld. Zie daarvoor de Regeling artikel 37 met toelichting.</t>
        </r>
      </text>
    </comment>
    <comment ref="E26" authorId="0">
      <text>
        <r>
          <rPr>
            <sz val="8"/>
            <rFont val="Tahoma"/>
            <family val="0"/>
          </rPr>
          <t>In het werkblad 'bas' (zie toelichting) kan het aantal leerlingen per basisschool worden gespecificeerd en getotaliseerd voor zorgformatie en zorgbedrag.</t>
        </r>
      </text>
    </comment>
    <comment ref="E64" authorId="0">
      <text>
        <r>
          <rPr>
            <b/>
            <sz val="8"/>
            <rFont val="Tahoma"/>
            <family val="0"/>
          </rPr>
          <t>Verrekening grens-verkeer vindt tussen SWV-en plaats! 
Zie toelichting.</t>
        </r>
      </text>
    </comment>
    <comment ref="E79" authorId="0">
      <text>
        <r>
          <rPr>
            <sz val="8"/>
            <rFont val="Tahoma"/>
            <family val="2"/>
          </rPr>
          <t>De overdracht van de MI vindt volgens de wet plaats op basis van de teldatum 1 okt. T-1. Het verband kan besluiten om de overdracht te laten plaats vinden op basis van de peildatum, zoals dat ook voor de formatie geldt. Hier kunt u opgeven of u de overdracht op basis van de peildatum wilt laten plaats vinden.</t>
        </r>
      </text>
    </comment>
  </commentList>
</comments>
</file>

<file path=xl/comments4.xml><?xml version="1.0" encoding="utf-8"?>
<comments xmlns="http://schemas.openxmlformats.org/spreadsheetml/2006/main">
  <authors>
    <author>Keizer</author>
    <author>Goedhart, R.</author>
  </authors>
  <commentList>
    <comment ref="E15" authorId="0">
      <text>
        <r>
          <rPr>
            <sz val="9"/>
            <rFont val="Tahoma"/>
            <family val="2"/>
          </rPr>
          <t>Betreft momenteel Regeling Impuls SMW.</t>
        </r>
      </text>
    </comment>
    <comment ref="E81" authorId="0">
      <text>
        <r>
          <rPr>
            <sz val="9"/>
            <rFont val="Tahoma"/>
            <family val="2"/>
          </rPr>
          <t>Bij keuze voor peildatum betreft het zowel het basisbedrag als het zorgbedrag.</t>
        </r>
      </text>
    </comment>
    <comment ref="E40" authorId="1">
      <text>
        <r>
          <rPr>
            <sz val="8"/>
            <rFont val="Tahoma"/>
            <family val="0"/>
          </rPr>
          <t xml:space="preserve">
zie werkblad form</t>
        </r>
      </text>
    </comment>
  </commentList>
</comments>
</file>

<file path=xl/comments5.xml><?xml version="1.0" encoding="utf-8"?>
<comments xmlns="http://schemas.openxmlformats.org/spreadsheetml/2006/main">
  <authors>
    <author>Keizer</author>
  </authors>
  <commentList>
    <comment ref="P14" authorId="0">
      <text>
        <r>
          <rPr>
            <sz val="9"/>
            <rFont val="Tahoma"/>
            <family val="2"/>
          </rPr>
          <t xml:space="preserve">
Opgave van WTF BAPO is positief getal en dat wordt in mindering gebracht op reguliere WTF
</t>
        </r>
      </text>
    </comment>
  </commentList>
</comments>
</file>

<file path=xl/comments6.xml><?xml version="1.0" encoding="utf-8"?>
<comments xmlns="http://schemas.openxmlformats.org/spreadsheetml/2006/main">
  <authors>
    <author>Goedhart, R.</author>
  </authors>
  <commentList>
    <comment ref="E10" authorId="0">
      <text>
        <r>
          <rPr>
            <sz val="8"/>
            <rFont val="Tahoma"/>
            <family val="0"/>
          </rPr>
          <t xml:space="preserve">
hoeft niet te worden ingevuld</t>
        </r>
      </text>
    </comment>
  </commentList>
</comments>
</file>

<file path=xl/comments7.xml><?xml version="1.0" encoding="utf-8"?>
<comments xmlns="http://schemas.openxmlformats.org/spreadsheetml/2006/main">
  <authors>
    <author>Goedhart, R.</author>
  </authors>
  <commentList>
    <comment ref="D42" authorId="0">
      <text>
        <r>
          <rPr>
            <sz val="8"/>
            <rFont val="Tahoma"/>
            <family val="0"/>
          </rPr>
          <t xml:space="preserve">
Slechts invullen indien u een eerste waardering/ nul-meting/ inventarisatie heeft uitgevoerd in het kader van de startbalans.
Deze afschrijvingsbedragen kan u halen van uw nul-meting/ overzicht eerste waardering 
</t>
        </r>
      </text>
    </comment>
  </commentList>
</comments>
</file>

<file path=xl/sharedStrings.xml><?xml version="1.0" encoding="utf-8"?>
<sst xmlns="http://schemas.openxmlformats.org/spreadsheetml/2006/main" count="1231" uniqueCount="603">
  <si>
    <t xml:space="preserve">Alleen de gegevens omtrent de financiele baten en lasten moeten nog worden opgegeven. Als er sprake is van baten en lasten van de </t>
  </si>
  <si>
    <t>buitengewone bedrijfsvoering (meestal is dat niet het geval) dan moeten ook deze gegevens worden opgenomen.</t>
  </si>
  <si>
    <t>De indeling van de exploitatiebegroting volgt nauwgezet de betreffende voorschriften omtrent de jaarrekening.</t>
  </si>
  <si>
    <t>Ook de Balans volgt de indeling conform de voorschriften voor de jaarrekening.</t>
  </si>
  <si>
    <t xml:space="preserve">De financien van een SWV vormen over het algemeen een overzichtelijk en eenvoudig geheel. </t>
  </si>
  <si>
    <t>Veel balansposten zullen daarom niet of nauwelijke aan de orde zijn.</t>
  </si>
  <si>
    <t>Werkblad 'hulp kosten functies'</t>
  </si>
  <si>
    <t>deelnemend bevoegd gezag, bij de centrale dienst of op een andere wijze ingeschakeld worden.</t>
  </si>
  <si>
    <t xml:space="preserve">Nu er met geld gewerkt wordt moeten de kosten van personeelsleden geraamd worden die in dienst zijn bij een in het verband </t>
  </si>
  <si>
    <t>Een dergelijke raming van kosten kan heel gedetailleerd (en tijdrovend) gebeuren, maar men kan ook een meer globale benadering kiezen.</t>
  </si>
  <si>
    <t>voor een functie geldt, in plaats van de leeftijdsafhankelijke vergoeding er bij te betrekken.</t>
  </si>
  <si>
    <t xml:space="preserve">Het is sterk af te raden om loonkosten bij het samenwerkingsverband te laten declareren. Een duidelijke afspraak van te voren over de te betalen </t>
  </si>
  <si>
    <t>kosten geeft beide partijen duidelijkheid en zekerheid.</t>
  </si>
  <si>
    <t>omtrent toekenning van middelen aan de basisscholen automatisch laten berekenen.</t>
  </si>
  <si>
    <t>Werkblad 'mip'</t>
  </si>
  <si>
    <t xml:space="preserve">In dit werkblad MeerjarenInvesteringsPlan worden de afschrijvingen bepaald die ten laste van de (materiële) exploitatie van de school </t>
  </si>
  <si>
    <t xml:space="preserve">worden gebracht. Hiervoor is het vereist dat alle investeringen vanaf 1 januari 2006 en de toekomstige investeringen (gedurende tenminste </t>
  </si>
  <si>
    <t>de komende vijf jaren) in kaart worden gebracht.</t>
  </si>
  <si>
    <t>Het werkblad geeft ook een overzicht van hetgeen is ingevuld als meerjareninvestering, de activa en de afschrijvingen.</t>
  </si>
  <si>
    <t>Werkblad 'bal'</t>
  </si>
  <si>
    <t>Werkblad 'toelichting'</t>
  </si>
  <si>
    <t>Reinier Goedhart (tel.: 0348-405220) e-mail: Rgoedhart@vosabb.nl</t>
  </si>
  <si>
    <t>Bé Keizer (tel.: 0348-405251) e-mail: BKeizer@vosabb.nl of</t>
  </si>
  <si>
    <t>Omvang overdrachtsverplichtingen aan SBO</t>
  </si>
  <si>
    <t xml:space="preserve">In dit werkblad wordt ook de omvang berekend van de overdrachtsverplichtingen die gelden aan de SBO in verband met het aantal leerlingen </t>
  </si>
  <si>
    <t xml:space="preserve">boven de 2%. Daarbij is de keuze van de peildatum van groot belang. Voor de MI is er de keuze om de overdracht ook te baseren </t>
  </si>
  <si>
    <t>op de peildatum in plaats van op de teldatum van 1 oktober. Het advies is om voor die peildatum te kiezen als grondslag voor de overdracht.</t>
  </si>
  <si>
    <t>De overdracht van de MI wordt afzonderlijk ook omgerekend van kalender- naar schooljaar.</t>
  </si>
  <si>
    <t xml:space="preserve">In de situatie dat het aantal leerlingen van de SBO lager is dan de 2% van het SWV wordt de overdracht negatief zoals hiervoor </t>
  </si>
  <si>
    <t>bij Algemeen al is aangestipt.</t>
  </si>
  <si>
    <t xml:space="preserve">Geadviseerd wordt om kritisch te zijn ten aanzien van de omvang van de algemene reserve en slechts een omvang aan te houden die </t>
  </si>
  <si>
    <t>stevig onderbouwd kan worden.</t>
  </si>
  <si>
    <t>tabel schooljaren</t>
  </si>
  <si>
    <t>Adres</t>
  </si>
  <si>
    <t>PC en Woonplaats</t>
  </si>
  <si>
    <t>Telefoon</t>
  </si>
  <si>
    <t>Fax</t>
  </si>
  <si>
    <t>E-mail</t>
  </si>
  <si>
    <t>Administratienummer</t>
  </si>
  <si>
    <t>Aantal leerlingen basisscholen 1 oktober T-1</t>
  </si>
  <si>
    <t>Aantal leerlingen sbo-2 op 1 oktober T-1</t>
  </si>
  <si>
    <t>Aantal leerlingen sbo-1 op 1 oktober T-1</t>
  </si>
  <si>
    <t>Aantal leerlingen sbo-3 op 1 oktober T-1</t>
  </si>
  <si>
    <t>Aantal leerlingen sbo-4 op 1 oktober T-1</t>
  </si>
  <si>
    <t>2% leerlingen SWV op 1 oktober T-1</t>
  </si>
  <si>
    <t>Leerlingen op 1 oktober T-1</t>
  </si>
  <si>
    <t>Cumi-leerlingen</t>
  </si>
  <si>
    <t>Leerlingen peildatum</t>
  </si>
  <si>
    <t>Deelname in andere SWV-en</t>
  </si>
  <si>
    <t>Toe te rekenen aantal leerlingen eigen SWV</t>
  </si>
  <si>
    <t>Aantal leerlingen PO op 1 oktober T-1</t>
  </si>
  <si>
    <t>Aantal ll. sbo-1 op peildatum vorig schooljaar</t>
  </si>
  <si>
    <t>Aantal ll. sbo-2 op peildatum vorig schooljaar</t>
  </si>
  <si>
    <t>Aantal ll. sbo-3 op peildatum vorig schooljaar</t>
  </si>
  <si>
    <t>Aantal ll. sbo-4 op peildatum vorig schooljaar</t>
  </si>
  <si>
    <t>Grensverkeer</t>
  </si>
  <si>
    <t>Totaal aantal leerlingen sbo's 1 okt T-1</t>
  </si>
  <si>
    <t>Totaal aantal leerlingen sbo's peildatum</t>
  </si>
  <si>
    <t>Uitgaven</t>
  </si>
  <si>
    <t>Leerlingen sbo</t>
  </si>
  <si>
    <t>Percentages 1 oktober T-1</t>
  </si>
  <si>
    <t>Activiteit 1</t>
  </si>
  <si>
    <t>Toegekende middelen in geld voor MI</t>
  </si>
  <si>
    <t>5.1</t>
  </si>
  <si>
    <t>5.2</t>
  </si>
  <si>
    <t>5.3</t>
  </si>
  <si>
    <t>5.4</t>
  </si>
  <si>
    <t>5.5</t>
  </si>
  <si>
    <t>5.6</t>
  </si>
  <si>
    <t>5.7</t>
  </si>
  <si>
    <t>5.8</t>
  </si>
  <si>
    <t>Activiteit 2</t>
  </si>
  <si>
    <t>Activiteit 3</t>
  </si>
  <si>
    <t>Activiteit 4</t>
  </si>
  <si>
    <t>Activiteit 5</t>
  </si>
  <si>
    <t>Activiteit 6</t>
  </si>
  <si>
    <t>Activiteit 7</t>
  </si>
  <si>
    <t>Activiteit 8</t>
  </si>
  <si>
    <t>Activiteit 9</t>
  </si>
  <si>
    <t>Tabellen</t>
  </si>
  <si>
    <t>Zorgformatie</t>
  </si>
  <si>
    <t>SBO</t>
  </si>
  <si>
    <t>basisformatie</t>
  </si>
  <si>
    <t>zorgformatie</t>
  </si>
  <si>
    <t>formatie BOA (cumi)</t>
  </si>
  <si>
    <t>Sbo's Totaal</t>
  </si>
  <si>
    <t>2% leerlingen SWV</t>
  </si>
  <si>
    <t>zorgbedrag</t>
  </si>
  <si>
    <t>totaal</t>
  </si>
  <si>
    <t>minus ll. inkomend grensverkeer</t>
  </si>
  <si>
    <t>over te dragen</t>
  </si>
  <si>
    <t>maximale bijdrage</t>
  </si>
  <si>
    <t>Aantal ll. bas. ond. eigen SWV</t>
  </si>
  <si>
    <t>Aantal ll. bas. onderwijs SWV-2</t>
  </si>
  <si>
    <t>Aantal ll. bas. onderwijs SWV-3</t>
  </si>
  <si>
    <t>Aantal ll. bas. onderwijs SWV-4</t>
  </si>
  <si>
    <t>Inkomsten van het Rijk</t>
  </si>
  <si>
    <t>Algemeen</t>
  </si>
  <si>
    <t>Wellicht overbodig te zeggen dat het verstandig is een beveiligd exemplaar achter de hand te houden.</t>
  </si>
  <si>
    <t>van het samenwerkingsverband als zodanig. Daardoor blijven veel details van de bekostiging van de sbo buiten beeld.</t>
  </si>
  <si>
    <t xml:space="preserve">tussen de centrale diensten van de samenwerkingsverbanden. Dat heeft het grote voordeel dat voor het grensverkeer geen </t>
  </si>
  <si>
    <t xml:space="preserve">complexe berekening in verband met de overdracht aan de sbo meer nodig is. Uiteraard blijft het wel strikt noodzakelijk om </t>
  </si>
  <si>
    <t xml:space="preserve">het inkomend en uitgaand grensverkeer nauwkeurig te administreren. De bekostiging van de sbo beperkt zich voor het </t>
  </si>
  <si>
    <t xml:space="preserve">samenwerkingsverband nu tot de overdrachtsverplichting in verband met het aantal leerlingen op de peildatum. Desgewenst </t>
  </si>
  <si>
    <t>kan men nog nadere afspraken maken omtrent het grensverkeer dat na de peildatum nog op de sbo wordt ingeschreven.</t>
  </si>
  <si>
    <t>De inkomsten en uitgaven van de sbo('s) worden bijvoorbeeld alleen berekend voorzover het gaat om de overdrachtsverplichting</t>
  </si>
  <si>
    <t xml:space="preserve">Dat heeft de volgende consequenties: </t>
  </si>
  <si>
    <t xml:space="preserve">de leerlingen die in het eerste jaar na 1 oktober op de sbo zijn ingeschreven, afzonderlijk opgegeven worden in verband met </t>
  </si>
  <si>
    <t>Analoog het uitgaande grensverkeer.</t>
  </si>
  <si>
    <t>aantal leerlingen op de sbo, het totaal aantal minus de leerlingen die als grensverkeerleerling afkomstig zijn uit een ander verband,</t>
  </si>
  <si>
    <t xml:space="preserve">en het totaal minus de leerlingen inkomend grensverkeer, plus de leerlingen uitgaand grensverkeer. Dit laatste percentage </t>
  </si>
  <si>
    <t>geeft het zuiverst het verwijzingspercentage van het verband weer.</t>
  </si>
  <si>
    <t>ingevoerd. De invoer is mogelijk op de gele velden.</t>
  </si>
  <si>
    <t>Bij elke begroting is rechts van de cijfers in geel een veld aangegeven dat ruimte biedt om desgewenst een nadere toelichting te geven</t>
  </si>
  <si>
    <t>bij die posten van de begroting waarvoor dat nodig wordt geacht.</t>
  </si>
  <si>
    <t xml:space="preserve">Bij elke begroting kan ook de omschrijving 'activiteit 1' en volgende, worden vervangen door een meer inhoudelijke omschrijving. </t>
  </si>
  <si>
    <t xml:space="preserve">De afdruk van ieder werkblad in het programma is 'geregeld', maar de instellingen daarvan zijn door iemand met ervaring </t>
  </si>
  <si>
    <t>in Excel te veranderen.</t>
  </si>
  <si>
    <t>post 2.3:</t>
  </si>
  <si>
    <t>De afspraken kunnen leiden tot inkomsten en/of uitgaven (post 4.4)</t>
  </si>
  <si>
    <t>post 6:</t>
  </si>
  <si>
    <t>post 4.5:</t>
  </si>
  <si>
    <t>post 7:</t>
  </si>
  <si>
    <t xml:space="preserve">Het gaat hier om een uitgave van het SWV aan de sbo die niet onder een overdrachtverplichting valt, maar nodig wordt geacht </t>
  </si>
  <si>
    <t>post 1:</t>
  </si>
  <si>
    <t xml:space="preserve">In dit werkblad kunnen de gegevens per basisschool worden opgegeven. De invoering van de feitelijke leerlingaantallen per 1 oktober </t>
  </si>
  <si>
    <t xml:space="preserve">De uitgaven aan basisscholen kunnen hier gespecificeerd worden. Iemand met ervaring in Excel kan een eigen regeling van het SWV  </t>
  </si>
  <si>
    <t>Van iedere Sbo die deelneemt in meerdere SWV-en is het mogelijk de naar rato berekening uit te voeren op basis van het feitelijk</t>
  </si>
  <si>
    <t>aantal basisschoolleerlingen van de betrokken verbanden.</t>
  </si>
  <si>
    <t>Overdrachtsverplichting aan sbo's MI-geld</t>
  </si>
  <si>
    <t>op de bekostiging van de sbo en daardoor op de bekostigingsverplichtingen vanuit het samenwerkingsverband is er onduidelijkheid.</t>
  </si>
  <si>
    <t xml:space="preserve">In plaats van de overdrachtsverplichting van dit grensverkeer direct aan de sbo te bekostigen, wordt dit verrekend </t>
  </si>
  <si>
    <t>Bevat de toelichting zoals hiervoor is weergegeven.</t>
  </si>
  <si>
    <t>a. De overdrachtsverplichting aan de sbo in verband met het inkomende grensverkeer wordt buiten beschouwing gelaten.</t>
  </si>
  <si>
    <t xml:space="preserve">b. De bekostiging van het grensverkeer wordt in dit programma geregeld tussen de betreffende centrale diensten. Daarbij </t>
  </si>
  <si>
    <t xml:space="preserve">Een sbo die in meerdere verbanden functioneert, moet eerst naar rato verdeeld worden. </t>
  </si>
  <si>
    <t>Aantal leerlingen 1 oktober T-1 schooljaar</t>
  </si>
  <si>
    <t>post 2.1:</t>
  </si>
  <si>
    <t>Overdracht MI aan sbo o.b.v. peildatum:</t>
  </si>
  <si>
    <t>j</t>
  </si>
  <si>
    <t xml:space="preserve">De overdracht van de MI vindt volgens de wet plaats op basis van de teldatum 1 okt. T-1. Het verband kan besluiten om de overdracht </t>
  </si>
  <si>
    <t xml:space="preserve">te laten plaats vinden op basis van de peildatum, zoals dat ook voor de formatie geldt. Hier kunt u opgeven of u de overdracht </t>
  </si>
  <si>
    <t xml:space="preserve">In het programma zelf is het mogelijk bij cellen met een rode punt in de rechterbovenhoek informatie te verkrijgen door de </t>
  </si>
  <si>
    <t>worden alle inkomende resp. uitgaande grensverkeerleerlingen bij elkaar gevoegd en wordt niet eerst per centrale dienst afgerond.</t>
  </si>
  <si>
    <t>door het SWV om formatieve en/of personele of andere knelpunten op te lossen.</t>
  </si>
  <si>
    <t>zorgformatie  bao</t>
  </si>
  <si>
    <t>aantal leerlingen bao*</t>
  </si>
  <si>
    <t>extra zorgformatie voor SWV zonder sbao</t>
  </si>
  <si>
    <t>aantal leerlingen bao* 2%*</t>
  </si>
  <si>
    <t>zorgformatie (naar centrale dienst) in fte</t>
  </si>
  <si>
    <t>zorgformatie (naar centrale dienst) de gpl bedragen</t>
  </si>
  <si>
    <t>OP (landelijk) sbao</t>
  </si>
  <si>
    <t>Prijzen per leerling</t>
  </si>
  <si>
    <t>Speciaal Basisonderwijs de gpl bedragen</t>
  </si>
  <si>
    <t>GPL bedragen:</t>
  </si>
  <si>
    <t>Directie</t>
  </si>
  <si>
    <t>OP (landelijk)</t>
  </si>
  <si>
    <t>Toeslag Directie</t>
  </si>
  <si>
    <t>OP  leeftijdsgecorrigeerd: voet</t>
  </si>
  <si>
    <t>OP  leeftijdsgecorrigeerd: bedrag * GGL</t>
  </si>
  <si>
    <t>Landelijke GGL =</t>
  </si>
  <si>
    <t>Begroting formatie in geld</t>
  </si>
  <si>
    <t>Lumpsumbedragen Centrale Dienst SWV</t>
  </si>
  <si>
    <t>vast</t>
  </si>
  <si>
    <t>* GGL</t>
  </si>
  <si>
    <t>GGL van sbo-1 op 1 oktober T-1</t>
  </si>
  <si>
    <t>GGL van sbo-2 op 1 oktober T-1</t>
  </si>
  <si>
    <t>GGL van sbo-3 op 1 oktober T-1</t>
  </si>
  <si>
    <t>GGL van sbo-4 op 1 oktober T-1</t>
  </si>
  <si>
    <t>Landelijke GPL is van toepassing</t>
  </si>
  <si>
    <t>Anders:</t>
  </si>
  <si>
    <t>Toegekende formatiemiddelen in geld</t>
  </si>
  <si>
    <t>Waarvan sbo-1</t>
  </si>
  <si>
    <t>Waarvan sbo-2</t>
  </si>
  <si>
    <t>Waarvan sbo-3</t>
  </si>
  <si>
    <t>Waarvan sbo-4</t>
  </si>
  <si>
    <t>waarvan op sbo-1</t>
  </si>
  <si>
    <t>waarvan op sbo-2</t>
  </si>
  <si>
    <t>waarvan op sbo-3</t>
  </si>
  <si>
    <t>waarvan op sbo-4</t>
  </si>
  <si>
    <t>Overdrachtsverplichting aan alle sbo's MI-geld</t>
  </si>
  <si>
    <t>Overdrachtsverplichting aan alle sbo's MI-geld schooljaar</t>
  </si>
  <si>
    <t>Basisonderwijs de gpl bedragen</t>
  </si>
  <si>
    <t>salaristabellen</t>
  </si>
  <si>
    <t>schaal / regel</t>
  </si>
  <si>
    <t>regels</t>
  </si>
  <si>
    <t>DA</t>
  </si>
  <si>
    <t>DB</t>
  </si>
  <si>
    <t>DBuit</t>
  </si>
  <si>
    <t>DC</t>
  </si>
  <si>
    <t>DCuit</t>
  </si>
  <si>
    <t>DD</t>
  </si>
  <si>
    <t>DE</t>
  </si>
  <si>
    <t>AA</t>
  </si>
  <si>
    <t>AB</t>
  </si>
  <si>
    <t>AC</t>
  </si>
  <si>
    <t>AD</t>
  </si>
  <si>
    <t>AE</t>
  </si>
  <si>
    <t>LA</t>
  </si>
  <si>
    <t>LB</t>
  </si>
  <si>
    <t>LC</t>
  </si>
  <si>
    <t>LD</t>
  </si>
  <si>
    <t>LE</t>
  </si>
  <si>
    <t>LIOa</t>
  </si>
  <si>
    <t>LIOb</t>
  </si>
  <si>
    <t>Naam werknemer</t>
  </si>
  <si>
    <t>P. Werknemer</t>
  </si>
  <si>
    <t xml:space="preserve">Salarisgegevens per 1 augustus, na toekenning reguliere periodieke verhoging </t>
  </si>
  <si>
    <t>schaal</t>
  </si>
  <si>
    <t>regel</t>
  </si>
  <si>
    <t>maximumregel:</t>
  </si>
  <si>
    <t>norm maandsalaris</t>
  </si>
  <si>
    <t>Werktijdfactor</t>
  </si>
  <si>
    <t>wtf x maandsalaris</t>
  </si>
  <si>
    <t>nee</t>
  </si>
  <si>
    <t>ja</t>
  </si>
  <si>
    <t>Opslagpercentage werkgeverslasten</t>
  </si>
  <si>
    <t xml:space="preserve">Berekening kosten op basis van GPL als werktijdfactor kleiner is dan </t>
  </si>
  <si>
    <t>Anders berekening kosten op basis van leeftijdsafhankelijke berekening</t>
  </si>
  <si>
    <t>Functie</t>
  </si>
  <si>
    <t>Gem Pers Last</t>
  </si>
  <si>
    <t>LB = 1,00</t>
  </si>
  <si>
    <t>Verhoudingstabel</t>
  </si>
  <si>
    <t>max regel</t>
  </si>
  <si>
    <t xml:space="preserve"> max salaris </t>
  </si>
  <si>
    <t xml:space="preserve">Globale (normale) benadering </t>
  </si>
  <si>
    <t>Totale loonkosten (incl. werkg. lasten)</t>
  </si>
  <si>
    <t>onjuist!</t>
  </si>
  <si>
    <t>meerh bas DA10</t>
  </si>
  <si>
    <t>meerh bas DA</t>
  </si>
  <si>
    <t>meerh bas DB</t>
  </si>
  <si>
    <t>meerh bas DBuit</t>
  </si>
  <si>
    <t>meerh sbo DB10</t>
  </si>
  <si>
    <t>meerh sbo DB11</t>
  </si>
  <si>
    <t>meerh sbo DC 13</t>
  </si>
  <si>
    <t>meerh sbo DCuit15</t>
  </si>
  <si>
    <t>MEERJAREN EXPLOITATIEBEGROTING</t>
  </si>
  <si>
    <t>Rijksbijdragen OCW</t>
  </si>
  <si>
    <t>(Normatieve) rijksbijdrage OCW</t>
  </si>
  <si>
    <t>Overige subsidies OCW</t>
  </si>
  <si>
    <t>Overige overheidsbijdragen</t>
  </si>
  <si>
    <t>Overige baten</t>
  </si>
  <si>
    <t>Afschrijvingen</t>
  </si>
  <si>
    <t>Huisvestingslasten</t>
  </si>
  <si>
    <t>Leermiddelen</t>
  </si>
  <si>
    <t>Financiële baten</t>
  </si>
  <si>
    <t>Financiële lasten</t>
  </si>
  <si>
    <t>Buitengewone baten</t>
  </si>
  <si>
    <t>Buitengewone lasten</t>
  </si>
  <si>
    <t>MEERJARENBALANS</t>
  </si>
  <si>
    <t>Vaste activa</t>
  </si>
  <si>
    <t xml:space="preserve">a. Immateriële vaste activa </t>
  </si>
  <si>
    <t>b. Materiële vaste activa</t>
  </si>
  <si>
    <t>Gebouwen en terreinen</t>
  </si>
  <si>
    <t>Inventaris en apparatuur</t>
  </si>
  <si>
    <t>Leermiddelen PO</t>
  </si>
  <si>
    <t>Overige materiële vaste activa</t>
  </si>
  <si>
    <t>c. Financiële vaste activa</t>
  </si>
  <si>
    <t>totaal vaste activa</t>
  </si>
  <si>
    <t>Vlottende activa</t>
  </si>
  <si>
    <t>a. Voorraden</t>
  </si>
  <si>
    <t>b. Vorderingen</t>
  </si>
  <si>
    <t xml:space="preserve">d. Liquide middelen </t>
  </si>
  <si>
    <t>totaal vlottende activa</t>
  </si>
  <si>
    <t>PASSIVA</t>
  </si>
  <si>
    <t>Eigen Vermogen</t>
  </si>
  <si>
    <t>Voorzieningen</t>
  </si>
  <si>
    <t>Langlopende schulden</t>
  </si>
  <si>
    <t>Kortlopende schulden</t>
  </si>
  <si>
    <t>Gezamenlijke zorgformatie</t>
  </si>
  <si>
    <t>Zorgbedrag basisscholen</t>
  </si>
  <si>
    <t>Afspraken tussen SWV-en</t>
  </si>
  <si>
    <t>Inkomend grensverkeer</t>
  </si>
  <si>
    <t>Lokaal onderwijsbeleid</t>
  </si>
  <si>
    <t>Overig</t>
  </si>
  <si>
    <t>Overdrachten ivm coordinatie, PCL, grensverkeer</t>
  </si>
  <si>
    <t>Overdracht aan basisscholen</t>
  </si>
  <si>
    <t>Overdrachten aan eigen SBO('s)</t>
  </si>
  <si>
    <t>Het is mogelijk de beveiliging op te heffen zodat iemand met verstand van Excel de applicatie kan aanpassen.</t>
  </si>
  <si>
    <t>Een goed inzicht in de meerjarenbegroting van de sbo blijft nodig. Die kan in veel gevallen geleverd worden door de sbo zelf.</t>
  </si>
  <si>
    <t>a. De begroting van de formatie in geld</t>
  </si>
  <si>
    <t>Hierbij kan gedacht worden aan bijvoorbeeld het achterstandenbeleid of de onderwijsondersteuning.</t>
  </si>
  <si>
    <t xml:space="preserve">De uitgaven aan een centrale dienst zijn alleen aan de orde als er personeel aan de centrale dienst is aangesteld. </t>
  </si>
  <si>
    <t>Begroting in geld voor MI (exploitatie) naar schooljaar</t>
  </si>
  <si>
    <t xml:space="preserve">Voor zo'n globalere benadering kan men de raming voor kleine betrekkingen (bijvoorbeeld minder dan 0,25 fte) baseren op de GPL die </t>
  </si>
  <si>
    <t>Is gekozen voor een bepaalde omvang dan kan men hier snel berekenen wat de kosten op basis van de GPL van de functie LB wordt.</t>
  </si>
  <si>
    <t xml:space="preserve">Voor andere functies dan de functie LB vindt omrekening plaats m.b.v. een omrekentabel die gebaseerd is de verhoudingen van het </t>
  </si>
  <si>
    <t>GGL 1 okt. T-1</t>
  </si>
  <si>
    <t>Er is ook de mogelijkheid om de berekening gedetailleerd te maken waarbij de schaal en regelnummer precies wordt ingevoerd. Daarbij</t>
  </si>
  <si>
    <t>Het samenwerkingsverband hoeft er niet rijk van te worden, maar evenmin een schoolbestuur of andere werkgever.</t>
  </si>
  <si>
    <t>Het advies is om op een 'normale' wijze om te gaan met de vaststelling van deze kosten, namelijk door middel van overleg en onderhandeling.</t>
  </si>
  <si>
    <t xml:space="preserve">Op die wijze wordt het toe te rekenen aantal leerlingen berekend, evenals het aantal Cumi-leerlingen dat effectief is voor de SBO van </t>
  </si>
  <si>
    <t xml:space="preserve">Op basis van de ingevoerde gegevens zijn de berekeningen uitgevoerd en kunnen bij de overige posten de verdere gegevens worden </t>
  </si>
  <si>
    <t>Reacties</t>
  </si>
  <si>
    <t xml:space="preserve">Voor reacties op dit programma houden we ons aanbevolen. </t>
  </si>
  <si>
    <t>Reacties graag naar:</t>
  </si>
  <si>
    <t xml:space="preserve">Helpdesk VOS/ABB (tel.: 0348-405250) e-mail: helpdesk@vosabb.nl of </t>
  </si>
  <si>
    <t>meerh bas DA11</t>
  </si>
  <si>
    <t>ID1</t>
  </si>
  <si>
    <t>ID2</t>
  </si>
  <si>
    <t>ID3</t>
  </si>
  <si>
    <t>Overige materiële lasten</t>
  </si>
  <si>
    <t>SBO op basis van landelijke GPL (overdracht)</t>
  </si>
  <si>
    <t>Basisschool: rechtstreeks naar CD</t>
  </si>
  <si>
    <t>basis- plus zorgformatie</t>
  </si>
  <si>
    <t>Fictieve personele bekostiging obv aantal leerlingen</t>
  </si>
  <si>
    <t>Fictieve middelen in geld voor MI</t>
  </si>
  <si>
    <t>Personele lasten</t>
  </si>
  <si>
    <t>Overige instellingslasten</t>
  </si>
  <si>
    <t>Regeling impuls SMW PO in kader veiligheid en opvang risicoleerlingen</t>
  </si>
  <si>
    <t>schooljaar</t>
  </si>
  <si>
    <t>situatie per</t>
  </si>
  <si>
    <t xml:space="preserve">Persoonsgegevens </t>
  </si>
  <si>
    <t>Salarisgegevens</t>
  </si>
  <si>
    <t>Werktijdfactor (WTF)</t>
  </si>
  <si>
    <t>Loonkosten</t>
  </si>
  <si>
    <t>Bapo</t>
  </si>
  <si>
    <t>Jubilea</t>
  </si>
  <si>
    <t>sofinr.</t>
  </si>
  <si>
    <t>naam</t>
  </si>
  <si>
    <t>functie</t>
  </si>
  <si>
    <t>dienst</t>
  </si>
  <si>
    <t>geboorte</t>
  </si>
  <si>
    <t>trede</t>
  </si>
  <si>
    <t xml:space="preserve">salaris </t>
  </si>
  <si>
    <t>WTF</t>
  </si>
  <si>
    <t>bapo</t>
  </si>
  <si>
    <t>bruto salaris</t>
  </si>
  <si>
    <t>werkg. last</t>
  </si>
  <si>
    <t>loonkosten</t>
  </si>
  <si>
    <t>kosten</t>
  </si>
  <si>
    <t>diensttijd</t>
  </si>
  <si>
    <t xml:space="preserve">totaal </t>
  </si>
  <si>
    <t xml:space="preserve">jaren </t>
  </si>
  <si>
    <t>datum</t>
  </si>
  <si>
    <t>(maand)</t>
  </si>
  <si>
    <t>oop</t>
  </si>
  <si>
    <t>gecorr.</t>
  </si>
  <si>
    <t>sofinummer</t>
  </si>
  <si>
    <t>leeftijd</t>
  </si>
  <si>
    <t>werkgeverslasten</t>
  </si>
  <si>
    <t>eigen bijdrage bapo (dir, op en oop &gt;8 / oop&lt;=8))</t>
  </si>
  <si>
    <t>werkgeverslaten bij opname bapo</t>
  </si>
  <si>
    <t>BAPO-korting</t>
  </si>
  <si>
    <t>&gt;8</t>
  </si>
  <si>
    <t>&lt;=8</t>
  </si>
  <si>
    <t>zorgbedrag sbo (kalenderjaar T)</t>
  </si>
  <si>
    <t>Zorggeld (kalenderjaar T)</t>
  </si>
  <si>
    <t>SPECIFICATIE DEELNEMENDE BESTUREN</t>
  </si>
  <si>
    <t>Uitgaven (schooljaar)</t>
  </si>
  <si>
    <t>Inkomsten van het Rijk (kalenderjaar)</t>
  </si>
  <si>
    <t>Inkomsten van het Rijk (schooljaar)</t>
  </si>
  <si>
    <t>SPECIFICATIE GEGEVENS BASISSCHOLEN</t>
  </si>
  <si>
    <t>Uitgaven (kalenderjaar)</t>
  </si>
  <si>
    <t>12HB</t>
  </si>
  <si>
    <t>brinnr.</t>
  </si>
  <si>
    <t xml:space="preserve">naam </t>
  </si>
  <si>
    <t xml:space="preserve">vs </t>
  </si>
  <si>
    <t>Naam bestuur</t>
  </si>
  <si>
    <t>Naam swv</t>
  </si>
  <si>
    <t>Leerlingenaantal</t>
  </si>
  <si>
    <t>1.1</t>
  </si>
  <si>
    <t>1.2</t>
  </si>
  <si>
    <t>2.1</t>
  </si>
  <si>
    <t>2.2</t>
  </si>
  <si>
    <t>2.4</t>
  </si>
  <si>
    <t>2.5</t>
  </si>
  <si>
    <t>2.6</t>
  </si>
  <si>
    <t>Gezamenlijk formatiebudget in geld basisscholen</t>
  </si>
  <si>
    <t>Overige rijksbijdragen</t>
  </si>
  <si>
    <t>Inkomend grensverkeer, verrekening tussen CD's</t>
  </si>
  <si>
    <t>4.1</t>
  </si>
  <si>
    <t>4.2</t>
  </si>
  <si>
    <t>4.3</t>
  </si>
  <si>
    <t>4.4</t>
  </si>
  <si>
    <t>Personele lasten Centrale Dienst</t>
  </si>
  <si>
    <t>Uitgaand grensverkeer, verrekening tussen CD's</t>
  </si>
  <si>
    <t>Overdracht voor PCL</t>
  </si>
  <si>
    <t>Overdracht voor Coördinatie SWV</t>
  </si>
  <si>
    <t>Overdrachtsverplichting  aan sbo-1</t>
  </si>
  <si>
    <t>Overdrachtsverplichting  aan sbo-2</t>
  </si>
  <si>
    <t>Overdrachtsverplichting  aan sbo-3</t>
  </si>
  <si>
    <t>Overdrachtsverplichting  aan sbo-4</t>
  </si>
  <si>
    <t>Totaal overdrachtsverplichting aan sbo's</t>
  </si>
  <si>
    <t>Extra bijdrage SWV aan sbo</t>
  </si>
  <si>
    <t>Toegekend aan basisscholen</t>
  </si>
  <si>
    <t>2.3</t>
  </si>
  <si>
    <t>Coördinatie SWV</t>
  </si>
  <si>
    <t>PCL</t>
  </si>
  <si>
    <t>Centrale Dienst</t>
  </si>
  <si>
    <t>Standaardschool</t>
  </si>
  <si>
    <t>teldatum oktober t-1</t>
  </si>
  <si>
    <t>kalenderjaar</t>
  </si>
  <si>
    <t>MEERJARENINVESTERINGSPLAN (MIP)</t>
  </si>
  <si>
    <t>activagroep</t>
  </si>
  <si>
    <t>omschrijving</t>
  </si>
  <si>
    <t>aantal /</t>
  </si>
  <si>
    <t>aanschafprijs</t>
  </si>
  <si>
    <t>jaar van</t>
  </si>
  <si>
    <t>afschrijvings-</t>
  </si>
  <si>
    <t>beslisregel</t>
  </si>
  <si>
    <t>aanschaf-</t>
  </si>
  <si>
    <t>afschrijving</t>
  </si>
  <si>
    <t>laatste</t>
  </si>
  <si>
    <t>waarde per 01/01</t>
  </si>
  <si>
    <t>eenheden</t>
  </si>
  <si>
    <t>(per eenheid)</t>
  </si>
  <si>
    <t>aanschaf</t>
  </si>
  <si>
    <t>termijn</t>
  </si>
  <si>
    <t>waarde</t>
  </si>
  <si>
    <t>per jaar</t>
  </si>
  <si>
    <t>investering</t>
  </si>
  <si>
    <t>(investeringen vanaf 1 januari 2006)</t>
  </si>
  <si>
    <t>Waarde activa per 01-01</t>
  </si>
  <si>
    <t>Investeringen</t>
  </si>
  <si>
    <t>Waarde activa per 31-12</t>
  </si>
  <si>
    <t>basisbedrag sbo (kalenderjaar T)</t>
  </si>
  <si>
    <t>basisbedrag</t>
  </si>
  <si>
    <t>maximale bijdrage zorg</t>
  </si>
  <si>
    <t>LOONKOSTEN  PERSONEEL CD</t>
  </si>
  <si>
    <t>Overdracht ivm leerlingen SBO</t>
  </si>
  <si>
    <t>TOEREKENING LEERLINGEN SBO AAN SWV</t>
  </si>
  <si>
    <t>5.9</t>
  </si>
  <si>
    <t>basisbedrag sbo</t>
  </si>
  <si>
    <t>zorgbedrag sbo</t>
  </si>
  <si>
    <t>loonkosten personeel CD</t>
  </si>
  <si>
    <t>personeelsbeleid</t>
  </si>
  <si>
    <t>4.5</t>
  </si>
  <si>
    <t>4.6</t>
  </si>
  <si>
    <t>3.1</t>
  </si>
  <si>
    <t>3.2</t>
  </si>
  <si>
    <t>3.3</t>
  </si>
  <si>
    <t>3.4</t>
  </si>
  <si>
    <t>4.7</t>
  </si>
  <si>
    <t>4.9</t>
  </si>
  <si>
    <t>4.8</t>
  </si>
  <si>
    <t>Personeelsbeleid</t>
  </si>
  <si>
    <t xml:space="preserve">Er zijn drie werkbladen verborgen die echter desgewenst tevoorschijn gehaald kunnen worden. Het betreft het werkblad 'deeln' </t>
  </si>
  <si>
    <t xml:space="preserve">waarin de gegevens van de deelnemende besturen in het samenwerkingsverband kunnen worden opgenomen. Het betreft ook het </t>
  </si>
  <si>
    <t xml:space="preserve">werkblad 'bas' waarin de afzonderlijke basisscholen kunnen worden gespecificeerd wat inkomsten en uitgaven betreft. En het betreft het </t>
  </si>
  <si>
    <t xml:space="preserve">werkblad 'sbo' dat nuttig en nodig is als een sbo in meer dan één samenwerkingsverband deelneemt en de leerlingen naar rato </t>
  </si>
  <si>
    <t xml:space="preserve">toegedeeld moeten worden. </t>
  </si>
  <si>
    <t>Deze werkbladen zijn weer zichtbaar te maken bij Opmaak/Blad/Zichtbaar maken waarna men het gewenste werkblad zichtbaar kan maken.</t>
  </si>
  <si>
    <t>Op dezelfde wijze kan men het werkblad ook weer verbergen.</t>
  </si>
  <si>
    <t>Ook deze werkbladen worden hierna nader toegelicht.</t>
  </si>
  <si>
    <t xml:space="preserve">in verband met het aantal leerlingen op de peildatum in vergelijking met de 2% van het samenwerkingsverband. </t>
  </si>
  <si>
    <t xml:space="preserve">c. Het feitelijk aantal leerlingen op de peildatum kan lager zijn dan de 2% op basis waarvan het Rijk de bekostiging heeft verricht aan </t>
  </si>
  <si>
    <t xml:space="preserve">de SBO. In dat geval wordt een negatieve overdrachtsverplichting berekend wat inhoudt dat de SBO in principe zorgmiddelen terug </t>
  </si>
  <si>
    <t xml:space="preserve">moet storten aan het samenwerkingsverband. Het ligt uiteraard in de rede dat daarover overleg plaatsvindt, maar geeft in principe </t>
  </si>
  <si>
    <t xml:space="preserve">goed weer wat het uitgangspunt dient te zijn voor de besteding van de zorgmiddelen die onder de verantwoordelijkheid van het </t>
  </si>
  <si>
    <t>samenwerkingsverband vallen.</t>
  </si>
  <si>
    <t>Werkblad 'lln'</t>
  </si>
  <si>
    <t>Werkblad 'deeln' (verborgen)</t>
  </si>
  <si>
    <t>In dit werkblad kunnen nadere gegevens opgenomen worden van de besturen die deelnemen in het samenwerkingsverband.</t>
  </si>
  <si>
    <t xml:space="preserve">Voor het berekenen van de baten van de meerjarenbegroting kan volstaan worden met de invulling van dit werkblad. </t>
  </si>
  <si>
    <t>Dan is het werkblad 'sbo' nuttig en nodig.</t>
  </si>
  <si>
    <t>dat tot dit verband moet worden gerekend. Zo nodig kan dit in het werkblad 'sbo' berekend worden.</t>
  </si>
  <si>
    <t>De peildatumgegevens kunnen identiek zijn aan de 1 oktober T-1 gegevens, met name als de peildatum op 2 oktober is gekozen, en afgesproken</t>
  </si>
  <si>
    <t xml:space="preserve">is dat de sbo op 2 oktober geen leerling in- of uitschrijft. Het advies is de peldatum op 1 februari te stellen als er sprake is van een </t>
  </si>
  <si>
    <t>het hogere tarief (middelen voor basis- en zorgformatie resp. basis- en zorgbedrag).</t>
  </si>
  <si>
    <t>van het samenwerkingsverband.</t>
  </si>
  <si>
    <t xml:space="preserve">Na invoering van persoonsgegevens, salarisgegevens en de werktijdfactor worden de totale loonkosten berekend. Daarbij wordt uitgegaan van </t>
  </si>
  <si>
    <t xml:space="preserve">afzonderlijk berekende en zichtbare BAPO-kosten als daar sprake van is. Daartoe moet de werktijdfactor van de BAPO worden ingevuld </t>
  </si>
  <si>
    <t>in de betreffende kolom. Op grond van de opgegeven diensttijd wordt ook de omvang van de jubileumuitkering berekend.</t>
  </si>
  <si>
    <t xml:space="preserve">De gegevens van het personeel worden voor de jaren daarna automatisch aangepast. Dat impliceert ook dat wanneer volgend jaar een nieuw </t>
  </si>
  <si>
    <t xml:space="preserve">personeelslid wordt aangenomen de gegevens in het eerste jaar al moeten worden ingevuld, zij het dan met werktijdfactor 0. In de </t>
  </si>
  <si>
    <t>latere jaren kan deze WTF dan overschreven worden en op de juiste omvang worden vastgesteld.</t>
  </si>
  <si>
    <t xml:space="preserve">De schotten zijn weg, dus een tekort op de ene component hoeft geen probleem te zijn als dat gecompenseerd kan worden door de </t>
  </si>
  <si>
    <t>andere component: het gaat om het totaalbeeld!</t>
  </si>
  <si>
    <t>Deze post kan desgewenst nog nader gespecificeerd worden in het verborgen werkblad 'bas'.</t>
  </si>
  <si>
    <t xml:space="preserve">Deze middelen komen bij de centrale dienst van het samenwerkingsverband binnen. </t>
  </si>
  <si>
    <t xml:space="preserve">Deze zorggelden moeten in het zorgplan en de daarbij behorende meerjarenbegroting verantwoord worden. </t>
  </si>
  <si>
    <t>post 4.7:</t>
  </si>
  <si>
    <t xml:space="preserve">De afschrijvingen worden automatisch verwerkt als het werkblad 'mip' wordt ingevuld. De formules in deze cel kunnen ook </t>
  </si>
  <si>
    <t>overschreven worden als geen gebruik wordt gemaakt van dat werkblad.</t>
  </si>
  <si>
    <t xml:space="preserve">maximumsalaris van elke schaal (conform het FPE-model). </t>
  </si>
  <si>
    <t xml:space="preserve">worden ook de geraamde werkgeverslasten zichtbaar gemaakt. Buiten beeld blijven dan nog de eventuele 'overhead'-kosten van </t>
  </si>
  <si>
    <t>incidentele of specifieke aard en kosten die verband houden met huisvesting, administratie, personeelsbeleid e.d.</t>
  </si>
  <si>
    <t>Werkblad 'bas' (verborgen)</t>
  </si>
  <si>
    <t>geeft de berekening van het lumpsumbedrag dat per school berekend naar het samenwerkingsverband gaat.</t>
  </si>
  <si>
    <t>Het geeft ook het zorgbedrag dat per school wordt berekend en toegekend wordt aan het samenwerkingsverband per kalenderjaar.</t>
  </si>
  <si>
    <t>Werkblad 'sbo' (verborgen)</t>
  </si>
  <si>
    <t>Er is ruimte voor 4 Sbo's, de afdruk geeft die weer en enkele getotaliseerde gegevens.</t>
  </si>
  <si>
    <t>het eigen SWV. (De eerste 4 Cumi-leerlingen van een sbo geven geen formatie Bestrijding OnderwijsAchterstanden)</t>
  </si>
  <si>
    <t>Werkblad 'tab'</t>
  </si>
  <si>
    <t xml:space="preserve">Bedrag per schoolgewicht teldatum 1 okt. </t>
  </si>
  <si>
    <t xml:space="preserve">De gegevens waarmee gerekend moet worden, kunnen worden aangepast. </t>
  </si>
  <si>
    <t>Werkblad 'expl'</t>
  </si>
  <si>
    <t xml:space="preserve">Dit instrument levert de meerjarenbegroting voor het samenwerkingsverband. De indeling volgt daarbij de voorgeschreven indeling van de </t>
  </si>
  <si>
    <t>Egalisatierekening investeringssubsidies</t>
  </si>
  <si>
    <t>BASISGEGEVENS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</si>
  <si>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</si>
  <si>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</si>
  <si>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</si>
  <si>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</si>
  <si>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</si>
  <si>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</si>
  <si>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</si>
  <si>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</si>
  <si>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teldatum</t>
  </si>
  <si>
    <t>Naam SBO 1</t>
  </si>
  <si>
    <t>Overdrachtsverplichting materiële instandhouding (schooljaar)</t>
  </si>
  <si>
    <t>Overdrachtsverplichting materiële instandhouding (kalenderjaar)</t>
  </si>
  <si>
    <t>Naam SBO 2</t>
  </si>
  <si>
    <t>Naam SBO 3</t>
  </si>
  <si>
    <t>Naam SBO 4</t>
  </si>
  <si>
    <t>Baten gewone bedrijfsvoering</t>
  </si>
  <si>
    <t>Lasten gewone bedrijfsvoering</t>
  </si>
  <si>
    <t>Baten formatieve middelen (schooljaar)</t>
  </si>
  <si>
    <t>Lasten formatieve middelen (schooljaar)</t>
  </si>
  <si>
    <t>Baten materiële instandhouding (schooljaar)</t>
  </si>
  <si>
    <t>Lasten materiële instandhouding (schooljaar)</t>
  </si>
  <si>
    <t>TABELLEN</t>
  </si>
  <si>
    <t>MI kalenderjaar</t>
  </si>
  <si>
    <t xml:space="preserve">Gewone bedrijfsvoering </t>
  </si>
  <si>
    <t>Resultaat gewone bedrijfsvoering</t>
  </si>
  <si>
    <t>Financiële baten en lasten</t>
  </si>
  <si>
    <t>Resultaat na financiële baten en lasten</t>
  </si>
  <si>
    <t>Buitengewone bedrijfsvoering</t>
  </si>
  <si>
    <t>Resultaat na buitengewone baten en lasten</t>
  </si>
  <si>
    <t>Activa</t>
  </si>
  <si>
    <t>c. Effecten (&lt; 1jaar)</t>
  </si>
  <si>
    <t>totaal activa</t>
  </si>
  <si>
    <t>totaal passiva</t>
  </si>
  <si>
    <t>Financiële kengetallen</t>
  </si>
  <si>
    <t xml:space="preserve">gewenst </t>
  </si>
  <si>
    <t>Solvabiliteit 1</t>
  </si>
  <si>
    <t>Liquiditeit</t>
  </si>
  <si>
    <t>Rentabiiliteit</t>
  </si>
  <si>
    <t>Weerstandsvermogen</t>
  </si>
  <si>
    <t>Inkomsten ( te bekostigen door ander swv)</t>
  </si>
  <si>
    <t>Uitgaven (te bekostigen aan ander SWV)</t>
  </si>
  <si>
    <t>Grensverkeerlln. na 1 oktober T-1</t>
  </si>
  <si>
    <t>Grensverkeerlln. voor of op 1 oktober T-1</t>
  </si>
  <si>
    <t>Grensverkeerlln. na 1 oktober T-1 bij SBO in ander SWV.</t>
  </si>
  <si>
    <t>Grensverkeerlln. voor of op 1 oktober T-1 bij SBO in ander SWV</t>
  </si>
  <si>
    <t>minus ll. Inkomend, plus ll. uitgaand grensverkeer</t>
  </si>
  <si>
    <t>Overdrachtsverplichting aan sbo (schooljaar)</t>
  </si>
  <si>
    <t>Totalen</t>
  </si>
  <si>
    <t>ACTIVAOVERZICHT</t>
  </si>
  <si>
    <t>totaal afschrijvingen</t>
  </si>
  <si>
    <r>
      <t xml:space="preserve">Afschrijvingen (vanuit </t>
    </r>
    <r>
      <rPr>
        <b/>
        <u val="single"/>
        <sz val="10"/>
        <rFont val="Arial"/>
        <family val="2"/>
      </rPr>
      <t>eerste waardering</t>
    </r>
    <r>
      <rPr>
        <b/>
        <sz val="10"/>
        <rFont val="Arial"/>
        <family val="2"/>
      </rPr>
      <t>)</t>
    </r>
  </si>
  <si>
    <t>totaal baten gewone bedrijfsvoering</t>
  </si>
  <si>
    <t>Overige personele lasten</t>
  </si>
  <si>
    <t>BEGROTING SAMENWERKINGSVERBAND (schooljaar)</t>
  </si>
  <si>
    <t>totaal baten personeel</t>
  </si>
  <si>
    <t>totaal lasten personeel</t>
  </si>
  <si>
    <t>saldo personeel</t>
  </si>
  <si>
    <t>totaal baten materieel</t>
  </si>
  <si>
    <t>totaal lasten materieel</t>
  </si>
  <si>
    <t>saldo materieel</t>
  </si>
  <si>
    <t>saldo totaal</t>
  </si>
  <si>
    <t>totaal lasten gewone bedrijfsvoering</t>
  </si>
  <si>
    <t>Meerjarenbegroting Samenwerkingsverband WSNS 2008 in Excel</t>
  </si>
  <si>
    <r>
      <t>Som schoolgewichten in SWV 1 oktober</t>
    </r>
    <r>
      <rPr>
        <b/>
        <sz val="10"/>
        <rFont val="Arial"/>
        <family val="2"/>
      </rPr>
      <t xml:space="preserve"> </t>
    </r>
  </si>
  <si>
    <t>Indexering MI</t>
  </si>
  <si>
    <t>n</t>
  </si>
  <si>
    <t>Samen leren, samen spelen</t>
  </si>
  <si>
    <t xml:space="preserve">jaarrekening m.b.t. de exploitatierekening en de balans. Door de (afzonderlijke) boekhouding conform deze indeling te volgen kan tevens </t>
  </si>
  <si>
    <t xml:space="preserve">met de exploitatierekening en de balans zoals die in het betreffende jaar gerealiseerd wordt voldaan worden aan de vereiste </t>
  </si>
  <si>
    <t xml:space="preserve">verantwoording door Cfi. Uiteraard voorzien van een accountantsverklaring. Maar op deze wijze is het niet nodig het complexe programma </t>
  </si>
  <si>
    <t>EFJ te gebruiken om deze verantwoording te leveren. Vereist is dat de financiele jaarrekening digitaal wordt aangeleverd.</t>
  </si>
  <si>
    <t>muiscursor op die cel te plaatsen. De programma's zijn beveiligd zodat invoer alleen mogelijk is op de witte en gele velden.</t>
  </si>
  <si>
    <t xml:space="preserve">In de werkbladen kunnen de witte cellen binnen de beige omlijsting ingevuld worden. </t>
  </si>
  <si>
    <t>Daarbij zijn de gele velden voorzien van een formule die overschreven kan worden.</t>
  </si>
  <si>
    <t>Die informatie is echter voor iedereen beschikbaar via de website van Cfi onder instellingsinformatie.</t>
  </si>
  <si>
    <t xml:space="preserve">De opgegeven leerlingen betreffen alleen de leerlingen van een sbo die in meerdere verbanden functioneert, voor dat aantal (naar rato) </t>
  </si>
  <si>
    <t>redelijk stabiele ontwikkeling. Dat is overwegend het geval.</t>
  </si>
  <si>
    <t xml:space="preserve">Werkblad 'form' </t>
  </si>
  <si>
    <t xml:space="preserve">In dit werkblad kunnen de personele lasten worden opgevoerd van het personeel (formatie) dat rechtstreeks is aangesteld bij de Centrale Dienst </t>
  </si>
  <si>
    <t xml:space="preserve">Werkblad 'begr' </t>
  </si>
  <si>
    <t>Werkblad 'act'</t>
  </si>
  <si>
    <t xml:space="preserve">In dit werkblad worden de gegevens in verband met de activa verwerkt. Na opgave van de beginstand van de activa worden de </t>
  </si>
  <si>
    <t>gegevens uit het meerjareninvesteringsplan (werkblad 'mip') automatisch verwerkt, evenals de afschrijvingsbedragen.</t>
  </si>
  <si>
    <t>Is er sprake van een eerste waardering per 1 januari 2006 dan dienen de afschrijvingsgegevens daarvan apart te worden opgenomen.</t>
  </si>
  <si>
    <r>
      <t xml:space="preserve">Het </t>
    </r>
    <r>
      <rPr>
        <b/>
        <sz val="10"/>
        <color indexed="10"/>
        <rFont val="Arial"/>
        <family val="2"/>
      </rPr>
      <t>wachtwoord</t>
    </r>
    <r>
      <rPr>
        <sz val="10"/>
        <rFont val="Arial"/>
        <family val="2"/>
      </rPr>
      <t xml:space="preserve"> dat voor elk werkblad van toepassing is, luidt:</t>
    </r>
    <r>
      <rPr>
        <b/>
        <sz val="10"/>
        <rFont val="Arial"/>
        <family val="2"/>
      </rPr>
      <t xml:space="preserve"> vosabb</t>
    </r>
  </si>
  <si>
    <r>
      <t xml:space="preserve">Dan is het wel een essentiele voorwaarde dat de gegevens ingevuld worden die </t>
    </r>
    <r>
      <rPr>
        <b/>
        <sz val="10"/>
        <rFont val="Arial"/>
        <family val="2"/>
      </rPr>
      <t>alleen</t>
    </r>
    <r>
      <rPr>
        <sz val="10"/>
        <rFont val="Arial"/>
        <family val="2"/>
      </rPr>
      <t xml:space="preserve"> voor dit verband van toepassing zijn.</t>
    </r>
  </si>
  <si>
    <r>
      <t>Aantal leerlingen basisschool:</t>
    </r>
    <r>
      <rPr>
        <sz val="10"/>
        <rFont val="Arial"/>
        <family val="2"/>
      </rPr>
      <t xml:space="preserve"> Het feitelijk aantal leerlingen op 1 oktober T-1. </t>
    </r>
  </si>
  <si>
    <r>
      <t>Aantal leerlingen sbo:</t>
    </r>
    <r>
      <rPr>
        <sz val="10"/>
        <rFont val="Arial"/>
        <family val="2"/>
      </rPr>
      <t xml:space="preserve"> Er is ruimte voor 4 sbo's.</t>
    </r>
  </si>
  <si>
    <r>
      <t>Grensverkeer:</t>
    </r>
    <r>
      <rPr>
        <sz val="10"/>
        <rFont val="Arial"/>
        <family val="2"/>
      </rPr>
      <t xml:space="preserve"> Opgave van alle leerlingen die in het verband als grensverkeerleerling op de sbo zijn ingeschreven. Daarbij moeten </t>
    </r>
  </si>
  <si>
    <r>
      <t>Percentages 1 oktober T-1:</t>
    </r>
    <r>
      <rPr>
        <sz val="10"/>
        <rFont val="Arial"/>
        <family val="2"/>
      </rPr>
      <t xml:space="preserve"> Het verwijzingspercentage wordt hier berekend waarbij onderscheid wordt gemaakt in het totaal </t>
    </r>
  </si>
  <si>
    <r>
      <t xml:space="preserve">op basis van de peildatum wilt laten plaats vinden door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in te vullen</t>
    </r>
  </si>
  <si>
    <t>Daarmee is het complete zicht op de activa gerealiseerd.</t>
  </si>
  <si>
    <t>In dit werkblad wordt de Meerjaren Exploitatiebegroting weergegeven. Vrijwel alle gegevens worden ontleend aan de hiervoor ingevulde</t>
  </si>
  <si>
    <t xml:space="preserve"> werkbladen zodat nog slechts enkele gegevens nodig zijn. De gegevens zijn - waar het de formatieve middelen betreft - omgerekend </t>
  </si>
  <si>
    <t xml:space="preserve">van schooljaar naar kalenderjaar door middel van de 5/12e en 7/12e techniek. </t>
  </si>
  <si>
    <t>Opzet van dit instrument</t>
  </si>
  <si>
    <t>In dit instrument zijn enkele belangrijke vereenvoudigingen doorgevoerd. Het beperkt zich tot alleen de begroting</t>
  </si>
  <si>
    <t xml:space="preserve">Op deze wijze is een instrument ontstaan dat eenvoudig is en een betrouwbaar beeld geeft. Alleen wanneer geen nauwkeurig zicht is </t>
  </si>
  <si>
    <t>In dit werkblad worden twee begrotingen weergegeven:</t>
  </si>
  <si>
    <t>b. De begroting van het geld voor de exploitatie (materiele instandhouding) omgerekend naar schooljaar</t>
  </si>
  <si>
    <t>HULPBLAD: KOSTEN VAN EEN FUNCTIE (salarisniveau 1 aug 2008)</t>
  </si>
  <si>
    <t>c</t>
  </si>
  <si>
    <t>De data in de tabellen zijn aangepast aan de laatst bekende cijfers april 2008.</t>
  </si>
  <si>
    <t>Dat is verwerkt in het Werkblad 'form' en de uitkomsten daarvan zijn hier automatisch opgenomen.</t>
  </si>
  <si>
    <t>de raming van 51,50% aan werkgeverslasten zoals opgenomen in het werkblad 'tab' in cel G87 en H87. Onderdeel van de berekening is ook de</t>
  </si>
  <si>
    <t>De salarissen in de jaren vanaf 08-09 zijn verhoogd conform de CAO met 2,2%.</t>
  </si>
  <si>
    <t>De berekeningen in dit werkblad zijn gebaseerd op het salarisniveau vanaf 1 aug. 2008 (verhoging met 2,2%).</t>
  </si>
  <si>
    <t xml:space="preserve">De aanpassing van de lumpsumbedragen kan beperkt worden tot aanpassing van de GPL bedragen in kolom G m.b.t. 07-08, kolom H </t>
  </si>
  <si>
    <t>m.b.t. 08-09 en het bedrag voor het schoolmaatschappelijk werk (rij 83).</t>
  </si>
  <si>
    <t>De GPL voor 08-09 is in april 08 gepubliceerd, en zal in juli weer aangepast worden.</t>
  </si>
  <si>
    <t>De salaristabellen voor 07-08 zijn opgenomen, de verhoging met 2,2% voor 08-09 is verwerkt in de berekeningsformules.</t>
  </si>
  <si>
    <t>De werkgeverslasten zijn gesteld op gemiddeld 51,5% (rij 87). Het advies is dat iedere werkgever zelf nagaat of aanpassing daarvan nodig is.</t>
  </si>
</sst>
</file>

<file path=xl/styles.xml><?xml version="1.0" encoding="utf-8"?>
<styleSheet xmlns="http://schemas.openxmlformats.org/spreadsheetml/2006/main">
  <numFmts count="4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"/>
    <numFmt numFmtId="179" formatCode="0.0000"/>
    <numFmt numFmtId="180" formatCode="0.00000"/>
    <numFmt numFmtId="181" formatCode="&quot;€&quot;\ #,##0.00_-"/>
    <numFmt numFmtId="182" formatCode="#,##0.00_ ;\-#,##0.00\ "/>
    <numFmt numFmtId="183" formatCode="d/mm/yy"/>
    <numFmt numFmtId="184" formatCode="#,##0.0000_ ;\-#,##0.0000\ "/>
    <numFmt numFmtId="185" formatCode="_-&quot;€&quot;\ * #,##0_-;_-&quot;€&quot;\ * #,##0\-;_-&quot;€&quot;\ * &quot;-&quot;??_-;_-@_-"/>
    <numFmt numFmtId="186" formatCode="&quot;€&quot;\ #,##0_-"/>
    <numFmt numFmtId="187" formatCode="#,##0_ ;\-#,##0\ "/>
    <numFmt numFmtId="188" formatCode="0.00;[Red]0.00"/>
    <numFmt numFmtId="189" formatCode="0.0%"/>
    <numFmt numFmtId="190" formatCode="dd/mm/yy"/>
    <numFmt numFmtId="191" formatCode="d\ mmmm\ yyyy"/>
    <numFmt numFmtId="192" formatCode="mmm/yyyy"/>
    <numFmt numFmtId="193" formatCode="d/m"/>
    <numFmt numFmtId="194" formatCode="0.0"/>
    <numFmt numFmtId="195" formatCode="#,##0.0"/>
  </numFmts>
  <fonts count="3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9"/>
      <name val="Tahoma"/>
      <family val="2"/>
    </font>
    <font>
      <i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47"/>
      <name val="Arial"/>
      <family val="2"/>
    </font>
    <font>
      <b/>
      <i/>
      <sz val="14"/>
      <color indexed="62"/>
      <name val="Arial"/>
      <family val="2"/>
    </font>
    <font>
      <b/>
      <sz val="14"/>
      <color indexed="62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right"/>
      <protection/>
    </xf>
    <xf numFmtId="0" fontId="13" fillId="2" borderId="0" xfId="0" applyFont="1" applyFill="1" applyBorder="1" applyAlignment="1" applyProtection="1">
      <alignment horizontal="right"/>
      <protection/>
    </xf>
    <xf numFmtId="0" fontId="1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center"/>
      <protection/>
    </xf>
    <xf numFmtId="170" fontId="13" fillId="2" borderId="0" xfId="20" applyNumberFormat="1" applyFont="1" applyFill="1" applyBorder="1" applyAlignment="1" applyProtection="1">
      <alignment/>
      <protection/>
    </xf>
    <xf numFmtId="170" fontId="13" fillId="2" borderId="5" xfId="20" applyNumberFormat="1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right"/>
      <protection/>
    </xf>
    <xf numFmtId="170" fontId="13" fillId="4" borderId="0" xfId="20" applyNumberFormat="1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 horizontal="left"/>
      <protection/>
    </xf>
    <xf numFmtId="0" fontId="13" fillId="4" borderId="0" xfId="0" applyFont="1" applyFill="1" applyBorder="1" applyAlignment="1" applyProtection="1">
      <alignment horizontal="center"/>
      <protection/>
    </xf>
    <xf numFmtId="168" fontId="0" fillId="4" borderId="0" xfId="0" applyNumberFormat="1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168" fontId="0" fillId="2" borderId="0" xfId="0" applyNumberFormat="1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 horizontal="left"/>
      <protection/>
    </xf>
    <xf numFmtId="168" fontId="3" fillId="3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horizontal="right"/>
      <protection/>
    </xf>
    <xf numFmtId="185" fontId="0" fillId="3" borderId="0" xfId="20" applyNumberFormat="1" applyFont="1" applyFill="1" applyBorder="1" applyAlignment="1" applyProtection="1">
      <alignment horizontal="center"/>
      <protection/>
    </xf>
    <xf numFmtId="0" fontId="0" fillId="4" borderId="0" xfId="0" applyNumberFormat="1" applyFont="1" applyFill="1" applyBorder="1" applyAlignment="1" applyProtection="1">
      <alignment/>
      <protection/>
    </xf>
    <xf numFmtId="185" fontId="0" fillId="3" borderId="0" xfId="20" applyNumberFormat="1" applyFont="1" applyFill="1" applyBorder="1" applyAlignment="1" applyProtection="1">
      <alignment horizontal="left"/>
      <protection/>
    </xf>
    <xf numFmtId="185" fontId="0" fillId="3" borderId="0" xfId="20" applyNumberFormat="1" applyFont="1" applyFill="1" applyBorder="1" applyAlignment="1" applyProtection="1">
      <alignment/>
      <protection/>
    </xf>
    <xf numFmtId="168" fontId="0" fillId="3" borderId="0" xfId="0" applyNumberFormat="1" applyFont="1" applyFill="1" applyBorder="1" applyAlignment="1" applyProtection="1">
      <alignment/>
      <protection/>
    </xf>
    <xf numFmtId="185" fontId="0" fillId="4" borderId="0" xfId="20" applyNumberFormat="1" applyFont="1" applyFill="1" applyBorder="1" applyAlignment="1" applyProtection="1">
      <alignment/>
      <protection/>
    </xf>
    <xf numFmtId="185" fontId="2" fillId="3" borderId="0" xfId="0" applyNumberFormat="1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/>
      <protection/>
    </xf>
    <xf numFmtId="185" fontId="0" fillId="2" borderId="0" xfId="0" applyNumberFormat="1" applyFont="1" applyFill="1" applyBorder="1" applyAlignment="1" applyProtection="1">
      <alignment/>
      <protection/>
    </xf>
    <xf numFmtId="185" fontId="0" fillId="4" borderId="0" xfId="0" applyNumberFormat="1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185" fontId="2" fillId="2" borderId="0" xfId="0" applyNumberFormat="1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185" fontId="2" fillId="2" borderId="7" xfId="0" applyNumberFormat="1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186" fontId="0" fillId="2" borderId="0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center"/>
      <protection/>
    </xf>
    <xf numFmtId="168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0" fontId="13" fillId="2" borderId="4" xfId="0" applyFont="1" applyFill="1" applyBorder="1" applyAlignment="1" applyProtection="1">
      <alignment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/>
    </xf>
    <xf numFmtId="168" fontId="0" fillId="2" borderId="0" xfId="0" applyNumberFormat="1" applyFont="1" applyFill="1" applyBorder="1" applyAlignment="1" applyProtection="1">
      <alignment horizontal="center"/>
      <protection/>
    </xf>
    <xf numFmtId="168" fontId="0" fillId="2" borderId="0" xfId="0" applyNumberFormat="1" applyFont="1" applyFill="1" applyBorder="1" applyAlignment="1" applyProtection="1">
      <alignment horizontal="center"/>
      <protection locked="0"/>
    </xf>
    <xf numFmtId="168" fontId="0" fillId="5" borderId="0" xfId="0" applyNumberFormat="1" applyFont="1" applyFill="1" applyBorder="1" applyAlignment="1" applyProtection="1">
      <alignment horizontal="center"/>
      <protection locked="0"/>
    </xf>
    <xf numFmtId="168" fontId="0" fillId="4" borderId="0" xfId="0" applyNumberFormat="1" applyFont="1" applyFill="1" applyBorder="1" applyAlignment="1" applyProtection="1">
      <alignment horizontal="center"/>
      <protection/>
    </xf>
    <xf numFmtId="168" fontId="0" fillId="3" borderId="0" xfId="0" applyNumberFormat="1" applyFont="1" applyFill="1" applyBorder="1" applyAlignment="1" applyProtection="1">
      <alignment horizontal="center"/>
      <protection/>
    </xf>
    <xf numFmtId="168" fontId="2" fillId="3" borderId="0" xfId="0" applyNumberFormat="1" applyFont="1" applyFill="1" applyBorder="1" applyAlignment="1" applyProtection="1">
      <alignment horizontal="center"/>
      <protection/>
    </xf>
    <xf numFmtId="168" fontId="2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/>
    </xf>
    <xf numFmtId="168" fontId="2" fillId="2" borderId="0" xfId="0" applyNumberFormat="1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/>
      <protection/>
    </xf>
    <xf numFmtId="187" fontId="2" fillId="2" borderId="7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/>
      <protection/>
    </xf>
    <xf numFmtId="168" fontId="15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190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179" fontId="0" fillId="2" borderId="0" xfId="0" applyNumberFormat="1" applyFont="1" applyFill="1" applyBorder="1" applyAlignment="1" applyProtection="1">
      <alignment horizontal="center"/>
      <protection/>
    </xf>
    <xf numFmtId="179" fontId="0" fillId="2" borderId="0" xfId="0" applyNumberFormat="1" applyFont="1" applyFill="1" applyBorder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left"/>
      <protection/>
    </xf>
    <xf numFmtId="190" fontId="0" fillId="2" borderId="2" xfId="0" applyNumberFormat="1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/>
      <protection/>
    </xf>
    <xf numFmtId="179" fontId="0" fillId="2" borderId="2" xfId="0" applyNumberFormat="1" applyFont="1" applyFill="1" applyBorder="1" applyAlignment="1" applyProtection="1">
      <alignment horizontal="center"/>
      <protection/>
    </xf>
    <xf numFmtId="179" fontId="0" fillId="2" borderId="2" xfId="0" applyNumberFormat="1" applyFont="1" applyFill="1" applyBorder="1" applyAlignment="1" applyProtection="1">
      <alignment/>
      <protection/>
    </xf>
    <xf numFmtId="185" fontId="0" fillId="2" borderId="2" xfId="0" applyNumberFormat="1" applyFont="1" applyFill="1" applyBorder="1" applyAlignment="1" applyProtection="1">
      <alignment/>
      <protection/>
    </xf>
    <xf numFmtId="168" fontId="0" fillId="2" borderId="2" xfId="0" applyNumberFormat="1" applyFont="1" applyFill="1" applyBorder="1" applyAlignment="1" applyProtection="1">
      <alignment/>
      <protection/>
    </xf>
    <xf numFmtId="2" fontId="0" fillId="2" borderId="2" xfId="0" applyNumberFormat="1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 horizontal="left"/>
      <protection/>
    </xf>
    <xf numFmtId="0" fontId="18" fillId="2" borderId="0" xfId="0" applyFont="1" applyFill="1" applyBorder="1" applyAlignment="1" applyProtection="1">
      <alignment horizontal="center"/>
      <protection/>
    </xf>
    <xf numFmtId="190" fontId="18" fillId="2" borderId="0" xfId="0" applyNumberFormat="1" applyFont="1" applyFill="1" applyBorder="1" applyAlignment="1" applyProtection="1">
      <alignment horizontal="center"/>
      <protection/>
    </xf>
    <xf numFmtId="0" fontId="18" fillId="2" borderId="0" xfId="0" applyNumberFormat="1" applyFont="1" applyFill="1" applyBorder="1" applyAlignment="1" applyProtection="1">
      <alignment horizontal="center"/>
      <protection/>
    </xf>
    <xf numFmtId="0" fontId="18" fillId="2" borderId="0" xfId="0" applyNumberFormat="1" applyFont="1" applyFill="1" applyBorder="1" applyAlignment="1" applyProtection="1">
      <alignment/>
      <protection/>
    </xf>
    <xf numFmtId="179" fontId="18" fillId="2" borderId="0" xfId="0" applyNumberFormat="1" applyFont="1" applyFill="1" applyBorder="1" applyAlignment="1" applyProtection="1">
      <alignment horizontal="center"/>
      <protection/>
    </xf>
    <xf numFmtId="179" fontId="18" fillId="2" borderId="0" xfId="0" applyNumberFormat="1" applyFont="1" applyFill="1" applyBorder="1" applyAlignment="1" applyProtection="1">
      <alignment/>
      <protection/>
    </xf>
    <xf numFmtId="185" fontId="18" fillId="2" borderId="0" xfId="0" applyNumberFormat="1" applyFont="1" applyFill="1" applyBorder="1" applyAlignment="1" applyProtection="1">
      <alignment/>
      <protection/>
    </xf>
    <xf numFmtId="168" fontId="18" fillId="2" borderId="0" xfId="0" applyNumberFormat="1" applyFont="1" applyFill="1" applyBorder="1" applyAlignment="1" applyProtection="1">
      <alignment/>
      <protection/>
    </xf>
    <xf numFmtId="2" fontId="18" fillId="2" borderId="0" xfId="0" applyNumberFormat="1" applyFont="1" applyFill="1" applyBorder="1" applyAlignment="1" applyProtection="1">
      <alignment/>
      <protection/>
    </xf>
    <xf numFmtId="0" fontId="18" fillId="2" borderId="5" xfId="0" applyFont="1" applyFill="1" applyBorder="1" applyAlignment="1" applyProtection="1">
      <alignment/>
      <protection/>
    </xf>
    <xf numFmtId="1" fontId="18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9" fillId="2" borderId="4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 horizontal="center"/>
      <protection/>
    </xf>
    <xf numFmtId="190" fontId="20" fillId="2" borderId="0" xfId="0" applyNumberFormat="1" applyFont="1" applyFill="1" applyBorder="1" applyAlignment="1" applyProtection="1">
      <alignment horizontal="center"/>
      <protection/>
    </xf>
    <xf numFmtId="0" fontId="19" fillId="2" borderId="0" xfId="0" applyNumberFormat="1" applyFont="1" applyFill="1" applyBorder="1" applyAlignment="1" applyProtection="1">
      <alignment horizontal="center"/>
      <protection/>
    </xf>
    <xf numFmtId="0" fontId="19" fillId="2" borderId="0" xfId="0" applyNumberFormat="1" applyFont="1" applyFill="1" applyBorder="1" applyAlignment="1" applyProtection="1">
      <alignment/>
      <protection/>
    </xf>
    <xf numFmtId="179" fontId="19" fillId="2" borderId="0" xfId="0" applyNumberFormat="1" applyFont="1" applyFill="1" applyBorder="1" applyAlignment="1" applyProtection="1">
      <alignment horizontal="center"/>
      <protection/>
    </xf>
    <xf numFmtId="179" fontId="19" fillId="2" borderId="0" xfId="0" applyNumberFormat="1" applyFont="1" applyFill="1" applyBorder="1" applyAlignment="1" applyProtection="1">
      <alignment/>
      <protection/>
    </xf>
    <xf numFmtId="185" fontId="19" fillId="2" borderId="0" xfId="0" applyNumberFormat="1" applyFont="1" applyFill="1" applyBorder="1" applyAlignment="1" applyProtection="1">
      <alignment/>
      <protection/>
    </xf>
    <xf numFmtId="168" fontId="19" fillId="2" borderId="0" xfId="0" applyNumberFormat="1" applyFont="1" applyFill="1" applyBorder="1" applyAlignment="1" applyProtection="1">
      <alignment/>
      <protection/>
    </xf>
    <xf numFmtId="2" fontId="19" fillId="2" borderId="0" xfId="0" applyNumberFormat="1" applyFont="1" applyFill="1" applyBorder="1" applyAlignment="1" applyProtection="1">
      <alignment/>
      <protection/>
    </xf>
    <xf numFmtId="0" fontId="19" fillId="2" borderId="5" xfId="0" applyFont="1" applyFill="1" applyBorder="1" applyAlignment="1" applyProtection="1">
      <alignment/>
      <protection/>
    </xf>
    <xf numFmtId="1" fontId="19" fillId="2" borderId="0" xfId="0" applyNumberFormat="1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 horizontal="left"/>
      <protection/>
    </xf>
    <xf numFmtId="191" fontId="2" fillId="2" borderId="0" xfId="0" applyNumberFormat="1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190" fontId="3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/>
      <protection/>
    </xf>
    <xf numFmtId="168" fontId="0" fillId="2" borderId="0" xfId="0" applyNumberFormat="1" applyFont="1" applyFill="1" applyAlignment="1" applyProtection="1">
      <alignment/>
      <protection/>
    </xf>
    <xf numFmtId="179" fontId="0" fillId="2" borderId="0" xfId="0" applyNumberFormat="1" applyFont="1" applyFill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 horizontal="center"/>
      <protection/>
    </xf>
    <xf numFmtId="179" fontId="0" fillId="2" borderId="0" xfId="0" applyNumberFormat="1" applyFont="1" applyFill="1" applyAlignment="1" applyProtection="1">
      <alignment/>
      <protection/>
    </xf>
    <xf numFmtId="1" fontId="0" fillId="2" borderId="0" xfId="0" applyNumberFormat="1" applyFont="1" applyFill="1" applyAlignment="1" applyProtection="1">
      <alignment/>
      <protection/>
    </xf>
    <xf numFmtId="190" fontId="0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179" fontId="0" fillId="4" borderId="0" xfId="0" applyNumberFormat="1" applyFont="1" applyFill="1" applyBorder="1" applyAlignment="1" applyProtection="1">
      <alignment horizontal="center"/>
      <protection/>
    </xf>
    <xf numFmtId="179" fontId="0" fillId="4" borderId="0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3" fillId="4" borderId="0" xfId="0" applyFont="1" applyFill="1" applyBorder="1" applyAlignment="1" applyProtection="1">
      <alignment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0" fontId="23" fillId="4" borderId="0" xfId="0" applyFont="1" applyFill="1" applyBorder="1" applyAlignment="1" applyProtection="1">
      <alignment horizontal="left"/>
      <protection/>
    </xf>
    <xf numFmtId="2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NumberFormat="1" applyFont="1" applyFill="1" applyBorder="1" applyAlignment="1" applyProtection="1">
      <alignment horizontal="center"/>
      <protection/>
    </xf>
    <xf numFmtId="185" fontId="0" fillId="2" borderId="5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left"/>
      <protection/>
    </xf>
    <xf numFmtId="2" fontId="0" fillId="3" borderId="0" xfId="0" applyNumberFormat="1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left"/>
      <protection/>
    </xf>
    <xf numFmtId="0" fontId="13" fillId="3" borderId="0" xfId="0" applyNumberFormat="1" applyFont="1" applyFill="1" applyBorder="1" applyAlignment="1" applyProtection="1">
      <alignment horizontal="center"/>
      <protection/>
    </xf>
    <xf numFmtId="190" fontId="13" fillId="3" borderId="0" xfId="0" applyNumberFormat="1" applyFont="1" applyFill="1" applyBorder="1" applyAlignment="1" applyProtection="1">
      <alignment horizontal="center"/>
      <protection/>
    </xf>
    <xf numFmtId="0" fontId="13" fillId="3" borderId="0" xfId="0" applyNumberFormat="1" applyFont="1" applyFill="1" applyBorder="1" applyAlignment="1" applyProtection="1">
      <alignment horizontal="left"/>
      <protection/>
    </xf>
    <xf numFmtId="185" fontId="13" fillId="3" borderId="0" xfId="0" applyNumberFormat="1" applyFont="1" applyFill="1" applyBorder="1" applyAlignment="1" applyProtection="1">
      <alignment horizontal="left"/>
      <protection/>
    </xf>
    <xf numFmtId="185" fontId="13" fillId="4" borderId="0" xfId="0" applyNumberFormat="1" applyFont="1" applyFill="1" applyBorder="1" applyAlignment="1" applyProtection="1">
      <alignment horizontal="center"/>
      <protection/>
    </xf>
    <xf numFmtId="179" fontId="13" fillId="3" borderId="0" xfId="0" applyNumberFormat="1" applyFont="1" applyFill="1" applyBorder="1" applyAlignment="1" applyProtection="1">
      <alignment horizontal="center"/>
      <protection/>
    </xf>
    <xf numFmtId="1" fontId="13" fillId="3" borderId="0" xfId="0" applyNumberFormat="1" applyFont="1" applyFill="1" applyBorder="1" applyAlignment="1" applyProtection="1">
      <alignment horizontal="center"/>
      <protection/>
    </xf>
    <xf numFmtId="185" fontId="13" fillId="3" borderId="0" xfId="0" applyNumberFormat="1" applyFont="1" applyFill="1" applyBorder="1" applyAlignment="1" applyProtection="1">
      <alignment horizontal="center"/>
      <protection/>
    </xf>
    <xf numFmtId="168" fontId="13" fillId="3" borderId="0" xfId="0" applyNumberFormat="1" applyFont="1" applyFill="1" applyBorder="1" applyAlignment="1" applyProtection="1">
      <alignment horizontal="center"/>
      <protection/>
    </xf>
    <xf numFmtId="2" fontId="13" fillId="3" borderId="0" xfId="0" applyNumberFormat="1" applyFont="1" applyFill="1" applyBorder="1" applyAlignment="1" applyProtection="1">
      <alignment horizontal="center"/>
      <protection/>
    </xf>
    <xf numFmtId="0" fontId="13" fillId="4" borderId="0" xfId="0" applyNumberFormat="1" applyFont="1" applyFill="1" applyBorder="1" applyAlignment="1" applyProtection="1">
      <alignment horizontal="center"/>
      <protection/>
    </xf>
    <xf numFmtId="185" fontId="13" fillId="2" borderId="5" xfId="0" applyNumberFormat="1" applyFont="1" applyFill="1" applyBorder="1" applyAlignment="1" applyProtection="1">
      <alignment horizontal="center"/>
      <protection/>
    </xf>
    <xf numFmtId="185" fontId="13" fillId="2" borderId="0" xfId="0" applyNumberFormat="1" applyFont="1" applyFill="1" applyBorder="1" applyAlignment="1" applyProtection="1">
      <alignment horizontal="center"/>
      <protection/>
    </xf>
    <xf numFmtId="179" fontId="13" fillId="2" borderId="0" xfId="0" applyNumberFormat="1" applyFont="1" applyFill="1" applyBorder="1" applyAlignment="1" applyProtection="1">
      <alignment horizontal="center"/>
      <protection/>
    </xf>
    <xf numFmtId="1" fontId="13" fillId="2" borderId="0" xfId="0" applyNumberFormat="1" applyFont="1" applyFill="1" applyBorder="1" applyAlignment="1" applyProtection="1">
      <alignment horizontal="center"/>
      <protection/>
    </xf>
    <xf numFmtId="1" fontId="13" fillId="3" borderId="0" xfId="0" applyNumberFormat="1" applyFont="1" applyFill="1" applyBorder="1" applyAlignment="1" applyProtection="1">
      <alignment horizontal="left"/>
      <protection/>
    </xf>
    <xf numFmtId="10" fontId="13" fillId="3" borderId="0" xfId="0" applyNumberFormat="1" applyFont="1" applyFill="1" applyBorder="1" applyAlignment="1" applyProtection="1">
      <alignment horizontal="center"/>
      <protection locked="0"/>
    </xf>
    <xf numFmtId="185" fontId="0" fillId="2" borderId="0" xfId="20" applyNumberFormat="1" applyFont="1" applyFill="1" applyBorder="1" applyAlignment="1" applyProtection="1">
      <alignment/>
      <protection/>
    </xf>
    <xf numFmtId="0" fontId="13" fillId="4" borderId="0" xfId="0" applyNumberFormat="1" applyFont="1" applyFill="1" applyBorder="1" applyAlignment="1" applyProtection="1">
      <alignment horizontal="left"/>
      <protection/>
    </xf>
    <xf numFmtId="185" fontId="13" fillId="4" borderId="0" xfId="0" applyNumberFormat="1" applyFont="1" applyFill="1" applyBorder="1" applyAlignment="1" applyProtection="1">
      <alignment horizontal="left"/>
      <protection/>
    </xf>
    <xf numFmtId="179" fontId="13" fillId="4" borderId="0" xfId="0" applyNumberFormat="1" applyFont="1" applyFill="1" applyBorder="1" applyAlignment="1" applyProtection="1">
      <alignment horizontal="center"/>
      <protection/>
    </xf>
    <xf numFmtId="1" fontId="13" fillId="4" borderId="0" xfId="0" applyNumberFormat="1" applyFont="1" applyFill="1" applyBorder="1" applyAlignment="1" applyProtection="1">
      <alignment horizontal="center"/>
      <protection/>
    </xf>
    <xf numFmtId="185" fontId="0" fillId="4" borderId="0" xfId="0" applyNumberFormat="1" applyFont="1" applyFill="1" applyBorder="1" applyAlignment="1" applyProtection="1">
      <alignment horizontal="center"/>
      <protection/>
    </xf>
    <xf numFmtId="168" fontId="13" fillId="4" borderId="0" xfId="0" applyNumberFormat="1" applyFont="1" applyFill="1" applyBorder="1" applyAlignment="1" applyProtection="1">
      <alignment horizontal="center"/>
      <protection/>
    </xf>
    <xf numFmtId="2" fontId="13" fillId="4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190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ont="1" applyFill="1" applyBorder="1" applyAlignment="1" applyProtection="1">
      <alignment horizontal="center"/>
      <protection locked="0"/>
    </xf>
    <xf numFmtId="185" fontId="0" fillId="4" borderId="0" xfId="20" applyNumberFormat="1" applyFont="1" applyFill="1" applyBorder="1" applyAlignment="1" applyProtection="1">
      <alignment/>
      <protection locked="0"/>
    </xf>
    <xf numFmtId="179" fontId="0" fillId="2" borderId="0" xfId="20" applyNumberFormat="1" applyFont="1" applyFill="1" applyBorder="1" applyAlignment="1" applyProtection="1">
      <alignment horizontal="center"/>
      <protection locked="0"/>
    </xf>
    <xf numFmtId="179" fontId="0" fillId="2" borderId="0" xfId="0" applyNumberFormat="1" applyFont="1" applyFill="1" applyBorder="1" applyAlignment="1" applyProtection="1">
      <alignment horizontal="center"/>
      <protection locked="0"/>
    </xf>
    <xf numFmtId="179" fontId="0" fillId="3" borderId="0" xfId="0" applyNumberFormat="1" applyFont="1" applyFill="1" applyBorder="1" applyAlignment="1" applyProtection="1">
      <alignment horizontal="center"/>
      <protection/>
    </xf>
    <xf numFmtId="186" fontId="0" fillId="2" borderId="0" xfId="0" applyNumberFormat="1" applyFont="1" applyFill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 horizontal="center"/>
      <protection/>
    </xf>
    <xf numFmtId="190" fontId="2" fillId="4" borderId="0" xfId="0" applyNumberFormat="1" applyFont="1" applyFill="1" applyBorder="1" applyAlignment="1" applyProtection="1">
      <alignment horizontal="center"/>
      <protection/>
    </xf>
    <xf numFmtId="0" fontId="2" fillId="4" borderId="0" xfId="0" applyNumberFormat="1" applyFont="1" applyFill="1" applyBorder="1" applyAlignment="1" applyProtection="1">
      <alignment horizontal="center"/>
      <protection/>
    </xf>
    <xf numFmtId="168" fontId="2" fillId="3" borderId="0" xfId="0" applyNumberFormat="1" applyFont="1" applyFill="1" applyBorder="1" applyAlignment="1" applyProtection="1">
      <alignment/>
      <protection/>
    </xf>
    <xf numFmtId="2" fontId="2" fillId="3" borderId="0" xfId="0" applyNumberFormat="1" applyFont="1" applyFill="1" applyBorder="1" applyAlignment="1" applyProtection="1">
      <alignment/>
      <protection/>
    </xf>
    <xf numFmtId="185" fontId="2" fillId="4" borderId="0" xfId="0" applyNumberFormat="1" applyFont="1" applyFill="1" applyBorder="1" applyAlignment="1" applyProtection="1">
      <alignment/>
      <protection/>
    </xf>
    <xf numFmtId="168" fontId="2" fillId="4" borderId="0" xfId="0" applyNumberFormat="1" applyFont="1" applyFill="1" applyBorder="1" applyAlignment="1" applyProtection="1">
      <alignment/>
      <protection/>
    </xf>
    <xf numFmtId="2" fontId="2" fillId="4" borderId="0" xfId="0" applyNumberFormat="1" applyFont="1" applyFill="1" applyBorder="1" applyAlignment="1" applyProtection="1">
      <alignment/>
      <protection/>
    </xf>
    <xf numFmtId="185" fontId="0" fillId="2" borderId="0" xfId="20" applyNumberFormat="1" applyFont="1" applyFill="1" applyBorder="1" applyAlignment="1" applyProtection="1">
      <alignment/>
      <protection locked="0"/>
    </xf>
    <xf numFmtId="185" fontId="0" fillId="2" borderId="0" xfId="20" applyNumberFormat="1" applyFont="1" applyFill="1" applyBorder="1" applyAlignment="1" applyProtection="1">
      <alignment horizontal="left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179" fontId="0" fillId="4" borderId="0" xfId="2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0" xfId="0" applyNumberFormat="1" applyFont="1" applyFill="1" applyBorder="1" applyAlignment="1" applyProtection="1">
      <alignment horizontal="center"/>
      <protection locked="0"/>
    </xf>
    <xf numFmtId="179" fontId="0" fillId="5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 quotePrefix="1">
      <alignment horizontal="right"/>
      <protection/>
    </xf>
    <xf numFmtId="0" fontId="2" fillId="2" borderId="0" xfId="0" applyFont="1" applyFill="1" applyBorder="1" applyAlignment="1" applyProtection="1" quotePrefix="1">
      <alignment horizontal="right"/>
      <protection locked="0"/>
    </xf>
    <xf numFmtId="179" fontId="2" fillId="4" borderId="0" xfId="0" applyNumberFormat="1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190" fontId="0" fillId="2" borderId="7" xfId="0" applyNumberFormat="1" applyFont="1" applyFill="1" applyBorder="1" applyAlignment="1" applyProtection="1">
      <alignment horizontal="center"/>
      <protection locked="0"/>
    </xf>
    <xf numFmtId="0" fontId="0" fillId="2" borderId="7" xfId="0" applyNumberFormat="1" applyFont="1" applyFill="1" applyBorder="1" applyAlignment="1" applyProtection="1">
      <alignment horizontal="center"/>
      <protection locked="0"/>
    </xf>
    <xf numFmtId="185" fontId="0" fillId="2" borderId="7" xfId="20" applyNumberFormat="1" applyFont="1" applyFill="1" applyBorder="1" applyAlignment="1" applyProtection="1">
      <alignment/>
      <protection/>
    </xf>
    <xf numFmtId="185" fontId="0" fillId="2" borderId="7" xfId="20" applyNumberFormat="1" applyFont="1" applyFill="1" applyBorder="1" applyAlignment="1" applyProtection="1">
      <alignment/>
      <protection locked="0"/>
    </xf>
    <xf numFmtId="179" fontId="0" fillId="2" borderId="7" xfId="20" applyNumberFormat="1" applyFont="1" applyFill="1" applyBorder="1" applyAlignment="1" applyProtection="1">
      <alignment horizontal="center"/>
      <protection locked="0"/>
    </xf>
    <xf numFmtId="179" fontId="0" fillId="2" borderId="7" xfId="0" applyNumberFormat="1" applyFont="1" applyFill="1" applyBorder="1" applyAlignment="1" applyProtection="1">
      <alignment horizontal="center"/>
      <protection locked="0"/>
    </xf>
    <xf numFmtId="179" fontId="0" fillId="2" borderId="7" xfId="0" applyNumberFormat="1" applyFont="1" applyFill="1" applyBorder="1" applyAlignment="1" applyProtection="1">
      <alignment horizontal="center"/>
      <protection/>
    </xf>
    <xf numFmtId="185" fontId="0" fillId="2" borderId="7" xfId="20" applyNumberFormat="1" applyFont="1" applyFill="1" applyBorder="1" applyAlignment="1" applyProtection="1">
      <alignment horizontal="left"/>
      <protection/>
    </xf>
    <xf numFmtId="168" fontId="0" fillId="2" borderId="7" xfId="0" applyNumberFormat="1" applyFont="1" applyFill="1" applyBorder="1" applyAlignment="1" applyProtection="1">
      <alignment horizontal="center"/>
      <protection/>
    </xf>
    <xf numFmtId="2" fontId="0" fillId="2" borderId="7" xfId="0" applyNumberFormat="1" applyFont="1" applyFill="1" applyBorder="1" applyAlignment="1" applyProtection="1">
      <alignment horizontal="center"/>
      <protection/>
    </xf>
    <xf numFmtId="190" fontId="0" fillId="3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 locked="0"/>
    </xf>
    <xf numFmtId="10" fontId="7" fillId="3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5" fillId="2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/>
    </xf>
    <xf numFmtId="0" fontId="15" fillId="2" borderId="5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10" fontId="2" fillId="3" borderId="0" xfId="0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/>
      <protection/>
    </xf>
    <xf numFmtId="168" fontId="0" fillId="3" borderId="0" xfId="0" applyNumberFormat="1" applyFill="1" applyBorder="1" applyAlignment="1" applyProtection="1">
      <alignment horizontal="center"/>
      <protection/>
    </xf>
    <xf numFmtId="168" fontId="0" fillId="4" borderId="0" xfId="0" applyNumberFormat="1" applyFill="1" applyBorder="1" applyAlignment="1" applyProtection="1">
      <alignment horizontal="center"/>
      <protection/>
    </xf>
    <xf numFmtId="168" fontId="0" fillId="2" borderId="0" xfId="0" applyNumberFormat="1" applyFill="1" applyBorder="1" applyAlignment="1" applyProtection="1">
      <alignment horizontal="center"/>
      <protection/>
    </xf>
    <xf numFmtId="182" fontId="13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15" fillId="2" borderId="4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0" fontId="0" fillId="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5" fillId="0" borderId="4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5" fillId="0" borderId="5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4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 horizontal="right"/>
    </xf>
    <xf numFmtId="2" fontId="11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4" borderId="0" xfId="0" applyNumberFormat="1" applyFont="1" applyFill="1" applyBorder="1" applyAlignment="1" applyProtection="1">
      <alignment/>
      <protection/>
    </xf>
    <xf numFmtId="179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170" fontId="0" fillId="3" borderId="0" xfId="0" applyNumberFormat="1" applyFont="1" applyFill="1" applyBorder="1" applyAlignment="1" applyProtection="1">
      <alignment/>
      <protection/>
    </xf>
    <xf numFmtId="170" fontId="0" fillId="3" borderId="0" xfId="0" applyNumberFormat="1" applyFont="1" applyFill="1" applyBorder="1" applyAlignment="1" applyProtection="1">
      <alignment/>
      <protection locked="0"/>
    </xf>
    <xf numFmtId="0" fontId="0" fillId="4" borderId="0" xfId="0" applyFont="1" applyFill="1" applyBorder="1" applyAlignment="1">
      <alignment horizontal="center"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4" xfId="0" applyFont="1" applyBorder="1" applyAlignment="1" applyProtection="1">
      <alignment/>
      <protection/>
    </xf>
    <xf numFmtId="168" fontId="13" fillId="3" borderId="0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4" fillId="4" borderId="0" xfId="0" applyFont="1" applyFill="1" applyBorder="1" applyAlignment="1" applyProtection="1">
      <alignment/>
      <protection/>
    </xf>
    <xf numFmtId="168" fontId="3" fillId="3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12" fillId="2" borderId="4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12" fillId="2" borderId="5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0" fillId="2" borderId="0" xfId="0" applyNumberFormat="1" applyFill="1" applyBorder="1" applyAlignment="1">
      <alignment/>
    </xf>
    <xf numFmtId="171" fontId="0" fillId="2" borderId="0" xfId="0" applyNumberForma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8" fontId="0" fillId="2" borderId="0" xfId="0" applyNumberFormat="1" applyFont="1" applyFill="1" applyBorder="1" applyAlignment="1" applyProtection="1">
      <alignment/>
      <protection locked="0"/>
    </xf>
    <xf numFmtId="168" fontId="0" fillId="5" borderId="0" xfId="0" applyNumberFormat="1" applyFont="1" applyFill="1" applyBorder="1" applyAlignment="1" applyProtection="1">
      <alignment/>
      <protection locked="0"/>
    </xf>
    <xf numFmtId="0" fontId="3" fillId="2" borderId="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/>
    </xf>
    <xf numFmtId="168" fontId="3" fillId="3" borderId="0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168" fontId="3" fillId="3" borderId="0" xfId="0" applyNumberFormat="1" applyFont="1" applyFill="1" applyBorder="1" applyAlignment="1">
      <alignment horizontal="center"/>
    </xf>
    <xf numFmtId="168" fontId="3" fillId="4" borderId="0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4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 applyProtection="1">
      <alignment/>
      <protection/>
    </xf>
    <xf numFmtId="186" fontId="2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0" xfId="0" applyFont="1" applyFill="1" applyBorder="1" applyAlignment="1" applyProtection="1">
      <alignment/>
      <protection locked="0"/>
    </xf>
    <xf numFmtId="19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185" fontId="2" fillId="2" borderId="0" xfId="20" applyNumberFormat="1" applyFont="1" applyFill="1" applyBorder="1" applyAlignment="1" applyProtection="1">
      <alignment/>
      <protection/>
    </xf>
    <xf numFmtId="185" fontId="2" fillId="2" borderId="0" xfId="20" applyNumberFormat="1" applyFont="1" applyFill="1" applyBorder="1" applyAlignment="1" applyProtection="1">
      <alignment/>
      <protection locked="0"/>
    </xf>
    <xf numFmtId="179" fontId="2" fillId="2" borderId="0" xfId="20" applyNumberFormat="1" applyFont="1" applyFill="1" applyBorder="1" applyAlignment="1" applyProtection="1">
      <alignment horizontal="center"/>
      <protection locked="0"/>
    </xf>
    <xf numFmtId="179" fontId="2" fillId="2" borderId="0" xfId="0" applyNumberFormat="1" applyFont="1" applyFill="1" applyBorder="1" applyAlignment="1" applyProtection="1">
      <alignment horizontal="center"/>
      <protection locked="0"/>
    </xf>
    <xf numFmtId="179" fontId="2" fillId="2" borderId="0" xfId="0" applyNumberFormat="1" applyFont="1" applyFill="1" applyBorder="1" applyAlignment="1" applyProtection="1">
      <alignment horizontal="center"/>
      <protection/>
    </xf>
    <xf numFmtId="185" fontId="2" fillId="2" borderId="0" xfId="20" applyNumberFormat="1" applyFont="1" applyFill="1" applyBorder="1" applyAlignment="1" applyProtection="1">
      <alignment horizontal="left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186" fontId="2" fillId="2" borderId="0" xfId="0" applyNumberFormat="1" applyFont="1" applyFill="1" applyBorder="1" applyAlignment="1" applyProtection="1">
      <alignment/>
      <protection locked="0"/>
    </xf>
    <xf numFmtId="190" fontId="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179" fontId="2" fillId="2" borderId="0" xfId="0" applyNumberFormat="1" applyFont="1" applyFill="1" applyBorder="1" applyAlignment="1" applyProtection="1">
      <alignment/>
      <protection/>
    </xf>
    <xf numFmtId="2" fontId="2" fillId="2" borderId="0" xfId="0" applyNumberFormat="1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left"/>
      <protection/>
    </xf>
    <xf numFmtId="191" fontId="22" fillId="2" borderId="0" xfId="0" applyNumberFormat="1" applyFont="1" applyFill="1" applyBorder="1" applyAlignment="1" applyProtection="1">
      <alignment horizontal="left"/>
      <protection/>
    </xf>
    <xf numFmtId="0" fontId="22" fillId="2" borderId="0" xfId="0" applyFont="1" applyFill="1" applyBorder="1" applyAlignment="1" applyProtection="1">
      <alignment horizontal="left"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176" fontId="0" fillId="4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76" fontId="0" fillId="2" borderId="0" xfId="0" applyNumberFormat="1" applyFont="1" applyFill="1" applyBorder="1" applyAlignment="1" applyProtection="1">
      <alignment/>
      <protection/>
    </xf>
    <xf numFmtId="0" fontId="13" fillId="2" borderId="0" xfId="0" applyFont="1" applyFill="1" applyBorder="1" applyAlignment="1">
      <alignment horizontal="right"/>
    </xf>
    <xf numFmtId="168" fontId="0" fillId="3" borderId="0" xfId="20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19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185" fontId="0" fillId="2" borderId="2" xfId="20" applyNumberFormat="1" applyFont="1" applyFill="1" applyBorder="1" applyAlignment="1" applyProtection="1">
      <alignment/>
      <protection/>
    </xf>
    <xf numFmtId="185" fontId="0" fillId="2" borderId="2" xfId="20" applyNumberFormat="1" applyFont="1" applyFill="1" applyBorder="1" applyAlignment="1" applyProtection="1">
      <alignment/>
      <protection locked="0"/>
    </xf>
    <xf numFmtId="179" fontId="0" fillId="2" borderId="2" xfId="20" applyNumberFormat="1" applyFont="1" applyFill="1" applyBorder="1" applyAlignment="1" applyProtection="1">
      <alignment horizontal="center"/>
      <protection locked="0"/>
    </xf>
    <xf numFmtId="179" fontId="0" fillId="2" borderId="2" xfId="0" applyNumberFormat="1" applyFont="1" applyFill="1" applyBorder="1" applyAlignment="1" applyProtection="1">
      <alignment horizontal="center"/>
      <protection locked="0"/>
    </xf>
    <xf numFmtId="185" fontId="0" fillId="2" borderId="2" xfId="20" applyNumberFormat="1" applyFont="1" applyFill="1" applyBorder="1" applyAlignment="1" applyProtection="1">
      <alignment horizontal="left"/>
      <protection/>
    </xf>
    <xf numFmtId="168" fontId="0" fillId="2" borderId="2" xfId="0" applyNumberFormat="1" applyFont="1" applyFill="1" applyBorder="1" applyAlignment="1" applyProtection="1">
      <alignment horizontal="center"/>
      <protection/>
    </xf>
    <xf numFmtId="2" fontId="0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10" fontId="0" fillId="5" borderId="0" xfId="0" applyNumberFormat="1" applyFont="1" applyFill="1" applyBorder="1" applyAlignment="1" applyProtection="1">
      <alignment/>
      <protection locked="0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27" fillId="2" borderId="0" xfId="0" applyFont="1" applyFill="1" applyBorder="1" applyAlignment="1" applyProtection="1">
      <alignment/>
      <protection/>
    </xf>
    <xf numFmtId="0" fontId="28" fillId="2" borderId="0" xfId="0" applyFont="1" applyFill="1" applyBorder="1" applyAlignment="1" applyProtection="1">
      <alignment/>
      <protection/>
    </xf>
    <xf numFmtId="168" fontId="0" fillId="2" borderId="0" xfId="0" applyNumberFormat="1" applyFill="1" applyBorder="1" applyAlignment="1" applyProtection="1">
      <alignment/>
      <protection/>
    </xf>
    <xf numFmtId="168" fontId="0" fillId="3" borderId="0" xfId="0" applyNumberForma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27" fillId="4" borderId="0" xfId="0" applyFont="1" applyFill="1" applyBorder="1" applyAlignment="1" applyProtection="1">
      <alignment horizontal="center"/>
      <protection/>
    </xf>
    <xf numFmtId="1" fontId="13" fillId="4" borderId="0" xfId="0" applyNumberFormat="1" applyFont="1" applyFill="1" applyBorder="1" applyAlignment="1" applyProtection="1" quotePrefix="1">
      <alignment horizontal="center"/>
      <protection/>
    </xf>
    <xf numFmtId="168" fontId="0" fillId="2" borderId="0" xfId="0" applyNumberFormat="1" applyFill="1" applyBorder="1" applyAlignment="1" applyProtection="1">
      <alignment horizontal="center"/>
      <protection locked="0"/>
    </xf>
    <xf numFmtId="0" fontId="0" fillId="3" borderId="0" xfId="0" applyNumberFormat="1" applyFont="1" applyFill="1" applyBorder="1" applyAlignment="1" applyProtection="1">
      <alignment horizontal="center"/>
      <protection/>
    </xf>
    <xf numFmtId="168" fontId="27" fillId="3" borderId="0" xfId="0" applyNumberFormat="1" applyFont="1" applyFill="1" applyBorder="1" applyAlignment="1" applyProtection="1">
      <alignment horizontal="center"/>
      <protection/>
    </xf>
    <xf numFmtId="168" fontId="28" fillId="3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/>
      <protection/>
    </xf>
    <xf numFmtId="0" fontId="27" fillId="4" borderId="0" xfId="0" applyFont="1" applyFill="1" applyBorder="1" applyAlignment="1" applyProtection="1">
      <alignment/>
      <protection/>
    </xf>
    <xf numFmtId="0" fontId="28" fillId="4" borderId="0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left"/>
      <protection/>
    </xf>
    <xf numFmtId="0" fontId="12" fillId="2" borderId="5" xfId="0" applyFont="1" applyFill="1" applyBorder="1" applyAlignment="1" applyProtection="1">
      <alignment/>
      <protection/>
    </xf>
    <xf numFmtId="0" fontId="13" fillId="2" borderId="4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left"/>
      <protection/>
    </xf>
    <xf numFmtId="168" fontId="0" fillId="5" borderId="0" xfId="0" applyNumberFormat="1" applyFont="1" applyFill="1" applyBorder="1" applyAlignment="1" applyProtection="1">
      <alignment/>
      <protection locked="0"/>
    </xf>
    <xf numFmtId="168" fontId="0" fillId="4" borderId="0" xfId="0" applyNumberFormat="1" applyFill="1" applyAlignment="1" applyProtection="1">
      <alignment/>
      <protection/>
    </xf>
    <xf numFmtId="168" fontId="2" fillId="4" borderId="0" xfId="0" applyNumberFormat="1" applyFont="1" applyFill="1" applyAlignment="1" applyProtection="1">
      <alignment/>
      <protection/>
    </xf>
    <xf numFmtId="168" fontId="0" fillId="4" borderId="0" xfId="0" applyNumberFormat="1" applyFill="1" applyBorder="1" applyAlignment="1" applyProtection="1">
      <alignment/>
      <protection/>
    </xf>
    <xf numFmtId="168" fontId="28" fillId="3" borderId="0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 locked="0"/>
    </xf>
    <xf numFmtId="49" fontId="11" fillId="2" borderId="0" xfId="0" applyNumberFormat="1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49" fontId="3" fillId="3" borderId="0" xfId="0" applyNumberFormat="1" applyFont="1" applyFill="1" applyBorder="1" applyAlignment="1" applyProtection="1">
      <alignment horizontal="center"/>
      <protection/>
    </xf>
    <xf numFmtId="49" fontId="0" fillId="4" borderId="0" xfId="0" applyNumberFormat="1" applyFill="1" applyBorder="1" applyAlignment="1" applyProtection="1">
      <alignment horizontal="center"/>
      <protection/>
    </xf>
    <xf numFmtId="49" fontId="0" fillId="4" borderId="0" xfId="0" applyNumberForma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49" fontId="11" fillId="2" borderId="0" xfId="0" applyNumberFormat="1" applyFont="1" applyFill="1" applyBorder="1" applyAlignment="1" applyProtection="1">
      <alignment horizontal="right"/>
      <protection/>
    </xf>
    <xf numFmtId="1" fontId="1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>
      <alignment horizontal="left"/>
      <protection/>
    </xf>
    <xf numFmtId="168" fontId="2" fillId="3" borderId="0" xfId="0" applyNumberFormat="1" applyFont="1" applyFill="1" applyBorder="1" applyAlignment="1" applyProtection="1">
      <alignment horizontal="left"/>
      <protection/>
    </xf>
    <xf numFmtId="168" fontId="0" fillId="2" borderId="0" xfId="0" applyNumberFormat="1" applyFont="1" applyFill="1" applyBorder="1" applyAlignment="1" applyProtection="1">
      <alignment horizontal="left"/>
      <protection/>
    </xf>
    <xf numFmtId="168" fontId="0" fillId="4" borderId="0" xfId="0" applyNumberFormat="1" applyFont="1" applyFill="1" applyBorder="1" applyAlignment="1" applyProtection="1">
      <alignment horizontal="left"/>
      <protection/>
    </xf>
    <xf numFmtId="168" fontId="0" fillId="2" borderId="0" xfId="0" applyNumberFormat="1" applyFont="1" applyFill="1" applyBorder="1" applyAlignment="1" applyProtection="1">
      <alignment horizontal="left"/>
      <protection locked="0"/>
    </xf>
    <xf numFmtId="168" fontId="0" fillId="5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Border="1" applyAlignment="1" applyProtection="1">
      <alignment/>
      <protection/>
    </xf>
    <xf numFmtId="168" fontId="22" fillId="3" borderId="0" xfId="0" applyNumberFormat="1" applyFont="1" applyFill="1" applyBorder="1" applyAlignment="1" applyProtection="1">
      <alignment horizontal="left"/>
      <protection/>
    </xf>
    <xf numFmtId="168" fontId="0" fillId="3" borderId="0" xfId="0" applyNumberFormat="1" applyFont="1" applyFill="1" applyBorder="1" applyAlignment="1" applyProtection="1">
      <alignment horizontal="right"/>
      <protection/>
    </xf>
    <xf numFmtId="168" fontId="2" fillId="3" borderId="0" xfId="20" applyNumberFormat="1" applyFont="1" applyFill="1" applyBorder="1" applyAlignment="1" applyProtection="1">
      <alignment horizontal="right"/>
      <protection/>
    </xf>
    <xf numFmtId="185" fontId="0" fillId="4" borderId="0" xfId="0" applyNumberFormat="1" applyFont="1" applyFill="1" applyBorder="1" applyAlignment="1" applyProtection="1">
      <alignment horizontal="right"/>
      <protection/>
    </xf>
    <xf numFmtId="0" fontId="0" fillId="3" borderId="0" xfId="0" applyFont="1" applyFill="1" applyBorder="1" applyAlignment="1" applyProtection="1">
      <alignment horizontal="center"/>
      <protection/>
    </xf>
    <xf numFmtId="9" fontId="0" fillId="2" borderId="0" xfId="19" applyFont="1" applyFill="1" applyBorder="1" applyAlignment="1" applyProtection="1">
      <alignment horizontal="center"/>
      <protection locked="0"/>
    </xf>
    <xf numFmtId="189" fontId="0" fillId="2" borderId="0" xfId="19" applyNumberFormat="1" applyFont="1" applyFill="1" applyBorder="1" applyAlignment="1" applyProtection="1">
      <alignment horizontal="center"/>
      <protection locked="0"/>
    </xf>
    <xf numFmtId="9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right"/>
      <protection/>
    </xf>
    <xf numFmtId="9" fontId="0" fillId="2" borderId="5" xfId="19" applyFont="1" applyFill="1" applyBorder="1" applyAlignment="1" applyProtection="1">
      <alignment horizontal="right"/>
      <protection/>
    </xf>
    <xf numFmtId="168" fontId="31" fillId="3" borderId="0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49" fontId="3" fillId="3" borderId="0" xfId="0" applyNumberFormat="1" applyFont="1" applyFill="1" applyBorder="1" applyAlignment="1">
      <alignment horizontal="center"/>
    </xf>
    <xf numFmtId="0" fontId="0" fillId="2" borderId="0" xfId="0" applyFill="1" applyBorder="1" applyAlignment="1" applyProtection="1">
      <alignment horizontal="left" indent="4"/>
      <protection/>
    </xf>
    <xf numFmtId="168" fontId="0" fillId="2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/>
      <protection/>
    </xf>
    <xf numFmtId="0" fontId="32" fillId="2" borderId="0" xfId="0" applyFont="1" applyFill="1" applyBorder="1" applyAlignment="1" applyProtection="1">
      <alignment/>
      <protection/>
    </xf>
    <xf numFmtId="168" fontId="2" fillId="3" borderId="0" xfId="0" applyNumberFormat="1" applyFont="1" applyFill="1" applyBorder="1" applyAlignment="1" applyProtection="1">
      <alignment/>
      <protection locked="0"/>
    </xf>
    <xf numFmtId="185" fontId="2" fillId="3" borderId="0" xfId="0" applyNumberFormat="1" applyFont="1" applyFill="1" applyBorder="1" applyAlignment="1" applyProtection="1">
      <alignment horizontal="right"/>
      <protection/>
    </xf>
    <xf numFmtId="168" fontId="2" fillId="3" borderId="0" xfId="20" applyNumberFormat="1" applyFont="1" applyFill="1" applyBorder="1" applyAlignment="1" applyProtection="1">
      <alignment/>
      <protection/>
    </xf>
    <xf numFmtId="168" fontId="0" fillId="3" borderId="0" xfId="0" applyNumberFormat="1" applyFont="1" applyFill="1" applyBorder="1" applyAlignment="1" applyProtection="1">
      <alignment horizontal="center"/>
      <protection locked="0"/>
    </xf>
    <xf numFmtId="168" fontId="0" fillId="3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2" fillId="4" borderId="0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0" fontId="21" fillId="2" borderId="4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left"/>
      <protection/>
    </xf>
    <xf numFmtId="168" fontId="22" fillId="3" borderId="0" xfId="0" applyNumberFormat="1" applyFont="1" applyFill="1" applyBorder="1" applyAlignment="1" applyProtection="1">
      <alignment/>
      <protection/>
    </xf>
    <xf numFmtId="0" fontId="21" fillId="2" borderId="5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 horizontal="center"/>
      <protection/>
    </xf>
    <xf numFmtId="1" fontId="11" fillId="2" borderId="0" xfId="0" applyNumberFormat="1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 horizontal="left"/>
      <protection/>
    </xf>
    <xf numFmtId="49" fontId="11" fillId="2" borderId="0" xfId="0" applyNumberFormat="1" applyFont="1" applyFill="1" applyBorder="1" applyAlignment="1" applyProtection="1">
      <alignment horizontal="center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4" fontId="0" fillId="4" borderId="0" xfId="0" applyNumberFormat="1" applyFont="1" applyFill="1" applyBorder="1" applyAlignment="1" applyProtection="1">
      <alignment horizontal="center"/>
      <protection/>
    </xf>
    <xf numFmtId="170" fontId="0" fillId="4" borderId="0" xfId="0" applyNumberFormat="1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 horizontal="center"/>
      <protection/>
    </xf>
    <xf numFmtId="10" fontId="6" fillId="4" borderId="0" xfId="0" applyNumberFormat="1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left"/>
      <protection/>
    </xf>
    <xf numFmtId="0" fontId="10" fillId="2" borderId="5" xfId="0" applyFont="1" applyFill="1" applyBorder="1" applyAlignment="1" applyProtection="1">
      <alignment horizontal="center"/>
      <protection/>
    </xf>
    <xf numFmtId="168" fontId="0" fillId="3" borderId="0" xfId="20" applyNumberFormat="1" applyFont="1" applyFill="1" applyBorder="1" applyAlignment="1" applyProtection="1">
      <alignment horizontal="left"/>
      <protection/>
    </xf>
    <xf numFmtId="170" fontId="0" fillId="3" borderId="0" xfId="0" applyNumberFormat="1" applyFont="1" applyFill="1" applyBorder="1" applyAlignment="1" applyProtection="1">
      <alignment horizontal="center"/>
      <protection/>
    </xf>
    <xf numFmtId="4" fontId="0" fillId="3" borderId="0" xfId="0" applyNumberFormat="1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center"/>
      <protection/>
    </xf>
    <xf numFmtId="10" fontId="7" fillId="3" borderId="0" xfId="0" applyNumberFormat="1" applyFont="1" applyFill="1" applyBorder="1" applyAlignment="1" applyProtection="1">
      <alignment horizontal="center"/>
      <protection/>
    </xf>
    <xf numFmtId="10" fontId="10" fillId="3" borderId="0" xfId="0" applyNumberFormat="1" applyFont="1" applyFill="1" applyBorder="1" applyAlignment="1" applyProtection="1">
      <alignment horizontal="center"/>
      <protection/>
    </xf>
    <xf numFmtId="170" fontId="0" fillId="2" borderId="0" xfId="0" applyNumberFormat="1" applyFont="1" applyFill="1" applyBorder="1" applyAlignment="1" applyProtection="1">
      <alignment horizontal="center"/>
      <protection locked="0"/>
    </xf>
    <xf numFmtId="170" fontId="0" fillId="5" borderId="0" xfId="0" applyNumberFormat="1" applyFont="1" applyFill="1" applyBorder="1" applyAlignment="1" applyProtection="1">
      <alignment horizontal="center"/>
      <protection locked="0"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10" fontId="7" fillId="2" borderId="0" xfId="0" applyNumberFormat="1" applyFont="1" applyFill="1" applyBorder="1" applyAlignment="1" applyProtection="1">
      <alignment horizontal="center"/>
      <protection locked="0"/>
    </xf>
    <xf numFmtId="10" fontId="0" fillId="5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center"/>
      <protection/>
    </xf>
    <xf numFmtId="179" fontId="0" fillId="2" borderId="0" xfId="0" applyNumberFormat="1" applyFill="1" applyBorder="1" applyAlignment="1" applyProtection="1">
      <alignment/>
      <protection locked="0"/>
    </xf>
    <xf numFmtId="49" fontId="29" fillId="2" borderId="0" xfId="16" applyNumberFormat="1" applyFill="1" applyBorder="1" applyAlignment="1" applyProtection="1">
      <alignment/>
      <protection locked="0"/>
    </xf>
    <xf numFmtId="44" fontId="0" fillId="2" borderId="0" xfId="0" applyNumberFormat="1" applyFont="1" applyFill="1" applyBorder="1" applyAlignment="1" applyProtection="1">
      <alignment horizontal="center"/>
      <protection locked="0"/>
    </xf>
    <xf numFmtId="44" fontId="0" fillId="5" borderId="0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ont="1" applyFill="1" applyBorder="1" applyAlignment="1" applyProtection="1">
      <alignment horizontal="center"/>
      <protection locked="0"/>
    </xf>
    <xf numFmtId="15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/>
    </xf>
    <xf numFmtId="0" fontId="12" fillId="2" borderId="5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 quotePrefix="1">
      <alignment horizontal="left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 quotePrefix="1">
      <alignment horizontal="left"/>
      <protection/>
    </xf>
    <xf numFmtId="0" fontId="0" fillId="4" borderId="0" xfId="0" applyFont="1" applyFill="1" applyBorder="1" applyAlignment="1" applyProtection="1" quotePrefix="1">
      <alignment horizontal="right"/>
      <protection/>
    </xf>
    <xf numFmtId="0" fontId="0" fillId="4" borderId="0" xfId="0" applyFont="1" applyFill="1" applyBorder="1" applyAlignment="1" applyProtection="1" quotePrefix="1">
      <alignment horizontal="center"/>
      <protection/>
    </xf>
    <xf numFmtId="180" fontId="0" fillId="3" borderId="0" xfId="0" applyNumberFormat="1" applyFont="1" applyFill="1" applyBorder="1" applyAlignment="1" applyProtection="1">
      <alignment horizontal="center"/>
      <protection/>
    </xf>
    <xf numFmtId="180" fontId="0" fillId="4" borderId="0" xfId="0" applyNumberFormat="1" applyFont="1" applyFill="1" applyBorder="1" applyAlignment="1" applyProtection="1">
      <alignment horizontal="center"/>
      <protection/>
    </xf>
    <xf numFmtId="170" fontId="3" fillId="4" borderId="0" xfId="0" applyNumberFormat="1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4" xfId="0" applyNumberFormat="1" applyFont="1" applyFill="1" applyBorder="1" applyAlignment="1" applyProtection="1">
      <alignment/>
      <protection/>
    </xf>
    <xf numFmtId="0" fontId="2" fillId="4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center"/>
      <protection/>
    </xf>
    <xf numFmtId="0" fontId="0" fillId="2" borderId="5" xfId="0" applyNumberFormat="1" applyFont="1" applyFill="1" applyBorder="1" applyAlignment="1" applyProtection="1">
      <alignment horizontal="center"/>
      <protection/>
    </xf>
    <xf numFmtId="0" fontId="3" fillId="4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 applyProtection="1">
      <alignment horizontal="center"/>
      <protection/>
    </xf>
    <xf numFmtId="183" fontId="11" fillId="2" borderId="0" xfId="0" applyNumberFormat="1" applyFont="1" applyFill="1" applyBorder="1" applyAlignment="1" applyProtection="1">
      <alignment/>
      <protection/>
    </xf>
    <xf numFmtId="3" fontId="11" fillId="6" borderId="0" xfId="0" applyNumberFormat="1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 horizontal="center" wrapText="1"/>
      <protection/>
    </xf>
    <xf numFmtId="3" fontId="11" fillId="2" borderId="0" xfId="0" applyNumberFormat="1" applyFont="1" applyFill="1" applyBorder="1" applyAlignment="1" applyProtection="1">
      <alignment/>
      <protection/>
    </xf>
    <xf numFmtId="2" fontId="11" fillId="2" borderId="0" xfId="0" applyNumberFormat="1" applyFont="1" applyFill="1" applyBorder="1" applyAlignment="1" applyProtection="1">
      <alignment horizontal="center" wrapText="1"/>
      <protection/>
    </xf>
    <xf numFmtId="49" fontId="0" fillId="3" borderId="0" xfId="0" applyNumberFormat="1" applyFont="1" applyFill="1" applyBorder="1" applyAlignment="1" applyProtection="1">
      <alignment horizontal="center"/>
      <protection/>
    </xf>
    <xf numFmtId="15" fontId="0" fillId="3" borderId="0" xfId="0" applyNumberFormat="1" applyFont="1" applyFill="1" applyBorder="1" applyAlignment="1" applyProtection="1">
      <alignment horizontal="center"/>
      <protection/>
    </xf>
    <xf numFmtId="2" fontId="0" fillId="4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 horizontal="center"/>
      <protection locked="0"/>
    </xf>
    <xf numFmtId="44" fontId="0" fillId="4" borderId="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/>
    </xf>
    <xf numFmtId="49" fontId="2" fillId="2" borderId="0" xfId="0" applyNumberFormat="1" applyFont="1" applyFill="1" applyBorder="1" applyAlignment="1" applyProtection="1">
      <alignment/>
      <protection locked="0"/>
    </xf>
    <xf numFmtId="44" fontId="0" fillId="3" borderId="0" xfId="20" applyNumberFormat="1" applyFont="1" applyFill="1" applyBorder="1" applyAlignment="1" applyProtection="1">
      <alignment horizontal="left"/>
      <protection/>
    </xf>
    <xf numFmtId="2" fontId="0" fillId="3" borderId="0" xfId="0" applyNumberFormat="1" applyFill="1" applyBorder="1" applyAlignment="1">
      <alignment horizontal="center"/>
    </xf>
    <xf numFmtId="189" fontId="0" fillId="3" borderId="0" xfId="19" applyNumberFormat="1" applyFont="1" applyFill="1" applyBorder="1" applyAlignment="1" applyProtection="1">
      <alignment horizontal="center"/>
      <protection/>
    </xf>
    <xf numFmtId="168" fontId="0" fillId="2" borderId="7" xfId="0" applyNumberFormat="1" applyFill="1" applyBorder="1" applyAlignment="1" applyProtection="1">
      <alignment horizontal="center"/>
      <protection/>
    </xf>
    <xf numFmtId="168" fontId="0" fillId="2" borderId="2" xfId="0" applyNumberFormat="1" applyFill="1" applyBorder="1" applyAlignment="1" applyProtection="1">
      <alignment horizontal="center"/>
      <protection/>
    </xf>
    <xf numFmtId="179" fontId="33" fillId="0" borderId="0" xfId="0" applyNumberFormat="1" applyFont="1" applyFill="1" applyBorder="1" applyAlignment="1" applyProtection="1">
      <alignment horizontal="center"/>
      <protection locked="0"/>
    </xf>
    <xf numFmtId="44" fontId="0" fillId="3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217"/>
  <sheetViews>
    <sheetView showGridLines="0" zoomScale="90" zoomScaleNormal="90" workbookViewId="0" topLeftCell="A1">
      <selection activeCell="B2" sqref="B2"/>
    </sheetView>
  </sheetViews>
  <sheetFormatPr defaultColWidth="9.140625" defaultRowHeight="12.75"/>
  <cols>
    <col min="1" max="1" width="5.7109375" style="2" customWidth="1"/>
    <col min="2" max="2" width="2.7109375" style="2" customWidth="1"/>
    <col min="3" max="16384" width="9.140625" style="2" customWidth="1"/>
  </cols>
  <sheetData>
    <row r="4" spans="3:12" ht="12.75">
      <c r="C4" s="1" t="s">
        <v>553</v>
      </c>
      <c r="K4" s="1" t="s">
        <v>357</v>
      </c>
      <c r="L4" s="5" t="s">
        <v>592</v>
      </c>
    </row>
    <row r="5" spans="3:11" ht="12.75">
      <c r="C5" s="1"/>
      <c r="K5" s="1"/>
    </row>
    <row r="6" spans="3:11" ht="12.75">
      <c r="C6" s="1" t="s">
        <v>593</v>
      </c>
      <c r="K6" s="1"/>
    </row>
    <row r="8" ht="12.75">
      <c r="C8" s="1" t="s">
        <v>97</v>
      </c>
    </row>
    <row r="9" ht="12.75">
      <c r="C9" s="2" t="s">
        <v>488</v>
      </c>
    </row>
    <row r="10" ht="12.75">
      <c r="C10" s="2" t="s">
        <v>558</v>
      </c>
    </row>
    <row r="11" ht="12.75">
      <c r="C11" s="2" t="s">
        <v>559</v>
      </c>
    </row>
    <row r="12" ht="12.75">
      <c r="C12" s="2" t="s">
        <v>560</v>
      </c>
    </row>
    <row r="13" ht="12.75">
      <c r="C13" s="2" t="s">
        <v>561</v>
      </c>
    </row>
    <row r="15" ht="12.75">
      <c r="C15" s="2" t="s">
        <v>142</v>
      </c>
    </row>
    <row r="16" ht="12.75">
      <c r="C16" s="2" t="s">
        <v>562</v>
      </c>
    </row>
    <row r="17" ht="12.75">
      <c r="C17" s="2" t="s">
        <v>563</v>
      </c>
    </row>
    <row r="18" ht="12.75">
      <c r="C18" s="2" t="s">
        <v>564</v>
      </c>
    </row>
    <row r="19" ht="12.75">
      <c r="C19" s="2" t="s">
        <v>278</v>
      </c>
    </row>
    <row r="20" ht="12.75">
      <c r="C20" s="2" t="s">
        <v>98</v>
      </c>
    </row>
    <row r="21" ht="12.75">
      <c r="C21" s="2" t="s">
        <v>575</v>
      </c>
    </row>
    <row r="22" ht="12.75">
      <c r="I22" s="1"/>
    </row>
    <row r="23" ht="12.75">
      <c r="C23" s="2" t="s">
        <v>116</v>
      </c>
    </row>
    <row r="24" ht="12.75">
      <c r="C24" s="2" t="s">
        <v>117</v>
      </c>
    </row>
    <row r="26" ht="12.75">
      <c r="C26" s="2" t="s">
        <v>437</v>
      </c>
    </row>
    <row r="27" ht="12.75">
      <c r="C27" s="2" t="s">
        <v>438</v>
      </c>
    </row>
    <row r="28" ht="12.75">
      <c r="C28" s="2" t="s">
        <v>439</v>
      </c>
    </row>
    <row r="29" ht="12.75">
      <c r="C29" s="2" t="s">
        <v>440</v>
      </c>
    </row>
    <row r="30" ht="12.75">
      <c r="C30" s="2" t="s">
        <v>441</v>
      </c>
    </row>
    <row r="31" ht="12.75">
      <c r="C31" s="2" t="s">
        <v>442</v>
      </c>
    </row>
    <row r="32" ht="12.75">
      <c r="C32" s="2" t="s">
        <v>443</v>
      </c>
    </row>
    <row r="33" ht="12.75">
      <c r="C33" s="2" t="s">
        <v>444</v>
      </c>
    </row>
    <row r="35" ht="12.75">
      <c r="C35" s="1" t="s">
        <v>586</v>
      </c>
    </row>
    <row r="36" ht="12.75">
      <c r="C36" s="2" t="s">
        <v>587</v>
      </c>
    </row>
    <row r="37" ht="12.75">
      <c r="C37" s="2" t="s">
        <v>99</v>
      </c>
    </row>
    <row r="38" ht="12.75">
      <c r="C38" s="2" t="s">
        <v>105</v>
      </c>
    </row>
    <row r="39" ht="12.75">
      <c r="C39" s="2" t="s">
        <v>445</v>
      </c>
    </row>
    <row r="40" ht="12.75">
      <c r="C40" s="2" t="s">
        <v>106</v>
      </c>
    </row>
    <row r="41" ht="12.75">
      <c r="D41" s="2" t="s">
        <v>133</v>
      </c>
    </row>
    <row r="42" ht="12.75">
      <c r="D42" s="2" t="s">
        <v>131</v>
      </c>
    </row>
    <row r="43" ht="12.75">
      <c r="D43" s="2" t="s">
        <v>100</v>
      </c>
    </row>
    <row r="44" ht="12.75">
      <c r="D44" s="2" t="s">
        <v>101</v>
      </c>
    </row>
    <row r="45" ht="12.75">
      <c r="D45" s="2" t="s">
        <v>102</v>
      </c>
    </row>
    <row r="46" ht="12.75">
      <c r="D46" s="2" t="s">
        <v>103</v>
      </c>
    </row>
    <row r="47" ht="12.75">
      <c r="D47" s="2" t="s">
        <v>104</v>
      </c>
    </row>
    <row r="48" ht="12.75">
      <c r="D48" s="2" t="s">
        <v>134</v>
      </c>
    </row>
    <row r="49" ht="12.75">
      <c r="D49" s="2" t="s">
        <v>143</v>
      </c>
    </row>
    <row r="50" ht="12.75">
      <c r="D50" s="2" t="s">
        <v>446</v>
      </c>
    </row>
    <row r="51" ht="12.75">
      <c r="D51" s="2" t="s">
        <v>447</v>
      </c>
    </row>
    <row r="52" ht="12.75">
      <c r="D52" s="2" t="s">
        <v>448</v>
      </c>
    </row>
    <row r="53" ht="12.75">
      <c r="D53" s="2" t="s">
        <v>449</v>
      </c>
    </row>
    <row r="54" ht="12.75">
      <c r="D54" s="2" t="s">
        <v>450</v>
      </c>
    </row>
    <row r="55" ht="12.75">
      <c r="C55" s="2" t="s">
        <v>588</v>
      </c>
    </row>
    <row r="56" ht="12.75">
      <c r="C56" s="2" t="s">
        <v>130</v>
      </c>
    </row>
    <row r="57" ht="12.75">
      <c r="C57" s="2" t="s">
        <v>565</v>
      </c>
    </row>
    <row r="58" ht="12.75">
      <c r="C58" s="2" t="s">
        <v>279</v>
      </c>
    </row>
    <row r="60" ht="12.75">
      <c r="C60" s="5" t="s">
        <v>452</v>
      </c>
    </row>
    <row r="61" ht="12.75">
      <c r="C61" s="2" t="s">
        <v>453</v>
      </c>
    </row>
    <row r="63" ht="12.75">
      <c r="C63" s="5" t="s">
        <v>451</v>
      </c>
    </row>
    <row r="64" ht="12.75">
      <c r="C64" s="2" t="s">
        <v>454</v>
      </c>
    </row>
    <row r="65" ht="12.75">
      <c r="C65" s="2" t="s">
        <v>576</v>
      </c>
    </row>
    <row r="66" ht="12.75">
      <c r="C66" s="2" t="s">
        <v>135</v>
      </c>
    </row>
    <row r="67" ht="12.75">
      <c r="C67" s="2" t="s">
        <v>455</v>
      </c>
    </row>
    <row r="69" ht="12.75">
      <c r="C69" s="1" t="s">
        <v>577</v>
      </c>
    </row>
    <row r="71" ht="12.75">
      <c r="C71" s="1" t="s">
        <v>578</v>
      </c>
    </row>
    <row r="72" ht="12.75">
      <c r="C72" s="2" t="s">
        <v>566</v>
      </c>
    </row>
    <row r="73" ht="12.75">
      <c r="C73" s="2" t="s">
        <v>456</v>
      </c>
    </row>
    <row r="74" ht="12.75">
      <c r="C74" s="2" t="s">
        <v>457</v>
      </c>
    </row>
    <row r="75" ht="12.75">
      <c r="C75" s="2" t="s">
        <v>458</v>
      </c>
    </row>
    <row r="76" ht="12.75">
      <c r="C76" s="2" t="s">
        <v>567</v>
      </c>
    </row>
    <row r="78" ht="12.75">
      <c r="C78" s="1" t="s">
        <v>579</v>
      </c>
    </row>
    <row r="79" ht="12.75">
      <c r="C79" s="2" t="s">
        <v>107</v>
      </c>
    </row>
    <row r="80" ht="12.75">
      <c r="C80" s="2" t="s">
        <v>459</v>
      </c>
    </row>
    <row r="81" ht="12.75">
      <c r="C81" s="2" t="s">
        <v>108</v>
      </c>
    </row>
    <row r="83" ht="12.75">
      <c r="C83" s="1" t="s">
        <v>580</v>
      </c>
    </row>
    <row r="84" ht="12.75">
      <c r="C84" s="2" t="s">
        <v>109</v>
      </c>
    </row>
    <row r="85" ht="12.75">
      <c r="C85" s="2" t="s">
        <v>110</v>
      </c>
    </row>
    <row r="86" ht="12.75">
      <c r="C86" s="2" t="s">
        <v>111</v>
      </c>
    </row>
    <row r="88" ht="12.75">
      <c r="C88" s="1" t="s">
        <v>138</v>
      </c>
    </row>
    <row r="89" ht="12.75">
      <c r="C89" s="2" t="s">
        <v>140</v>
      </c>
    </row>
    <row r="90" ht="12.75">
      <c r="C90" s="2" t="s">
        <v>141</v>
      </c>
    </row>
    <row r="91" ht="12.75">
      <c r="C91" s="2" t="s">
        <v>581</v>
      </c>
    </row>
    <row r="93" ht="12.75">
      <c r="C93" s="1" t="s">
        <v>23</v>
      </c>
    </row>
    <row r="94" ht="12.75">
      <c r="C94" s="2" t="s">
        <v>24</v>
      </c>
    </row>
    <row r="95" ht="12.75">
      <c r="C95" s="2" t="s">
        <v>25</v>
      </c>
    </row>
    <row r="96" ht="12.75">
      <c r="C96" s="2" t="s">
        <v>26</v>
      </c>
    </row>
    <row r="97" ht="12.75">
      <c r="C97" s="2" t="s">
        <v>27</v>
      </c>
    </row>
    <row r="98" ht="12.75">
      <c r="C98" s="2" t="s">
        <v>28</v>
      </c>
    </row>
    <row r="99" ht="12.75">
      <c r="C99" s="2" t="s">
        <v>29</v>
      </c>
    </row>
    <row r="101" ht="12.75">
      <c r="C101" s="5" t="s">
        <v>570</v>
      </c>
    </row>
    <row r="102" ht="12.75">
      <c r="C102" s="2" t="s">
        <v>589</v>
      </c>
    </row>
    <row r="103" ht="12.75">
      <c r="D103" s="2" t="s">
        <v>280</v>
      </c>
    </row>
    <row r="104" ht="12.75">
      <c r="D104" s="2" t="s">
        <v>590</v>
      </c>
    </row>
    <row r="105" ht="12.75">
      <c r="C105" s="2" t="s">
        <v>467</v>
      </c>
    </row>
    <row r="106" ht="12.75">
      <c r="C106" s="2" t="s">
        <v>468</v>
      </c>
    </row>
    <row r="107" ht="12.75">
      <c r="C107" s="2" t="s">
        <v>292</v>
      </c>
    </row>
    <row r="108" ht="12.75">
      <c r="C108" s="2" t="s">
        <v>112</v>
      </c>
    </row>
    <row r="109" ht="12.75">
      <c r="C109" s="2" t="s">
        <v>113</v>
      </c>
    </row>
    <row r="110" ht="12.75">
      <c r="C110" s="2" t="s">
        <v>114</v>
      </c>
    </row>
    <row r="111" ht="12.75">
      <c r="C111" s="2" t="s">
        <v>115</v>
      </c>
    </row>
    <row r="113" ht="12.75">
      <c r="C113" s="1" t="s">
        <v>161</v>
      </c>
    </row>
    <row r="114" spans="3:4" ht="12.75">
      <c r="C114" s="2" t="s">
        <v>137</v>
      </c>
      <c r="D114" s="2" t="s">
        <v>119</v>
      </c>
    </row>
    <row r="115" spans="3:4" ht="12.75">
      <c r="C115" s="2" t="s">
        <v>118</v>
      </c>
      <c r="D115" s="2" t="s">
        <v>281</v>
      </c>
    </row>
    <row r="116" spans="3:4" ht="12.75">
      <c r="C116" s="2" t="s">
        <v>121</v>
      </c>
      <c r="D116" s="2" t="s">
        <v>282</v>
      </c>
    </row>
    <row r="117" ht="12.75">
      <c r="D117" s="2" t="s">
        <v>594</v>
      </c>
    </row>
    <row r="118" spans="3:4" ht="12.75">
      <c r="C118" s="2" t="s">
        <v>120</v>
      </c>
      <c r="D118" s="2" t="s">
        <v>469</v>
      </c>
    </row>
    <row r="119" spans="3:4" ht="12.75">
      <c r="C119" s="2" t="s">
        <v>122</v>
      </c>
      <c r="D119" s="2" t="s">
        <v>123</v>
      </c>
    </row>
    <row r="120" ht="12.75">
      <c r="D120" s="2" t="s">
        <v>144</v>
      </c>
    </row>
    <row r="122" ht="12.75">
      <c r="C122" s="1" t="s">
        <v>283</v>
      </c>
    </row>
    <row r="123" spans="3:4" ht="12.75">
      <c r="C123" s="2" t="s">
        <v>124</v>
      </c>
      <c r="D123" s="2" t="s">
        <v>470</v>
      </c>
    </row>
    <row r="124" ht="12.75">
      <c r="D124" s="2" t="s">
        <v>471</v>
      </c>
    </row>
    <row r="125" spans="3:4" ht="12.75">
      <c r="C125" s="2" t="s">
        <v>472</v>
      </c>
      <c r="D125" s="2" t="s">
        <v>473</v>
      </c>
    </row>
    <row r="126" ht="12.75">
      <c r="D126" s="2" t="s">
        <v>474</v>
      </c>
    </row>
    <row r="128" ht="12.75">
      <c r="C128" s="5" t="s">
        <v>568</v>
      </c>
    </row>
    <row r="129" ht="12.75">
      <c r="C129" s="2" t="s">
        <v>569</v>
      </c>
    </row>
    <row r="130" ht="12.75">
      <c r="C130" s="2" t="s">
        <v>460</v>
      </c>
    </row>
    <row r="131" ht="12.75">
      <c r="C131" s="2" t="s">
        <v>461</v>
      </c>
    </row>
    <row r="132" ht="12.75">
      <c r="C132" s="2" t="s">
        <v>595</v>
      </c>
    </row>
    <row r="133" ht="12.75">
      <c r="C133" s="2" t="s">
        <v>462</v>
      </c>
    </row>
    <row r="134" ht="12.75">
      <c r="C134" s="2" t="s">
        <v>463</v>
      </c>
    </row>
    <row r="135" ht="12.75">
      <c r="C135" s="2" t="s">
        <v>464</v>
      </c>
    </row>
    <row r="136" ht="12.75">
      <c r="C136" s="2" t="s">
        <v>465</v>
      </c>
    </row>
    <row r="137" ht="12.75">
      <c r="C137" s="2" t="s">
        <v>466</v>
      </c>
    </row>
    <row r="138" ht="12.75">
      <c r="C138" s="597" t="s">
        <v>596</v>
      </c>
    </row>
    <row r="140" ht="12.75">
      <c r="C140" s="5" t="s">
        <v>14</v>
      </c>
    </row>
    <row r="141" ht="12.75">
      <c r="C141" s="2" t="s">
        <v>15</v>
      </c>
    </row>
    <row r="142" ht="12.75">
      <c r="C142" s="2" t="s">
        <v>16</v>
      </c>
    </row>
    <row r="143" ht="12.75">
      <c r="C143" s="2" t="s">
        <v>17</v>
      </c>
    </row>
    <row r="144" ht="12.75">
      <c r="C144" s="2" t="s">
        <v>18</v>
      </c>
    </row>
    <row r="146" ht="12.75">
      <c r="C146" s="5" t="s">
        <v>571</v>
      </c>
    </row>
    <row r="147" ht="12.75">
      <c r="C147" s="2" t="s">
        <v>572</v>
      </c>
    </row>
    <row r="148" ht="12.75">
      <c r="C148" s="2" t="s">
        <v>573</v>
      </c>
    </row>
    <row r="149" ht="12.75">
      <c r="C149" s="2" t="s">
        <v>574</v>
      </c>
    </row>
    <row r="150" ht="12.75">
      <c r="C150" s="2" t="s">
        <v>582</v>
      </c>
    </row>
    <row r="152" ht="12.75">
      <c r="C152" s="5" t="s">
        <v>487</v>
      </c>
    </row>
    <row r="153" ht="12.75">
      <c r="C153" s="2" t="s">
        <v>583</v>
      </c>
    </row>
    <row r="154" ht="12.75">
      <c r="C154" s="2" t="s">
        <v>584</v>
      </c>
    </row>
    <row r="155" ht="12.75">
      <c r="C155" s="2" t="s">
        <v>585</v>
      </c>
    </row>
    <row r="156" ht="12.75">
      <c r="C156" s="2" t="s">
        <v>0</v>
      </c>
    </row>
    <row r="157" ht="12.75">
      <c r="C157" s="2" t="s">
        <v>1</v>
      </c>
    </row>
    <row r="158" ht="12.75">
      <c r="C158" s="2" t="s">
        <v>2</v>
      </c>
    </row>
    <row r="160" ht="12.75">
      <c r="C160" s="5" t="s">
        <v>19</v>
      </c>
    </row>
    <row r="161" ht="12.75">
      <c r="C161" s="2" t="s">
        <v>3</v>
      </c>
    </row>
    <row r="162" ht="12.75">
      <c r="C162" s="2" t="s">
        <v>4</v>
      </c>
    </row>
    <row r="163" ht="12.75">
      <c r="C163" s="2" t="s">
        <v>5</v>
      </c>
    </row>
    <row r="164" ht="12.75">
      <c r="C164" s="2" t="s">
        <v>30</v>
      </c>
    </row>
    <row r="165" ht="12.75">
      <c r="C165" s="2" t="s">
        <v>31</v>
      </c>
    </row>
    <row r="167" ht="12.75">
      <c r="C167" s="5" t="s">
        <v>6</v>
      </c>
    </row>
    <row r="168" ht="12.75">
      <c r="C168" s="597" t="s">
        <v>597</v>
      </c>
    </row>
    <row r="169" ht="12.75">
      <c r="C169" s="2" t="s">
        <v>8</v>
      </c>
    </row>
    <row r="170" ht="12.75">
      <c r="C170" s="2" t="s">
        <v>7</v>
      </c>
    </row>
    <row r="171" ht="12.75">
      <c r="C171" s="2" t="s">
        <v>9</v>
      </c>
    </row>
    <row r="172" ht="12.75">
      <c r="C172" s="2" t="s">
        <v>284</v>
      </c>
    </row>
    <row r="173" ht="12.75">
      <c r="C173" s="2" t="s">
        <v>10</v>
      </c>
    </row>
    <row r="174" ht="12.75">
      <c r="C174" s="2" t="s">
        <v>285</v>
      </c>
    </row>
    <row r="175" ht="12.75">
      <c r="C175" s="2" t="s">
        <v>286</v>
      </c>
    </row>
    <row r="176" ht="12.75">
      <c r="C176" s="2" t="s">
        <v>475</v>
      </c>
    </row>
    <row r="178" ht="12.75">
      <c r="C178" s="2" t="s">
        <v>288</v>
      </c>
    </row>
    <row r="179" ht="12.75">
      <c r="C179" s="2" t="s">
        <v>476</v>
      </c>
    </row>
    <row r="180" ht="12.75">
      <c r="C180" s="2" t="s">
        <v>477</v>
      </c>
    </row>
    <row r="182" ht="12.75">
      <c r="C182" s="2" t="s">
        <v>290</v>
      </c>
    </row>
    <row r="183" ht="12.75">
      <c r="C183" s="2" t="s">
        <v>289</v>
      </c>
    </row>
    <row r="184" ht="12.75">
      <c r="C184" s="2" t="s">
        <v>11</v>
      </c>
    </row>
    <row r="185" ht="12.75">
      <c r="C185" s="2" t="s">
        <v>12</v>
      </c>
    </row>
    <row r="187" ht="12.75">
      <c r="C187" s="5" t="s">
        <v>478</v>
      </c>
    </row>
    <row r="188" ht="12.75">
      <c r="C188" s="2" t="s">
        <v>125</v>
      </c>
    </row>
    <row r="189" ht="12.75">
      <c r="C189" s="2" t="s">
        <v>479</v>
      </c>
    </row>
    <row r="190" ht="12.75">
      <c r="C190" s="2" t="s">
        <v>480</v>
      </c>
    </row>
    <row r="191" ht="12.75">
      <c r="C191" s="2" t="s">
        <v>126</v>
      </c>
    </row>
    <row r="192" ht="12.75">
      <c r="C192" s="2" t="s">
        <v>13</v>
      </c>
    </row>
    <row r="194" ht="12.75">
      <c r="C194" s="5" t="s">
        <v>481</v>
      </c>
    </row>
    <row r="195" ht="12.75">
      <c r="C195" s="2" t="s">
        <v>482</v>
      </c>
    </row>
    <row r="196" ht="12.75">
      <c r="C196" s="2" t="s">
        <v>127</v>
      </c>
    </row>
    <row r="197" ht="12.75">
      <c r="C197" s="2" t="s">
        <v>128</v>
      </c>
    </row>
    <row r="198" ht="12.75">
      <c r="C198" s="2" t="s">
        <v>291</v>
      </c>
    </row>
    <row r="199" ht="12.75">
      <c r="C199" s="2" t="s">
        <v>483</v>
      </c>
    </row>
    <row r="201" ht="12.75">
      <c r="C201" s="5" t="s">
        <v>484</v>
      </c>
    </row>
    <row r="202" ht="12.75">
      <c r="C202" s="2" t="s">
        <v>486</v>
      </c>
    </row>
    <row r="203" ht="12.75">
      <c r="C203" s="2" t="s">
        <v>598</v>
      </c>
    </row>
    <row r="204" ht="12.75">
      <c r="C204" s="2" t="s">
        <v>599</v>
      </c>
    </row>
    <row r="205" ht="12.75">
      <c r="C205" s="2" t="s">
        <v>600</v>
      </c>
    </row>
    <row r="206" ht="12.75">
      <c r="C206" s="2" t="s">
        <v>601</v>
      </c>
    </row>
    <row r="207" ht="12.75">
      <c r="C207" s="2" t="s">
        <v>602</v>
      </c>
    </row>
    <row r="209" ht="12.75">
      <c r="C209" s="5" t="s">
        <v>20</v>
      </c>
    </row>
    <row r="210" ht="12.75">
      <c r="C210" s="2" t="s">
        <v>132</v>
      </c>
    </row>
    <row r="212" ht="12.75">
      <c r="C212" s="5" t="s">
        <v>293</v>
      </c>
    </row>
    <row r="213" ht="12.75">
      <c r="C213" s="2" t="s">
        <v>294</v>
      </c>
    </row>
    <row r="214" ht="12.75">
      <c r="C214" s="2" t="s">
        <v>295</v>
      </c>
    </row>
    <row r="215" ht="12.75">
      <c r="C215" s="2" t="s">
        <v>296</v>
      </c>
    </row>
    <row r="216" ht="12.75">
      <c r="C216" s="2" t="s">
        <v>22</v>
      </c>
    </row>
    <row r="217" ht="12.75">
      <c r="C217" s="2" t="s">
        <v>21</v>
      </c>
    </row>
    <row r="232" ht="11.25" customHeight="1"/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64" r:id="rId1"/>
  <headerFooter alignWithMargins="0">
    <oddHeader>&amp;L&amp;"Arial,Vet"&amp;9&amp;F&amp;R&amp;"Arial,Vet"&amp;9&amp;A</oddHeader>
    <oddFooter>&amp;L&amp;"Arial,Vet"&amp;9vos/abb&amp;C&amp;"Arial,Vet"&amp;9&amp;P&amp;R&amp;"Arial,Vet"&amp;9&amp;D</oddFooter>
  </headerFooter>
  <rowBreaks count="2" manualBreakCount="2">
    <brk id="87" min="1" max="15" man="1"/>
    <brk id="166" min="1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AZ167"/>
  <sheetViews>
    <sheetView showGridLines="0" zoomScale="85" zoomScaleNormal="85" zoomScaleSheetLayoutView="85" workbookViewId="0" topLeftCell="A1">
      <selection activeCell="B2" sqref="B2"/>
    </sheetView>
  </sheetViews>
  <sheetFormatPr defaultColWidth="9.140625" defaultRowHeight="12.75"/>
  <cols>
    <col min="1" max="1" width="5.8515625" style="6" customWidth="1"/>
    <col min="2" max="3" width="2.7109375" style="6" customWidth="1"/>
    <col min="4" max="4" width="9.7109375" style="6" customWidth="1"/>
    <col min="5" max="5" width="14.00390625" style="6" customWidth="1"/>
    <col min="6" max="15" width="12.28125" style="6" customWidth="1"/>
    <col min="16" max="17" width="2.7109375" style="6" customWidth="1"/>
    <col min="18" max="24" width="9.7109375" style="6" customWidth="1"/>
    <col min="25" max="25" width="8.00390625" style="6" customWidth="1"/>
    <col min="26" max="26" width="13.8515625" style="6" customWidth="1"/>
    <col min="27" max="16384" width="9.7109375" style="6" customWidth="1"/>
  </cols>
  <sheetData>
    <row r="1" ht="13.5" thickBot="1"/>
    <row r="2" spans="2:17" ht="12.75">
      <c r="B2" s="303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</row>
    <row r="3" spans="2:17" ht="12.75">
      <c r="B3" s="284"/>
      <c r="Q3" s="285"/>
    </row>
    <row r="4" spans="2:17" s="281" customFormat="1" ht="18">
      <c r="B4" s="280"/>
      <c r="C4" s="282" t="s">
        <v>591</v>
      </c>
      <c r="M4" s="282"/>
      <c r="Q4" s="283"/>
    </row>
    <row r="5" spans="2:50" ht="12.75" customHeight="1">
      <c r="B5" s="284"/>
      <c r="C5" s="290"/>
      <c r="Q5" s="285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</row>
    <row r="6" spans="2:50" ht="12.75" customHeight="1">
      <c r="B6" s="284"/>
      <c r="C6" s="290"/>
      <c r="Q6" s="285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</row>
    <row r="7" spans="2:50" ht="12.75" customHeight="1">
      <c r="B7" s="284"/>
      <c r="C7" s="290"/>
      <c r="Q7" s="285"/>
      <c r="AA7" s="472" t="s">
        <v>186</v>
      </c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</row>
    <row r="8" spans="2:50" ht="12.75" customHeight="1">
      <c r="B8" s="284"/>
      <c r="C8" s="2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85"/>
      <c r="AA8" s="472" t="s">
        <v>187</v>
      </c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</row>
    <row r="9" spans="2:50" ht="12.75" customHeight="1">
      <c r="B9" s="284"/>
      <c r="C9" s="23"/>
      <c r="D9" s="28" t="s">
        <v>225</v>
      </c>
      <c r="E9" s="23"/>
      <c r="F9" s="23"/>
      <c r="G9" s="23"/>
      <c r="H9" s="23"/>
      <c r="I9" s="32" t="s">
        <v>212</v>
      </c>
      <c r="J9" s="23"/>
      <c r="K9" s="23"/>
      <c r="L9" s="23"/>
      <c r="M9" s="23"/>
      <c r="N9" s="23"/>
      <c r="O9" s="23"/>
      <c r="P9" s="23"/>
      <c r="Q9" s="285"/>
      <c r="AA9" s="472" t="s">
        <v>188</v>
      </c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</row>
    <row r="10" spans="2:50" ht="12.75" customHeight="1">
      <c r="B10" s="284"/>
      <c r="C10" s="23"/>
      <c r="D10" s="23" t="s">
        <v>217</v>
      </c>
      <c r="E10" s="23"/>
      <c r="F10" s="23"/>
      <c r="G10" s="23"/>
      <c r="H10" s="23"/>
      <c r="I10" s="595">
        <v>0.25</v>
      </c>
      <c r="J10" s="23"/>
      <c r="K10" s="23"/>
      <c r="L10" s="23"/>
      <c r="M10" s="23"/>
      <c r="N10" s="23"/>
      <c r="O10" s="23"/>
      <c r="P10" s="23"/>
      <c r="Q10" s="285"/>
      <c r="AA10" s="472" t="s">
        <v>189</v>
      </c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</row>
    <row r="11" spans="2:50" ht="12.75" customHeight="1">
      <c r="B11" s="284"/>
      <c r="C11" s="23"/>
      <c r="D11" s="23" t="s">
        <v>218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85"/>
      <c r="AA11" s="472" t="s">
        <v>190</v>
      </c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</row>
    <row r="12" spans="2:50" ht="12.75" customHeight="1">
      <c r="B12" s="284"/>
      <c r="C12" s="23"/>
      <c r="D12" s="23"/>
      <c r="E12" s="23"/>
      <c r="F12" s="28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85"/>
      <c r="AA12" s="472" t="s">
        <v>191</v>
      </c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</row>
    <row r="13" spans="2:50" ht="12.75" customHeight="1">
      <c r="B13" s="284"/>
      <c r="C13" s="23"/>
      <c r="D13" s="28"/>
      <c r="E13" s="23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23"/>
      <c r="Q13" s="285"/>
      <c r="AA13" s="472" t="s">
        <v>192</v>
      </c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</row>
    <row r="14" spans="2:50" ht="12.75" customHeight="1">
      <c r="B14" s="284"/>
      <c r="C14" s="23"/>
      <c r="D14" s="23" t="s">
        <v>212</v>
      </c>
      <c r="E14" s="23"/>
      <c r="F14" s="192">
        <v>0.05</v>
      </c>
      <c r="G14" s="192">
        <v>0.1</v>
      </c>
      <c r="H14" s="192">
        <v>0.15</v>
      </c>
      <c r="I14" s="192">
        <v>0.2</v>
      </c>
      <c r="J14" s="192">
        <v>0.25</v>
      </c>
      <c r="K14" s="192">
        <v>0.3</v>
      </c>
      <c r="L14" s="192">
        <v>0.35</v>
      </c>
      <c r="M14" s="192">
        <v>0.4</v>
      </c>
      <c r="N14" s="192">
        <v>0.45</v>
      </c>
      <c r="O14" s="192">
        <v>0.5</v>
      </c>
      <c r="P14" s="23"/>
      <c r="Q14" s="285"/>
      <c r="AA14" s="472" t="s">
        <v>193</v>
      </c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</row>
    <row r="15" spans="2:50" ht="12.75" customHeight="1">
      <c r="B15" s="284"/>
      <c r="C15" s="23"/>
      <c r="D15" s="23" t="s">
        <v>219</v>
      </c>
      <c r="E15" s="23"/>
      <c r="F15" s="189" t="s">
        <v>187</v>
      </c>
      <c r="G15" s="189" t="s">
        <v>186</v>
      </c>
      <c r="H15" s="189" t="s">
        <v>194</v>
      </c>
      <c r="I15" s="189" t="s">
        <v>199</v>
      </c>
      <c r="J15" s="189" t="s">
        <v>198</v>
      </c>
      <c r="K15" s="189">
        <v>4</v>
      </c>
      <c r="L15" s="189">
        <v>6</v>
      </c>
      <c r="M15" s="189">
        <v>8</v>
      </c>
      <c r="N15" s="189">
        <v>10</v>
      </c>
      <c r="O15" s="189">
        <v>12</v>
      </c>
      <c r="P15" s="23"/>
      <c r="Q15" s="285"/>
      <c r="AA15" s="472" t="s">
        <v>194</v>
      </c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</row>
    <row r="16" spans="2:50" ht="12.75" customHeight="1">
      <c r="B16" s="284"/>
      <c r="C16" s="23"/>
      <c r="D16" s="23" t="s">
        <v>287</v>
      </c>
      <c r="E16" s="23"/>
      <c r="F16" s="187">
        <v>40.28</v>
      </c>
      <c r="G16" s="187">
        <v>40</v>
      </c>
      <c r="H16" s="187">
        <v>39.88</v>
      </c>
      <c r="I16" s="187">
        <v>41.32</v>
      </c>
      <c r="J16" s="187">
        <v>45</v>
      </c>
      <c r="K16" s="187">
        <v>40.26</v>
      </c>
      <c r="L16" s="187">
        <v>35</v>
      </c>
      <c r="M16" s="187">
        <v>45</v>
      </c>
      <c r="N16" s="187">
        <v>55</v>
      </c>
      <c r="O16" s="187">
        <v>30</v>
      </c>
      <c r="P16" s="23"/>
      <c r="Q16" s="285"/>
      <c r="AA16" s="472" t="s">
        <v>195</v>
      </c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</row>
    <row r="17" spans="2:50" ht="12.75" customHeight="1">
      <c r="B17" s="284"/>
      <c r="C17" s="23"/>
      <c r="D17" s="23" t="s">
        <v>220</v>
      </c>
      <c r="E17" s="23"/>
      <c r="F17" s="318">
        <f>ROUND(IF(F14&lt;$I10,F14*tab!$H31*VLOOKUP(F15,verhoudingstabel,2,FALSE),F14*(tab!$H33+IF(F16&gt;50,50,F16)*tab!$H34)*VLOOKUP(F15,verhoudingstabel,2,FALSE)),-1)</f>
        <v>3570</v>
      </c>
      <c r="G17" s="318">
        <f>ROUND(IF(G14&lt;$I10,G14*tab!$H31*VLOOKUP(G15,verhoudingstabel,2,FALSE),G14*(tab!$H33+IF(G16&gt;50,50,G16)*tab!$H34)*VLOOKUP(G15,verhoudingstabel,2,FALSE)),-1)</f>
        <v>6310</v>
      </c>
      <c r="H17" s="318">
        <f>ROUND(IF(H14&lt;$I10,H14*tab!$H31*VLOOKUP(H15,verhoudingstabel,2,FALSE),H14*(tab!$H33+IF(H16&gt;50,50,H16)*tab!$H34)*VLOOKUP(H15,verhoudingstabel,2,FALSE)),-1)</f>
        <v>9020</v>
      </c>
      <c r="I17" s="318">
        <f>ROUND(IF(I14&lt;$I10,I14*tab!$H31*VLOOKUP(I15,verhoudingstabel,2,FALSE),I14*(tab!$H33+IF(I16&gt;50,50,I16)*tab!$H34)*VLOOKUP(I15,verhoudingstabel,2,FALSE)),-1)</f>
        <v>11790</v>
      </c>
      <c r="J17" s="318">
        <f>ROUND(IF(J14&lt;$I10,J14*tab!$H31*VLOOKUP(J15,verhoudingstabel,2,FALSE),J14*(tab!$H33+IF(J16&gt;50,50,J16)*tab!$H34)*VLOOKUP(J15,verhoudingstabel,2,FALSE)),-1)</f>
        <v>14100</v>
      </c>
      <c r="K17" s="318">
        <f>ROUND(IF(K14&lt;$I10,K14*tab!$H31*VLOOKUP(K15,verhoudingstabel,2,FALSE),K14*(tab!$H33+IF(K16&gt;50,50,K16)*tab!$H34)*VLOOKUP(K15,verhoudingstabel,2,FALSE)),-1)</f>
        <v>10290</v>
      </c>
      <c r="L17" s="318">
        <f>ROUND(IF(L14&lt;$I10,L14*tab!$H31*VLOOKUP(L15,verhoudingstabel,2,FALSE),L14*(tab!$H33+IF(L16&gt;50,50,L16)*tab!$H34)*VLOOKUP(L15,verhoudingstabel,2,FALSE)),-1)</f>
        <v>12250</v>
      </c>
      <c r="M17" s="318">
        <f>ROUND(IF(M14&lt;$I10,M14*tab!$H31*VLOOKUP(M15,verhoudingstabel,2,FALSE),M14*(tab!$H33+IF(M16&gt;50,50,M16)*tab!$H34)*VLOOKUP(M15,verhoudingstabel,2,FALSE)),-1)</f>
        <v>20090</v>
      </c>
      <c r="N17" s="318">
        <f>ROUND(IF(N14&lt;$I10,N14*tab!$H31*VLOOKUP(N15,verhoudingstabel,2,FALSE),N14*(tab!$H33+IF(N16&gt;50,50,N16)*tab!$H34)*VLOOKUP(N15,verhoudingstabel,2,FALSE)),-1)</f>
        <v>29740</v>
      </c>
      <c r="O17" s="318">
        <f>ROUND(IF(O14&lt;$I10,O14*tab!$H31*VLOOKUP(O15,verhoudingstabel,2,FALSE),O14*(tab!$H33+IF(O16&gt;50,50,O16)*tab!$H34)*VLOOKUP(O15,verhoudingstabel,2,FALSE)),-1)</f>
        <v>33080</v>
      </c>
      <c r="P17" s="23"/>
      <c r="Q17" s="285"/>
      <c r="AA17" s="472" t="s">
        <v>196</v>
      </c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</row>
    <row r="18" spans="2:50" ht="12.75" customHeight="1">
      <c r="B18" s="284"/>
      <c r="C18" s="23"/>
      <c r="D18" s="23"/>
      <c r="E18" s="2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85"/>
      <c r="AA18" s="472" t="s">
        <v>197</v>
      </c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</row>
    <row r="19" spans="2:50" s="10" customFormat="1" ht="12.75" customHeight="1">
      <c r="B19" s="11"/>
      <c r="E19" s="42"/>
      <c r="Q19" s="12"/>
      <c r="AA19" s="472" t="s">
        <v>198</v>
      </c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</row>
    <row r="20" spans="2:50" s="10" customFormat="1" ht="12.75" customHeight="1">
      <c r="B20" s="11"/>
      <c r="E20" s="42"/>
      <c r="Q20" s="12"/>
      <c r="AA20" s="472" t="s">
        <v>199</v>
      </c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</row>
    <row r="21" spans="2:50" ht="12.75" customHeight="1">
      <c r="B21" s="284"/>
      <c r="C21" s="23"/>
      <c r="D21" s="23"/>
      <c r="E21" s="28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85"/>
      <c r="AA21" s="472" t="s">
        <v>200</v>
      </c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</row>
    <row r="22" spans="2:50" ht="12.75" customHeight="1">
      <c r="B22" s="284"/>
      <c r="C22" s="23"/>
      <c r="D22" s="28" t="s">
        <v>207</v>
      </c>
      <c r="E22" s="28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85"/>
      <c r="AA22" s="472" t="s">
        <v>201</v>
      </c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</row>
    <row r="23" spans="2:50" ht="12.75" customHeight="1">
      <c r="B23" s="284"/>
      <c r="C23" s="23"/>
      <c r="D23" s="23"/>
      <c r="E23" s="2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85"/>
      <c r="AA23" s="472" t="s">
        <v>202</v>
      </c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</row>
    <row r="24" spans="2:50" ht="12.75" customHeight="1">
      <c r="B24" s="284"/>
      <c r="C24" s="23"/>
      <c r="D24" s="23"/>
      <c r="E24" s="2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85"/>
      <c r="AA24" s="471">
        <v>1</v>
      </c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</row>
    <row r="25" spans="2:52" ht="12.75" customHeight="1">
      <c r="B25" s="284"/>
      <c r="C25" s="23">
        <v>1</v>
      </c>
      <c r="D25" s="23" t="s">
        <v>205</v>
      </c>
      <c r="E25" s="23"/>
      <c r="F25" s="23"/>
      <c r="G25" s="23"/>
      <c r="H25" s="23"/>
      <c r="I25" s="299" t="s">
        <v>206</v>
      </c>
      <c r="J25" s="299"/>
      <c r="K25" s="185"/>
      <c r="L25" s="23"/>
      <c r="M25" s="23"/>
      <c r="N25" s="23"/>
      <c r="O25" s="23"/>
      <c r="P25" s="23"/>
      <c r="Q25" s="285"/>
      <c r="AA25" s="471">
        <v>2</v>
      </c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</row>
    <row r="26" spans="2:27" ht="12.75" customHeight="1">
      <c r="B26" s="284"/>
      <c r="C26" s="23"/>
      <c r="D26" s="23" t="s">
        <v>208</v>
      </c>
      <c r="E26" s="23"/>
      <c r="F26" s="23"/>
      <c r="G26" s="23"/>
      <c r="H26" s="23"/>
      <c r="I26" s="189" t="s">
        <v>187</v>
      </c>
      <c r="J26" s="23"/>
      <c r="K26" s="23"/>
      <c r="L26" s="23"/>
      <c r="M26" s="23"/>
      <c r="N26" s="23"/>
      <c r="O26" s="23"/>
      <c r="P26" s="23"/>
      <c r="Q26" s="285"/>
      <c r="AA26" s="471">
        <v>3</v>
      </c>
    </row>
    <row r="27" spans="2:27" ht="12.75" customHeight="1">
      <c r="B27" s="284"/>
      <c r="C27" s="23"/>
      <c r="D27" s="23" t="s">
        <v>209</v>
      </c>
      <c r="E27" s="23"/>
      <c r="F27" s="23"/>
      <c r="G27" s="23"/>
      <c r="H27" s="23"/>
      <c r="I27" s="185">
        <v>11</v>
      </c>
      <c r="J27" s="23"/>
      <c r="K27" s="23"/>
      <c r="L27" s="23" t="str">
        <f>IF(I27&gt;N27,tab!M168," ")</f>
        <v> </v>
      </c>
      <c r="M27" s="23" t="s">
        <v>210</v>
      </c>
      <c r="N27" s="23">
        <f>VLOOKUP(I26,tabelsalaris,22,FALSE)</f>
        <v>15</v>
      </c>
      <c r="O27" s="23"/>
      <c r="P27" s="23"/>
      <c r="Q27" s="285"/>
      <c r="AA27" s="471">
        <v>4</v>
      </c>
    </row>
    <row r="28" spans="2:27" ht="12.75" customHeight="1">
      <c r="B28" s="284"/>
      <c r="C28" s="23"/>
      <c r="D28" s="23" t="s">
        <v>211</v>
      </c>
      <c r="E28" s="23"/>
      <c r="F28" s="23"/>
      <c r="G28" s="23"/>
      <c r="H28" s="23"/>
      <c r="I28" s="301">
        <f>ROUND(VLOOKUP(I26,tabelsalaris,I27+1,FALSE)*1.022,0)</f>
        <v>3940</v>
      </c>
      <c r="J28" s="23"/>
      <c r="K28" s="23"/>
      <c r="L28" s="23"/>
      <c r="M28" s="295"/>
      <c r="N28" s="295"/>
      <c r="O28" s="23"/>
      <c r="P28" s="23"/>
      <c r="Q28" s="285"/>
      <c r="AA28" s="471">
        <v>5</v>
      </c>
    </row>
    <row r="29" spans="2:27" ht="12.75" customHeight="1">
      <c r="B29" s="284"/>
      <c r="C29" s="23"/>
      <c r="D29" s="23" t="s">
        <v>212</v>
      </c>
      <c r="E29" s="23"/>
      <c r="F29" s="23"/>
      <c r="G29" s="23"/>
      <c r="H29" s="23"/>
      <c r="I29" s="298">
        <v>0.05</v>
      </c>
      <c r="J29" s="23"/>
      <c r="K29" s="23"/>
      <c r="L29" s="23"/>
      <c r="M29" s="23"/>
      <c r="N29" s="23"/>
      <c r="O29" s="23"/>
      <c r="P29" s="23"/>
      <c r="Q29" s="285"/>
      <c r="AA29" s="471">
        <v>6</v>
      </c>
    </row>
    <row r="30" spans="2:27" ht="12.75" customHeight="1">
      <c r="B30" s="284"/>
      <c r="C30" s="23"/>
      <c r="D30" s="23" t="s">
        <v>213</v>
      </c>
      <c r="E30" s="23"/>
      <c r="F30" s="23"/>
      <c r="G30" s="23"/>
      <c r="H30" s="23"/>
      <c r="I30" s="300">
        <f>ROUND(+I28*I29,2)</f>
        <v>197</v>
      </c>
      <c r="J30" s="23"/>
      <c r="K30" s="23"/>
      <c r="L30" s="23"/>
      <c r="M30" s="23"/>
      <c r="N30" s="23"/>
      <c r="O30" s="23"/>
      <c r="P30" s="23"/>
      <c r="Q30" s="285"/>
      <c r="AA30" s="471">
        <v>7</v>
      </c>
    </row>
    <row r="31" spans="2:27" ht="12.75" customHeight="1">
      <c r="B31" s="284"/>
      <c r="C31" s="23"/>
      <c r="D31" s="23" t="s">
        <v>216</v>
      </c>
      <c r="E31" s="23"/>
      <c r="F31" s="23"/>
      <c r="G31" s="23"/>
      <c r="H31" s="23"/>
      <c r="I31" s="429">
        <f>+tab!G87</f>
        <v>0.503</v>
      </c>
      <c r="J31" s="23"/>
      <c r="K31" s="23"/>
      <c r="L31" s="23"/>
      <c r="M31" s="23"/>
      <c r="N31" s="23"/>
      <c r="O31" s="23"/>
      <c r="P31" s="23"/>
      <c r="Q31" s="285"/>
      <c r="AA31" s="471">
        <v>8</v>
      </c>
    </row>
    <row r="32" spans="2:27" ht="12.75" customHeight="1">
      <c r="B32" s="284"/>
      <c r="C32" s="23"/>
      <c r="D32" s="23" t="s">
        <v>226</v>
      </c>
      <c r="E32" s="23"/>
      <c r="F32" s="23"/>
      <c r="G32" s="23"/>
      <c r="H32" s="23"/>
      <c r="I32" s="300">
        <f>+I30*12*(1+I31)</f>
        <v>3553.092</v>
      </c>
      <c r="J32" s="23"/>
      <c r="K32" s="23"/>
      <c r="L32" s="23"/>
      <c r="M32" s="23"/>
      <c r="N32" s="295"/>
      <c r="O32" s="295"/>
      <c r="P32" s="295"/>
      <c r="Q32" s="306"/>
      <c r="AA32" s="471">
        <v>9</v>
      </c>
    </row>
    <row r="33" spans="2:27" ht="12.75" customHeight="1">
      <c r="B33" s="284"/>
      <c r="C33" s="23"/>
      <c r="D33" s="295"/>
      <c r="E33" s="295"/>
      <c r="F33" s="295"/>
      <c r="G33" s="295"/>
      <c r="H33" s="295"/>
      <c r="I33" s="295"/>
      <c r="J33" s="23"/>
      <c r="K33" s="23"/>
      <c r="L33" s="23"/>
      <c r="M33" s="295"/>
      <c r="N33" s="295"/>
      <c r="O33" s="295"/>
      <c r="P33" s="295"/>
      <c r="Q33" s="306"/>
      <c r="R33" s="296"/>
      <c r="AA33" s="471">
        <v>10</v>
      </c>
    </row>
    <row r="34" spans="2:27" ht="12.75" customHeight="1">
      <c r="B34" s="284"/>
      <c r="C34" s="23"/>
      <c r="D34" s="295"/>
      <c r="E34" s="295"/>
      <c r="F34" s="295"/>
      <c r="G34" s="295"/>
      <c r="H34" s="295"/>
      <c r="I34" s="295"/>
      <c r="J34" s="23"/>
      <c r="K34" s="23"/>
      <c r="L34" s="23"/>
      <c r="M34" s="295"/>
      <c r="N34" s="295"/>
      <c r="O34" s="295"/>
      <c r="P34" s="295"/>
      <c r="Q34" s="306"/>
      <c r="R34" s="296"/>
      <c r="AA34" s="471">
        <v>11</v>
      </c>
    </row>
    <row r="35" spans="2:27" ht="12.75" customHeight="1">
      <c r="B35" s="284"/>
      <c r="C35" s="23">
        <v>2</v>
      </c>
      <c r="D35" s="23" t="s">
        <v>205</v>
      </c>
      <c r="E35" s="23"/>
      <c r="F35" s="23"/>
      <c r="G35" s="23"/>
      <c r="H35" s="23"/>
      <c r="I35" s="299" t="s">
        <v>206</v>
      </c>
      <c r="J35" s="299"/>
      <c r="K35" s="185"/>
      <c r="L35" s="23"/>
      <c r="M35" s="23"/>
      <c r="N35" s="23"/>
      <c r="O35" s="23"/>
      <c r="P35" s="23"/>
      <c r="Q35" s="285"/>
      <c r="AA35" s="471">
        <v>12</v>
      </c>
    </row>
    <row r="36" spans="2:27" ht="12.75" customHeight="1">
      <c r="B36" s="284"/>
      <c r="C36" s="23"/>
      <c r="D36" s="23" t="s">
        <v>208</v>
      </c>
      <c r="E36" s="23"/>
      <c r="F36" s="23"/>
      <c r="G36" s="23"/>
      <c r="H36" s="23"/>
      <c r="I36" s="189" t="s">
        <v>199</v>
      </c>
      <c r="J36" s="23"/>
      <c r="K36" s="23"/>
      <c r="L36" s="23"/>
      <c r="M36" s="23"/>
      <c r="N36" s="23"/>
      <c r="O36" s="23"/>
      <c r="P36" s="23"/>
      <c r="Q36" s="285"/>
      <c r="AA36" s="471">
        <v>13</v>
      </c>
    </row>
    <row r="37" spans="2:27" ht="12.75" customHeight="1">
      <c r="B37" s="284"/>
      <c r="C37" s="23"/>
      <c r="D37" s="23" t="s">
        <v>209</v>
      </c>
      <c r="E37" s="23"/>
      <c r="F37" s="23"/>
      <c r="G37" s="23"/>
      <c r="H37" s="23"/>
      <c r="I37" s="185">
        <v>15</v>
      </c>
      <c r="J37" s="23"/>
      <c r="K37" s="23"/>
      <c r="L37" s="317" t="str">
        <f>IF(I37&gt;N37,tab!M178," ")</f>
        <v> </v>
      </c>
      <c r="M37" s="23" t="s">
        <v>210</v>
      </c>
      <c r="N37" s="23">
        <f>VLOOKUP(I36,tabelsalaris,22,FALSE)</f>
        <v>18</v>
      </c>
      <c r="O37" s="23"/>
      <c r="P37" s="23"/>
      <c r="Q37" s="285"/>
      <c r="AA37" s="471">
        <v>14</v>
      </c>
    </row>
    <row r="38" spans="2:27" ht="12.75" customHeight="1">
      <c r="B38" s="284"/>
      <c r="C38" s="23"/>
      <c r="D38" s="23" t="s">
        <v>211</v>
      </c>
      <c r="E38" s="23"/>
      <c r="F38" s="23"/>
      <c r="G38" s="23"/>
      <c r="H38" s="23"/>
      <c r="I38" s="301">
        <f>ROUND(VLOOKUP(I36,tabelsalaris,I37+1,FALSE)*1.022,0)</f>
        <v>3249</v>
      </c>
      <c r="J38" s="23"/>
      <c r="K38" s="23"/>
      <c r="L38" s="23"/>
      <c r="M38" s="295"/>
      <c r="N38" s="295"/>
      <c r="O38" s="23"/>
      <c r="P38" s="23"/>
      <c r="Q38" s="285"/>
      <c r="AA38" s="471">
        <v>15</v>
      </c>
    </row>
    <row r="39" spans="2:27" ht="12.75" customHeight="1">
      <c r="B39" s="284"/>
      <c r="C39" s="23"/>
      <c r="D39" s="23" t="s">
        <v>212</v>
      </c>
      <c r="E39" s="23"/>
      <c r="F39" s="23"/>
      <c r="G39" s="23"/>
      <c r="H39" s="23"/>
      <c r="I39" s="298">
        <v>0.35</v>
      </c>
      <c r="J39" s="23"/>
      <c r="K39" s="23"/>
      <c r="L39" s="23"/>
      <c r="M39" s="23"/>
      <c r="N39" s="23"/>
      <c r="O39" s="23"/>
      <c r="P39" s="23"/>
      <c r="Q39" s="285"/>
      <c r="AA39" s="471" t="s">
        <v>203</v>
      </c>
    </row>
    <row r="40" spans="2:27" ht="12.75" customHeight="1">
      <c r="B40" s="284"/>
      <c r="C40" s="23"/>
      <c r="D40" s="23" t="s">
        <v>213</v>
      </c>
      <c r="E40" s="23"/>
      <c r="F40" s="23"/>
      <c r="G40" s="23"/>
      <c r="H40" s="23"/>
      <c r="I40" s="300">
        <f>ROUND(+I38*I39,2)</f>
        <v>1137.15</v>
      </c>
      <c r="J40" s="23"/>
      <c r="K40" s="23"/>
      <c r="L40" s="23"/>
      <c r="M40" s="23"/>
      <c r="N40" s="23"/>
      <c r="O40" s="23"/>
      <c r="P40" s="23"/>
      <c r="Q40" s="285"/>
      <c r="AA40" s="471" t="s">
        <v>204</v>
      </c>
    </row>
    <row r="41" spans="2:27" ht="12.75" customHeight="1">
      <c r="B41" s="284"/>
      <c r="C41" s="23"/>
      <c r="D41" s="23" t="s">
        <v>216</v>
      </c>
      <c r="E41" s="23"/>
      <c r="F41" s="23"/>
      <c r="G41" s="23"/>
      <c r="H41" s="23"/>
      <c r="I41" s="429">
        <f>+tab!G87</f>
        <v>0.503</v>
      </c>
      <c r="J41" s="23"/>
      <c r="K41" s="23"/>
      <c r="L41" s="23"/>
      <c r="M41" s="23"/>
      <c r="N41" s="23"/>
      <c r="O41" s="23"/>
      <c r="P41" s="23"/>
      <c r="Q41" s="285"/>
      <c r="AA41" s="471" t="s">
        <v>298</v>
      </c>
    </row>
    <row r="42" spans="2:27" ht="12.75" customHeight="1">
      <c r="B42" s="284"/>
      <c r="C42" s="23"/>
      <c r="D42" s="23" t="s">
        <v>226</v>
      </c>
      <c r="E42" s="23"/>
      <c r="F42" s="23"/>
      <c r="G42" s="23"/>
      <c r="H42" s="23"/>
      <c r="I42" s="300">
        <f>+I40*12*(1+I41)</f>
        <v>20509.637400000003</v>
      </c>
      <c r="J42" s="23"/>
      <c r="K42" s="23"/>
      <c r="L42" s="23"/>
      <c r="M42" s="23"/>
      <c r="N42" s="295"/>
      <c r="O42" s="295"/>
      <c r="P42" s="295"/>
      <c r="Q42" s="306"/>
      <c r="AA42" s="471" t="s">
        <v>299</v>
      </c>
    </row>
    <row r="43" spans="2:27" ht="12.75" customHeight="1">
      <c r="B43" s="28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97"/>
      <c r="P43" s="23"/>
      <c r="Q43" s="285"/>
      <c r="AA43" s="471" t="s">
        <v>300</v>
      </c>
    </row>
    <row r="44" spans="2:27" ht="12.75" customHeight="1">
      <c r="B44" s="28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97"/>
      <c r="P44" s="23"/>
      <c r="Q44" s="285"/>
      <c r="AA44" s="10"/>
    </row>
    <row r="45" spans="2:17" ht="12.75" customHeight="1">
      <c r="B45" s="284"/>
      <c r="C45" s="23">
        <v>3</v>
      </c>
      <c r="D45" s="23" t="s">
        <v>205</v>
      </c>
      <c r="E45" s="23"/>
      <c r="F45" s="23"/>
      <c r="G45" s="23"/>
      <c r="H45" s="23"/>
      <c r="I45" s="299" t="s">
        <v>206</v>
      </c>
      <c r="J45" s="299"/>
      <c r="K45" s="185"/>
      <c r="L45" s="23"/>
      <c r="M45" s="23"/>
      <c r="N45" s="23"/>
      <c r="O45" s="23"/>
      <c r="P45" s="23"/>
      <c r="Q45" s="285"/>
    </row>
    <row r="46" spans="2:17" ht="12.75" customHeight="1">
      <c r="B46" s="284"/>
      <c r="C46" s="23"/>
      <c r="D46" s="23" t="s">
        <v>208</v>
      </c>
      <c r="E46" s="23"/>
      <c r="F46" s="23"/>
      <c r="G46" s="23"/>
      <c r="H46" s="23"/>
      <c r="I46" s="189">
        <v>8</v>
      </c>
      <c r="J46" s="23"/>
      <c r="K46" s="23"/>
      <c r="L46" s="23"/>
      <c r="M46" s="23"/>
      <c r="N46" s="23"/>
      <c r="O46" s="23"/>
      <c r="P46" s="23"/>
      <c r="Q46" s="285"/>
    </row>
    <row r="47" spans="2:17" ht="12.75" customHeight="1">
      <c r="B47" s="284"/>
      <c r="C47" s="23"/>
      <c r="D47" s="23" t="s">
        <v>209</v>
      </c>
      <c r="E47" s="23"/>
      <c r="F47" s="23"/>
      <c r="G47" s="23"/>
      <c r="H47" s="23"/>
      <c r="I47" s="185">
        <v>9</v>
      </c>
      <c r="J47" s="23"/>
      <c r="K47" s="23"/>
      <c r="L47" s="23" t="str">
        <f>IF(I47&gt;N47,tab!M188," ")</f>
        <v> </v>
      </c>
      <c r="M47" s="23" t="s">
        <v>210</v>
      </c>
      <c r="N47" s="23">
        <f>VLOOKUP(I46,tabelsalaris,22,FALSE)</f>
        <v>13</v>
      </c>
      <c r="O47" s="23"/>
      <c r="P47" s="23"/>
      <c r="Q47" s="285"/>
    </row>
    <row r="48" spans="2:17" ht="12.75" customHeight="1">
      <c r="B48" s="284"/>
      <c r="C48" s="23"/>
      <c r="D48" s="23" t="s">
        <v>211</v>
      </c>
      <c r="E48" s="23"/>
      <c r="F48" s="23"/>
      <c r="G48" s="23"/>
      <c r="H48" s="23"/>
      <c r="I48" s="301">
        <f>ROUND(VLOOKUP(I46,tabelsalaris,I47+1,FALSE)*1.022,0)</f>
        <v>2675</v>
      </c>
      <c r="J48" s="23"/>
      <c r="K48" s="23"/>
      <c r="L48" s="23"/>
      <c r="M48" s="295"/>
      <c r="N48" s="295"/>
      <c r="O48" s="23"/>
      <c r="P48" s="23"/>
      <c r="Q48" s="285"/>
    </row>
    <row r="49" spans="2:17" ht="12.75" customHeight="1">
      <c r="B49" s="284"/>
      <c r="C49" s="23"/>
      <c r="D49" s="23" t="s">
        <v>212</v>
      </c>
      <c r="E49" s="23"/>
      <c r="F49" s="23"/>
      <c r="G49" s="23"/>
      <c r="H49" s="23"/>
      <c r="I49" s="298">
        <v>0.15</v>
      </c>
      <c r="J49" s="23"/>
      <c r="K49" s="23"/>
      <c r="L49" s="23"/>
      <c r="M49" s="23"/>
      <c r="N49" s="23"/>
      <c r="O49" s="23"/>
      <c r="P49" s="23"/>
      <c r="Q49" s="285"/>
    </row>
    <row r="50" spans="2:17" ht="12.75" customHeight="1">
      <c r="B50" s="284"/>
      <c r="C50" s="23"/>
      <c r="D50" s="23" t="s">
        <v>213</v>
      </c>
      <c r="E50" s="23"/>
      <c r="F50" s="23"/>
      <c r="G50" s="23"/>
      <c r="H50" s="23"/>
      <c r="I50" s="300">
        <f>ROUND(+I48*I49,2)</f>
        <v>401.25</v>
      </c>
      <c r="J50" s="23"/>
      <c r="K50" s="23"/>
      <c r="L50" s="23"/>
      <c r="M50" s="23"/>
      <c r="N50" s="23"/>
      <c r="O50" s="23"/>
      <c r="P50" s="23"/>
      <c r="Q50" s="285"/>
    </row>
    <row r="51" spans="2:17" ht="12.75" customHeight="1">
      <c r="B51" s="284"/>
      <c r="C51" s="23"/>
      <c r="D51" s="23" t="s">
        <v>216</v>
      </c>
      <c r="E51" s="23"/>
      <c r="F51" s="23"/>
      <c r="G51" s="23"/>
      <c r="H51" s="23"/>
      <c r="I51" s="429">
        <f>+tab!G87</f>
        <v>0.503</v>
      </c>
      <c r="J51" s="23"/>
      <c r="K51" s="23"/>
      <c r="L51" s="23"/>
      <c r="M51" s="23"/>
      <c r="N51" s="23"/>
      <c r="O51" s="23"/>
      <c r="P51" s="23"/>
      <c r="Q51" s="285"/>
    </row>
    <row r="52" spans="2:27" ht="12.75" customHeight="1">
      <c r="B52" s="284"/>
      <c r="C52" s="23"/>
      <c r="D52" s="23" t="s">
        <v>226</v>
      </c>
      <c r="E52" s="23"/>
      <c r="F52" s="23"/>
      <c r="G52" s="23"/>
      <c r="H52" s="23"/>
      <c r="I52" s="300">
        <f>+I50*12*(1+I51)</f>
        <v>7236.945000000001</v>
      </c>
      <c r="J52" s="23"/>
      <c r="K52" s="23"/>
      <c r="L52" s="23"/>
      <c r="M52" s="23"/>
      <c r="N52" s="295"/>
      <c r="O52" s="295"/>
      <c r="P52" s="295"/>
      <c r="Q52" s="306"/>
      <c r="Y52" s="291"/>
      <c r="Z52" s="291"/>
      <c r="AA52" s="292"/>
    </row>
    <row r="53" spans="2:27" ht="12.75" customHeight="1">
      <c r="B53" s="28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97"/>
      <c r="O53" s="23"/>
      <c r="P53" s="23"/>
      <c r="Q53" s="285"/>
      <c r="Y53" s="291"/>
      <c r="Z53" s="291"/>
      <c r="AA53" s="292"/>
    </row>
    <row r="54" spans="2:27" ht="12.75" customHeight="1">
      <c r="B54" s="28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97"/>
      <c r="O54" s="23"/>
      <c r="P54" s="23"/>
      <c r="Q54" s="285"/>
      <c r="Y54" s="291"/>
      <c r="Z54" s="291"/>
      <c r="AA54" s="292"/>
    </row>
    <row r="55" spans="2:17" ht="12.75" customHeight="1">
      <c r="B55" s="284"/>
      <c r="C55" s="23">
        <v>4</v>
      </c>
      <c r="D55" s="23" t="s">
        <v>205</v>
      </c>
      <c r="E55" s="23"/>
      <c r="F55" s="23"/>
      <c r="G55" s="23"/>
      <c r="H55" s="23"/>
      <c r="I55" s="299" t="s">
        <v>206</v>
      </c>
      <c r="J55" s="299"/>
      <c r="K55" s="185"/>
      <c r="L55" s="23"/>
      <c r="M55" s="23"/>
      <c r="N55" s="297"/>
      <c r="O55" s="23"/>
      <c r="P55" s="23"/>
      <c r="Q55" s="285"/>
    </row>
    <row r="56" spans="2:17" ht="12.75" customHeight="1">
      <c r="B56" s="284"/>
      <c r="C56" s="23"/>
      <c r="D56" s="23" t="s">
        <v>208</v>
      </c>
      <c r="E56" s="23"/>
      <c r="F56" s="23"/>
      <c r="G56" s="23"/>
      <c r="H56" s="23"/>
      <c r="I56" s="189">
        <v>4</v>
      </c>
      <c r="J56" s="23"/>
      <c r="K56" s="23"/>
      <c r="L56" s="23"/>
      <c r="M56" s="23"/>
      <c r="N56" s="23"/>
      <c r="O56" s="23"/>
      <c r="P56" s="23"/>
      <c r="Q56" s="285"/>
    </row>
    <row r="57" spans="2:17" ht="12.75" customHeight="1">
      <c r="B57" s="284"/>
      <c r="C57" s="23"/>
      <c r="D57" s="23" t="s">
        <v>209</v>
      </c>
      <c r="E57" s="23"/>
      <c r="F57" s="23"/>
      <c r="G57" s="23"/>
      <c r="H57" s="23"/>
      <c r="I57" s="185">
        <v>9</v>
      </c>
      <c r="J57" s="23"/>
      <c r="K57" s="23"/>
      <c r="L57" s="23" t="str">
        <f>IF(I57&gt;N57,AH58," ")</f>
        <v> </v>
      </c>
      <c r="M57" s="23" t="s">
        <v>210</v>
      </c>
      <c r="N57" s="23">
        <f>VLOOKUP(I56,tabelsalaris,22,FALSE)</f>
        <v>11</v>
      </c>
      <c r="O57" s="23"/>
      <c r="P57" s="23"/>
      <c r="Q57" s="285"/>
    </row>
    <row r="58" spans="2:18" ht="12.75" customHeight="1">
      <c r="B58" s="284"/>
      <c r="C58" s="295"/>
      <c r="D58" s="23" t="s">
        <v>211</v>
      </c>
      <c r="E58" s="23"/>
      <c r="F58" s="23"/>
      <c r="G58" s="23"/>
      <c r="H58" s="23"/>
      <c r="I58" s="301">
        <f>ROUND(VLOOKUP(I56,tabelsalaris,I57+1,FALSE)*1.022,0)</f>
        <v>2004</v>
      </c>
      <c r="J58" s="23"/>
      <c r="K58" s="23"/>
      <c r="L58" s="23"/>
      <c r="M58" s="295"/>
      <c r="N58" s="295"/>
      <c r="O58" s="295"/>
      <c r="P58" s="295"/>
      <c r="Q58" s="306"/>
      <c r="R58" s="293"/>
    </row>
    <row r="59" spans="2:27" s="293" customFormat="1" ht="12.75" customHeight="1">
      <c r="B59" s="307"/>
      <c r="C59" s="295"/>
      <c r="D59" s="23" t="s">
        <v>212</v>
      </c>
      <c r="E59" s="23"/>
      <c r="F59" s="23"/>
      <c r="G59" s="23"/>
      <c r="H59" s="23"/>
      <c r="I59" s="298">
        <v>0.2</v>
      </c>
      <c r="J59" s="295"/>
      <c r="K59" s="295"/>
      <c r="L59" s="23"/>
      <c r="M59" s="23"/>
      <c r="N59" s="23"/>
      <c r="O59" s="295"/>
      <c r="P59" s="295"/>
      <c r="Q59" s="306"/>
      <c r="Y59" s="6"/>
      <c r="Z59" s="6"/>
      <c r="AA59" s="6"/>
    </row>
    <row r="60" spans="2:17" ht="12.75" customHeight="1">
      <c r="B60" s="284"/>
      <c r="C60" s="23"/>
      <c r="D60" s="23" t="s">
        <v>213</v>
      </c>
      <c r="E60" s="23"/>
      <c r="F60" s="23"/>
      <c r="G60" s="23"/>
      <c r="H60" s="23"/>
      <c r="I60" s="300">
        <f>ROUND(+I58*I59,2)</f>
        <v>400.8</v>
      </c>
      <c r="J60" s="23"/>
      <c r="K60" s="23"/>
      <c r="L60" s="23"/>
      <c r="M60" s="23"/>
      <c r="N60" s="23"/>
      <c r="O60" s="23"/>
      <c r="P60" s="23"/>
      <c r="Q60" s="285"/>
    </row>
    <row r="61" spans="2:27" s="293" customFormat="1" ht="12.75" customHeight="1">
      <c r="B61" s="307"/>
      <c r="C61" s="295"/>
      <c r="D61" s="23" t="s">
        <v>216</v>
      </c>
      <c r="E61" s="23"/>
      <c r="F61" s="23"/>
      <c r="G61" s="23"/>
      <c r="H61" s="23"/>
      <c r="I61" s="429">
        <f>+tab!G87</f>
        <v>0.503</v>
      </c>
      <c r="J61" s="295"/>
      <c r="K61" s="295"/>
      <c r="L61" s="23"/>
      <c r="M61" s="23"/>
      <c r="N61" s="23"/>
      <c r="O61" s="295"/>
      <c r="P61" s="295"/>
      <c r="Q61" s="306"/>
      <c r="Y61" s="6"/>
      <c r="Z61" s="6"/>
      <c r="AA61" s="6"/>
    </row>
    <row r="62" spans="2:27" s="293" customFormat="1" ht="12.75" customHeight="1">
      <c r="B62" s="307"/>
      <c r="C62" s="295"/>
      <c r="D62" s="23" t="s">
        <v>226</v>
      </c>
      <c r="E62" s="23"/>
      <c r="F62" s="23"/>
      <c r="G62" s="23"/>
      <c r="H62" s="23"/>
      <c r="I62" s="300">
        <f>+I60*12*(1+I61)</f>
        <v>7228.828800000001</v>
      </c>
      <c r="J62" s="295"/>
      <c r="K62" s="295"/>
      <c r="L62" s="23"/>
      <c r="M62" s="23"/>
      <c r="N62" s="295"/>
      <c r="O62" s="295"/>
      <c r="P62" s="295"/>
      <c r="Q62" s="306"/>
      <c r="Y62" s="6"/>
      <c r="Z62" s="6"/>
      <c r="AA62" s="6"/>
    </row>
    <row r="63" spans="2:27" s="293" customFormat="1" ht="12.75" customHeight="1">
      <c r="B63" s="307"/>
      <c r="C63" s="295"/>
      <c r="D63" s="295"/>
      <c r="E63" s="295"/>
      <c r="F63" s="295"/>
      <c r="G63" s="295"/>
      <c r="H63" s="295"/>
      <c r="I63" s="295"/>
      <c r="J63" s="295"/>
      <c r="K63" s="295"/>
      <c r="L63" s="23"/>
      <c r="M63" s="295"/>
      <c r="N63" s="295"/>
      <c r="O63" s="295"/>
      <c r="P63" s="295"/>
      <c r="Q63" s="306"/>
      <c r="Y63" s="6"/>
      <c r="Z63" s="6"/>
      <c r="AA63" s="6"/>
    </row>
    <row r="64" spans="2:27" s="293" customFormat="1" ht="12.75" customHeight="1">
      <c r="B64" s="307"/>
      <c r="C64" s="295"/>
      <c r="D64" s="295"/>
      <c r="E64" s="295"/>
      <c r="F64" s="295"/>
      <c r="G64" s="295"/>
      <c r="H64" s="295"/>
      <c r="I64" s="295"/>
      <c r="J64" s="295"/>
      <c r="K64" s="295"/>
      <c r="L64" s="23"/>
      <c r="M64" s="295"/>
      <c r="N64" s="295"/>
      <c r="O64" s="295"/>
      <c r="P64" s="295"/>
      <c r="Q64" s="306"/>
      <c r="Y64" s="6"/>
      <c r="Z64" s="6"/>
      <c r="AA64" s="6"/>
    </row>
    <row r="65" spans="2:27" s="293" customFormat="1" ht="12.75" customHeight="1">
      <c r="B65" s="307"/>
      <c r="C65" s="295">
        <v>5</v>
      </c>
      <c r="D65" s="23" t="s">
        <v>205</v>
      </c>
      <c r="E65" s="23"/>
      <c r="F65" s="23"/>
      <c r="G65" s="23"/>
      <c r="H65" s="23"/>
      <c r="I65" s="299" t="s">
        <v>206</v>
      </c>
      <c r="J65" s="299"/>
      <c r="K65" s="185"/>
      <c r="L65" s="23"/>
      <c r="M65" s="295"/>
      <c r="N65" s="295"/>
      <c r="O65" s="295"/>
      <c r="P65" s="295"/>
      <c r="Q65" s="306"/>
      <c r="Y65" s="6"/>
      <c r="Z65" s="6"/>
      <c r="AA65" s="6"/>
    </row>
    <row r="66" spans="2:27" s="293" customFormat="1" ht="12.75" customHeight="1">
      <c r="B66" s="307"/>
      <c r="C66" s="295"/>
      <c r="D66" s="23" t="s">
        <v>208</v>
      </c>
      <c r="E66" s="23"/>
      <c r="F66" s="23"/>
      <c r="G66" s="23"/>
      <c r="H66" s="23"/>
      <c r="I66" s="189">
        <v>11</v>
      </c>
      <c r="J66" s="295"/>
      <c r="K66" s="295"/>
      <c r="L66" s="23"/>
      <c r="M66" s="23"/>
      <c r="N66" s="23"/>
      <c r="O66" s="295"/>
      <c r="P66" s="295"/>
      <c r="Q66" s="306"/>
      <c r="Y66" s="6"/>
      <c r="Z66" s="6"/>
      <c r="AA66" s="6"/>
    </row>
    <row r="67" spans="2:17" s="293" customFormat="1" ht="12.75" customHeight="1">
      <c r="B67" s="307"/>
      <c r="C67" s="295"/>
      <c r="D67" s="23" t="s">
        <v>209</v>
      </c>
      <c r="E67" s="23"/>
      <c r="F67" s="23"/>
      <c r="G67" s="23"/>
      <c r="H67" s="23"/>
      <c r="I67" s="185">
        <v>9</v>
      </c>
      <c r="J67" s="295"/>
      <c r="K67" s="295"/>
      <c r="L67" s="23" t="str">
        <f>IF(I67&gt;N67,AH68," ")</f>
        <v> </v>
      </c>
      <c r="M67" s="23" t="s">
        <v>210</v>
      </c>
      <c r="N67" s="23">
        <f>VLOOKUP(I66,tabelsalaris,22,FALSE)</f>
        <v>18</v>
      </c>
      <c r="O67" s="295"/>
      <c r="P67" s="295"/>
      <c r="Q67" s="306"/>
    </row>
    <row r="68" spans="2:17" s="288" customFormat="1" ht="12.75" customHeight="1">
      <c r="B68" s="381"/>
      <c r="C68" s="289"/>
      <c r="D68" s="23" t="s">
        <v>211</v>
      </c>
      <c r="E68" s="28"/>
      <c r="F68" s="28"/>
      <c r="G68" s="28"/>
      <c r="H68" s="28"/>
      <c r="I68" s="301">
        <f>ROUND(VLOOKUP(I66,tabelsalaris,I67+1,FALSE)*1.022,0)</f>
        <v>3274</v>
      </c>
      <c r="J68" s="289"/>
      <c r="K68" s="289"/>
      <c r="L68" s="28"/>
      <c r="M68" s="289"/>
      <c r="N68" s="289"/>
      <c r="O68" s="289"/>
      <c r="P68" s="289"/>
      <c r="Q68" s="382"/>
    </row>
    <row r="69" spans="2:17" s="293" customFormat="1" ht="12.75" customHeight="1">
      <c r="B69" s="307"/>
      <c r="C69" s="295"/>
      <c r="D69" s="23" t="s">
        <v>212</v>
      </c>
      <c r="E69" s="23"/>
      <c r="F69" s="23"/>
      <c r="G69" s="23"/>
      <c r="H69" s="23"/>
      <c r="I69" s="298">
        <v>1</v>
      </c>
      <c r="J69" s="295"/>
      <c r="K69" s="295"/>
      <c r="L69" s="23"/>
      <c r="M69" s="23"/>
      <c r="N69" s="23"/>
      <c r="O69" s="295"/>
      <c r="P69" s="295"/>
      <c r="Q69" s="306"/>
    </row>
    <row r="70" spans="2:17" s="293" customFormat="1" ht="12.75" customHeight="1">
      <c r="B70" s="307"/>
      <c r="C70" s="295"/>
      <c r="D70" s="23" t="s">
        <v>213</v>
      </c>
      <c r="E70" s="23"/>
      <c r="F70" s="23"/>
      <c r="G70" s="23"/>
      <c r="H70" s="23"/>
      <c r="I70" s="300">
        <f>ROUND(+I68*I69,2)</f>
        <v>3274</v>
      </c>
      <c r="J70" s="295"/>
      <c r="K70" s="295"/>
      <c r="L70" s="23"/>
      <c r="M70" s="23"/>
      <c r="N70" s="23"/>
      <c r="O70" s="295"/>
      <c r="P70" s="295"/>
      <c r="Q70" s="306"/>
    </row>
    <row r="71" spans="2:17" s="293" customFormat="1" ht="12.75" customHeight="1">
      <c r="B71" s="307"/>
      <c r="C71" s="295"/>
      <c r="D71" s="23" t="s">
        <v>216</v>
      </c>
      <c r="E71" s="23"/>
      <c r="F71" s="23"/>
      <c r="G71" s="23"/>
      <c r="H71" s="23"/>
      <c r="I71" s="429">
        <f>+tab!G87</f>
        <v>0.503</v>
      </c>
      <c r="J71" s="295"/>
      <c r="K71" s="295"/>
      <c r="L71" s="23"/>
      <c r="M71" s="23"/>
      <c r="N71" s="23"/>
      <c r="O71" s="295"/>
      <c r="P71" s="295"/>
      <c r="Q71" s="306"/>
    </row>
    <row r="72" spans="2:17" s="293" customFormat="1" ht="12.75" customHeight="1">
      <c r="B72" s="307"/>
      <c r="C72" s="295"/>
      <c r="D72" s="23" t="s">
        <v>226</v>
      </c>
      <c r="E72" s="23"/>
      <c r="F72" s="23"/>
      <c r="G72" s="23"/>
      <c r="H72" s="23"/>
      <c r="I72" s="300">
        <f>+I70*12*(1+I71)</f>
        <v>59049.864</v>
      </c>
      <c r="J72" s="295"/>
      <c r="K72" s="295"/>
      <c r="L72" s="23"/>
      <c r="M72" s="23"/>
      <c r="N72" s="295"/>
      <c r="O72" s="295"/>
      <c r="P72" s="295"/>
      <c r="Q72" s="306"/>
    </row>
    <row r="73" spans="2:17" s="293" customFormat="1" ht="12.75" customHeight="1">
      <c r="B73" s="307"/>
      <c r="C73" s="295"/>
      <c r="D73" s="295"/>
      <c r="E73" s="295"/>
      <c r="F73" s="295"/>
      <c r="G73" s="295"/>
      <c r="H73" s="295"/>
      <c r="I73" s="295"/>
      <c r="J73" s="295"/>
      <c r="K73" s="295"/>
      <c r="L73" s="23"/>
      <c r="M73" s="295"/>
      <c r="N73" s="295"/>
      <c r="O73" s="295"/>
      <c r="P73" s="295"/>
      <c r="Q73" s="306"/>
    </row>
    <row r="74" spans="2:17" s="293" customFormat="1" ht="12.75" customHeight="1">
      <c r="B74" s="307"/>
      <c r="C74" s="295"/>
      <c r="D74" s="295"/>
      <c r="E74" s="295"/>
      <c r="F74" s="295"/>
      <c r="G74" s="295"/>
      <c r="H74" s="295"/>
      <c r="I74" s="295"/>
      <c r="J74" s="295"/>
      <c r="K74" s="295"/>
      <c r="L74" s="23"/>
      <c r="M74" s="295"/>
      <c r="N74" s="295"/>
      <c r="O74" s="295"/>
      <c r="P74" s="295"/>
      <c r="Q74" s="306"/>
    </row>
    <row r="75" spans="2:17" s="293" customFormat="1" ht="12.75" customHeight="1">
      <c r="B75" s="307"/>
      <c r="C75" s="295">
        <v>6</v>
      </c>
      <c r="D75" s="23" t="s">
        <v>205</v>
      </c>
      <c r="E75" s="23"/>
      <c r="F75" s="23"/>
      <c r="G75" s="23"/>
      <c r="H75" s="23"/>
      <c r="I75" s="299" t="s">
        <v>206</v>
      </c>
      <c r="J75" s="299"/>
      <c r="K75" s="185"/>
      <c r="L75" s="23"/>
      <c r="M75" s="295"/>
      <c r="N75" s="295"/>
      <c r="O75" s="295"/>
      <c r="P75" s="295"/>
      <c r="Q75" s="306"/>
    </row>
    <row r="76" spans="2:17" s="293" customFormat="1" ht="12.75" customHeight="1">
      <c r="B76" s="307"/>
      <c r="C76" s="295"/>
      <c r="D76" s="23" t="s">
        <v>208</v>
      </c>
      <c r="E76" s="23"/>
      <c r="F76" s="23"/>
      <c r="G76" s="23"/>
      <c r="H76" s="23"/>
      <c r="I76" s="189">
        <v>12</v>
      </c>
      <c r="J76" s="295"/>
      <c r="K76" s="295"/>
      <c r="L76" s="23"/>
      <c r="M76" s="23"/>
      <c r="N76" s="23"/>
      <c r="O76" s="295"/>
      <c r="P76" s="295"/>
      <c r="Q76" s="306"/>
    </row>
    <row r="77" spans="2:17" s="293" customFormat="1" ht="12.75" customHeight="1">
      <c r="B77" s="307"/>
      <c r="C77" s="295"/>
      <c r="D77" s="23" t="s">
        <v>209</v>
      </c>
      <c r="E77" s="23"/>
      <c r="F77" s="23"/>
      <c r="G77" s="23"/>
      <c r="H77" s="23"/>
      <c r="I77" s="185">
        <v>9</v>
      </c>
      <c r="J77" s="295"/>
      <c r="K77" s="295"/>
      <c r="L77" s="23" t="str">
        <f>IF(I77&gt;N77,AH78," ")</f>
        <v> </v>
      </c>
      <c r="M77" s="23" t="s">
        <v>210</v>
      </c>
      <c r="N77" s="23">
        <f>VLOOKUP(I76,tabelsalaris,22,FALSE)</f>
        <v>16</v>
      </c>
      <c r="O77" s="295"/>
      <c r="P77" s="295"/>
      <c r="Q77" s="306"/>
    </row>
    <row r="78" spans="2:17" s="288" customFormat="1" ht="12.75" customHeight="1">
      <c r="B78" s="381"/>
      <c r="C78" s="289"/>
      <c r="D78" s="23" t="s">
        <v>211</v>
      </c>
      <c r="E78" s="28"/>
      <c r="F78" s="28"/>
      <c r="G78" s="28"/>
      <c r="H78" s="28"/>
      <c r="I78" s="301">
        <f>ROUND(VLOOKUP(I76,tabelsalaris,I77+1,FALSE)*1.022,0)</f>
        <v>4038</v>
      </c>
      <c r="J78" s="289"/>
      <c r="K78" s="289"/>
      <c r="L78" s="28"/>
      <c r="M78" s="289"/>
      <c r="N78" s="289"/>
      <c r="O78" s="289"/>
      <c r="P78" s="289"/>
      <c r="Q78" s="382"/>
    </row>
    <row r="79" spans="2:17" s="293" customFormat="1" ht="12.75" customHeight="1">
      <c r="B79" s="307"/>
      <c r="C79" s="295"/>
      <c r="D79" s="23" t="s">
        <v>212</v>
      </c>
      <c r="E79" s="23"/>
      <c r="F79" s="23"/>
      <c r="G79" s="23"/>
      <c r="H79" s="23"/>
      <c r="I79" s="298">
        <v>1</v>
      </c>
      <c r="J79" s="295"/>
      <c r="K79" s="295"/>
      <c r="L79" s="23"/>
      <c r="M79" s="23"/>
      <c r="N79" s="23"/>
      <c r="O79" s="295"/>
      <c r="P79" s="295"/>
      <c r="Q79" s="306"/>
    </row>
    <row r="80" spans="2:17" s="293" customFormat="1" ht="12.75" customHeight="1">
      <c r="B80" s="307"/>
      <c r="C80" s="295"/>
      <c r="D80" s="23" t="s">
        <v>213</v>
      </c>
      <c r="E80" s="23"/>
      <c r="F80" s="23"/>
      <c r="G80" s="23"/>
      <c r="H80" s="23"/>
      <c r="I80" s="300">
        <f>ROUND(+I78*I79,2)</f>
        <v>4038</v>
      </c>
      <c r="J80" s="295"/>
      <c r="K80" s="295"/>
      <c r="L80" s="23"/>
      <c r="M80" s="23"/>
      <c r="N80" s="23"/>
      <c r="O80" s="295"/>
      <c r="P80" s="295"/>
      <c r="Q80" s="306"/>
    </row>
    <row r="81" spans="2:17" s="293" customFormat="1" ht="12.75" customHeight="1">
      <c r="B81" s="307"/>
      <c r="C81" s="295"/>
      <c r="D81" s="23" t="s">
        <v>216</v>
      </c>
      <c r="E81" s="23"/>
      <c r="F81" s="23"/>
      <c r="G81" s="23"/>
      <c r="H81" s="23"/>
      <c r="I81" s="429">
        <f>+tab!G87</f>
        <v>0.503</v>
      </c>
      <c r="J81" s="295"/>
      <c r="K81" s="295"/>
      <c r="L81" s="23"/>
      <c r="M81" s="23"/>
      <c r="N81" s="23"/>
      <c r="O81" s="295"/>
      <c r="P81" s="295"/>
      <c r="Q81" s="306"/>
    </row>
    <row r="82" spans="2:17" s="293" customFormat="1" ht="12.75" customHeight="1">
      <c r="B82" s="307"/>
      <c r="C82" s="295"/>
      <c r="D82" s="23" t="s">
        <v>226</v>
      </c>
      <c r="E82" s="23"/>
      <c r="F82" s="23"/>
      <c r="G82" s="23"/>
      <c r="H82" s="23"/>
      <c r="I82" s="300">
        <f>+I80*12*(1+I81)</f>
        <v>72829.368</v>
      </c>
      <c r="J82" s="295"/>
      <c r="K82" s="295"/>
      <c r="L82" s="23"/>
      <c r="M82" s="23"/>
      <c r="N82" s="295"/>
      <c r="O82" s="295"/>
      <c r="P82" s="295"/>
      <c r="Q82" s="306"/>
    </row>
    <row r="83" spans="2:17" s="293" customFormat="1" ht="12.75" customHeight="1">
      <c r="B83" s="307"/>
      <c r="C83" s="295"/>
      <c r="D83" s="295"/>
      <c r="E83" s="295"/>
      <c r="F83" s="295"/>
      <c r="G83" s="295"/>
      <c r="H83" s="295"/>
      <c r="I83" s="295"/>
      <c r="J83" s="295"/>
      <c r="K83" s="295"/>
      <c r="L83" s="23"/>
      <c r="M83" s="295"/>
      <c r="N83" s="295"/>
      <c r="O83" s="295"/>
      <c r="P83" s="295"/>
      <c r="Q83" s="306"/>
    </row>
    <row r="84" spans="2:17" s="293" customFormat="1" ht="12.75" customHeight="1">
      <c r="B84" s="307"/>
      <c r="C84" s="295"/>
      <c r="D84" s="295"/>
      <c r="E84" s="295"/>
      <c r="F84" s="295"/>
      <c r="G84" s="295"/>
      <c r="H84" s="295"/>
      <c r="I84" s="295"/>
      <c r="J84" s="295"/>
      <c r="K84" s="295"/>
      <c r="L84" s="23"/>
      <c r="M84" s="295"/>
      <c r="N84" s="295"/>
      <c r="O84" s="295"/>
      <c r="P84" s="295"/>
      <c r="Q84" s="306"/>
    </row>
    <row r="85" spans="2:17" s="293" customFormat="1" ht="12.75" customHeight="1">
      <c r="B85" s="307"/>
      <c r="C85" s="295">
        <v>7</v>
      </c>
      <c r="D85" s="23" t="s">
        <v>205</v>
      </c>
      <c r="E85" s="23"/>
      <c r="F85" s="23"/>
      <c r="G85" s="23"/>
      <c r="H85" s="23"/>
      <c r="I85" s="299" t="s">
        <v>206</v>
      </c>
      <c r="J85" s="299"/>
      <c r="K85" s="185"/>
      <c r="L85" s="23"/>
      <c r="M85" s="295"/>
      <c r="N85" s="295"/>
      <c r="O85" s="295"/>
      <c r="P85" s="295"/>
      <c r="Q85" s="306"/>
    </row>
    <row r="86" spans="2:17" s="293" customFormat="1" ht="12.75" customHeight="1">
      <c r="B86" s="307"/>
      <c r="C86" s="295"/>
      <c r="D86" s="23" t="s">
        <v>208</v>
      </c>
      <c r="E86" s="23"/>
      <c r="F86" s="23"/>
      <c r="G86" s="23"/>
      <c r="H86" s="23"/>
      <c r="I86" s="189" t="s">
        <v>198</v>
      </c>
      <c r="J86" s="295"/>
      <c r="K86" s="295"/>
      <c r="L86" s="23"/>
      <c r="M86" s="23"/>
      <c r="N86" s="23"/>
      <c r="O86" s="295"/>
      <c r="P86" s="295"/>
      <c r="Q86" s="306"/>
    </row>
    <row r="87" spans="2:17" s="293" customFormat="1" ht="12.75" customHeight="1">
      <c r="B87" s="307"/>
      <c r="C87" s="295"/>
      <c r="D87" s="23" t="s">
        <v>209</v>
      </c>
      <c r="E87" s="23"/>
      <c r="F87" s="23"/>
      <c r="G87" s="23"/>
      <c r="H87" s="23"/>
      <c r="I87" s="185">
        <v>16</v>
      </c>
      <c r="J87" s="295"/>
      <c r="K87" s="295"/>
      <c r="L87" s="23" t="str">
        <f>IF(I87&gt;N87,AH88," ")</f>
        <v> </v>
      </c>
      <c r="M87" s="23" t="s">
        <v>210</v>
      </c>
      <c r="N87" s="23">
        <f>VLOOKUP(I86,tabelsalaris,22,FALSE)</f>
        <v>18</v>
      </c>
      <c r="O87" s="295"/>
      <c r="P87" s="295"/>
      <c r="Q87" s="306"/>
    </row>
    <row r="88" spans="2:17" s="288" customFormat="1" ht="12.75" customHeight="1">
      <c r="B88" s="381"/>
      <c r="C88" s="289"/>
      <c r="D88" s="23" t="s">
        <v>211</v>
      </c>
      <c r="E88" s="28"/>
      <c r="F88" s="28"/>
      <c r="G88" s="28"/>
      <c r="H88" s="28"/>
      <c r="I88" s="301">
        <f>ROUND(VLOOKUP(I86,tabelsalaris,I87+1,FALSE)*1.022,0)</f>
        <v>3060</v>
      </c>
      <c r="J88" s="289"/>
      <c r="K88" s="289"/>
      <c r="L88" s="28"/>
      <c r="M88" s="289"/>
      <c r="N88" s="289"/>
      <c r="O88" s="289"/>
      <c r="P88" s="289"/>
      <c r="Q88" s="382"/>
    </row>
    <row r="89" spans="2:17" s="293" customFormat="1" ht="12.75" customHeight="1">
      <c r="B89" s="307"/>
      <c r="C89" s="295"/>
      <c r="D89" s="23" t="s">
        <v>212</v>
      </c>
      <c r="E89" s="23"/>
      <c r="F89" s="23"/>
      <c r="G89" s="23"/>
      <c r="H89" s="23"/>
      <c r="I89" s="298">
        <v>1</v>
      </c>
      <c r="J89" s="295"/>
      <c r="K89" s="295"/>
      <c r="L89" s="23"/>
      <c r="M89" s="23"/>
      <c r="N89" s="23"/>
      <c r="O89" s="295"/>
      <c r="P89" s="295"/>
      <c r="Q89" s="306"/>
    </row>
    <row r="90" spans="2:17" s="293" customFormat="1" ht="12.75" customHeight="1">
      <c r="B90" s="307"/>
      <c r="C90" s="295"/>
      <c r="D90" s="23" t="s">
        <v>213</v>
      </c>
      <c r="E90" s="23"/>
      <c r="F90" s="23"/>
      <c r="G90" s="23"/>
      <c r="H90" s="23"/>
      <c r="I90" s="300">
        <f>ROUND(+I88*I89,2)</f>
        <v>3060</v>
      </c>
      <c r="J90" s="295"/>
      <c r="K90" s="295"/>
      <c r="L90" s="23"/>
      <c r="M90" s="23"/>
      <c r="N90" s="23"/>
      <c r="O90" s="295"/>
      <c r="P90" s="295"/>
      <c r="Q90" s="306"/>
    </row>
    <row r="91" spans="2:17" s="293" customFormat="1" ht="12.75" customHeight="1">
      <c r="B91" s="307"/>
      <c r="C91" s="295"/>
      <c r="D91" s="23" t="s">
        <v>216</v>
      </c>
      <c r="E91" s="23"/>
      <c r="F91" s="23"/>
      <c r="G91" s="23"/>
      <c r="H91" s="23"/>
      <c r="I91" s="429">
        <f>+tab!G87</f>
        <v>0.503</v>
      </c>
      <c r="J91" s="295"/>
      <c r="K91" s="295"/>
      <c r="L91" s="23"/>
      <c r="M91" s="23"/>
      <c r="N91" s="23"/>
      <c r="O91" s="295"/>
      <c r="P91" s="295"/>
      <c r="Q91" s="306"/>
    </row>
    <row r="92" spans="2:17" s="293" customFormat="1" ht="12.75" customHeight="1">
      <c r="B92" s="307"/>
      <c r="C92" s="295"/>
      <c r="D92" s="23" t="s">
        <v>226</v>
      </c>
      <c r="E92" s="23"/>
      <c r="F92" s="23"/>
      <c r="G92" s="23"/>
      <c r="H92" s="23"/>
      <c r="I92" s="300">
        <f>+I90*12*(1+I91)</f>
        <v>55190.16</v>
      </c>
      <c r="J92" s="295"/>
      <c r="K92" s="295"/>
      <c r="L92" s="23"/>
      <c r="M92" s="23"/>
      <c r="N92" s="295"/>
      <c r="O92" s="295"/>
      <c r="P92" s="295"/>
      <c r="Q92" s="306"/>
    </row>
    <row r="93" spans="2:17" s="293" customFormat="1" ht="12.75" customHeight="1">
      <c r="B93" s="307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306"/>
    </row>
    <row r="94" spans="2:17" s="293" customFormat="1" ht="12.75" customHeight="1">
      <c r="B94" s="307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306"/>
    </row>
    <row r="95" spans="2:17" s="293" customFormat="1" ht="12.75" customHeight="1" thickBot="1">
      <c r="B95" s="308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10"/>
    </row>
    <row r="96" s="293" customFormat="1" ht="12.75" customHeight="1"/>
    <row r="97" s="293" customFormat="1" ht="12.75" customHeight="1"/>
    <row r="98" s="288" customFormat="1" ht="12.75" customHeight="1"/>
    <row r="99" s="293" customFormat="1" ht="12.75" customHeight="1"/>
    <row r="100" s="293" customFormat="1" ht="12.75" customHeight="1"/>
    <row r="101" s="293" customFormat="1" ht="12.75" customHeight="1"/>
    <row r="102" s="293" customFormat="1" ht="12.75" customHeight="1"/>
    <row r="103" s="293" customFormat="1" ht="12.75" customHeight="1"/>
    <row r="104" s="293" customFormat="1" ht="12.75" customHeight="1"/>
    <row r="105" s="293" customFormat="1" ht="12.75" customHeight="1"/>
    <row r="106" s="293" customFormat="1" ht="12.75" customHeight="1"/>
    <row r="107" s="293" customFormat="1" ht="12.75" customHeight="1"/>
    <row r="108" s="293" customFormat="1" ht="12.75" customHeight="1"/>
    <row r="109" s="293" customFormat="1" ht="12.75" customHeight="1"/>
    <row r="110" s="293" customFormat="1" ht="12.75" customHeight="1"/>
    <row r="111" s="293" customFormat="1" ht="12.75" customHeight="1"/>
    <row r="112" s="293" customFormat="1" ht="12.75" customHeight="1"/>
    <row r="113" s="293" customFormat="1" ht="12.75" customHeight="1"/>
    <row r="114" s="293" customFormat="1" ht="12.75" customHeight="1"/>
    <row r="115" s="293" customFormat="1" ht="12.75" customHeight="1"/>
    <row r="116" s="293" customFormat="1" ht="12.75" customHeight="1"/>
    <row r="117" s="293" customFormat="1" ht="12.75" customHeight="1"/>
    <row r="118" s="293" customFormat="1" ht="12.75" customHeight="1"/>
    <row r="119" s="293" customFormat="1" ht="12.75" customHeight="1"/>
    <row r="120" s="293" customFormat="1" ht="12.75" customHeight="1"/>
    <row r="121" s="293" customFormat="1" ht="12.75" customHeight="1"/>
    <row r="122" s="293" customFormat="1" ht="12.75" customHeight="1"/>
    <row r="123" s="293" customFormat="1" ht="12.75" customHeight="1"/>
    <row r="124" s="293" customFormat="1" ht="12.75" customHeight="1"/>
    <row r="125" s="293" customFormat="1" ht="12.75" customHeight="1"/>
    <row r="126" s="293" customFormat="1" ht="12.75" customHeight="1"/>
    <row r="127" s="293" customFormat="1" ht="12.75" customHeight="1"/>
    <row r="128" s="293" customFormat="1" ht="12.75" customHeight="1"/>
    <row r="129" s="293" customFormat="1" ht="12.75" customHeight="1"/>
    <row r="130" s="293" customFormat="1" ht="12.75" customHeight="1"/>
    <row r="131" s="293" customFormat="1" ht="12.75" customHeight="1"/>
    <row r="132" s="293" customFormat="1" ht="12.75" customHeight="1"/>
    <row r="133" s="293" customFormat="1" ht="12.75" customHeight="1"/>
    <row r="134" s="293" customFormat="1" ht="12.75" customHeight="1"/>
    <row r="135" s="293" customFormat="1" ht="12.75" customHeight="1"/>
    <row r="136" s="293" customFormat="1" ht="12.75" customHeight="1"/>
    <row r="137" s="293" customFormat="1" ht="12.75" customHeight="1"/>
    <row r="138" s="293" customFormat="1" ht="12.75" customHeight="1"/>
    <row r="139" s="293" customFormat="1" ht="12.75" customHeight="1"/>
    <row r="140" s="293" customFormat="1" ht="12.75" customHeight="1"/>
    <row r="141" s="293" customFormat="1" ht="12.75" customHeight="1"/>
    <row r="142" s="293" customFormat="1" ht="12.75" customHeight="1"/>
    <row r="143" s="293" customFormat="1" ht="12.75" customHeight="1"/>
    <row r="144" spans="4:13" s="293" customFormat="1" ht="12.75" customHeight="1">
      <c r="D144" s="291"/>
      <c r="E144" s="291"/>
      <c r="F144" s="292"/>
      <c r="G144" s="6"/>
      <c r="H144" s="6"/>
      <c r="I144" s="6"/>
      <c r="J144" s="6"/>
      <c r="K144" s="6"/>
      <c r="L144" s="6"/>
      <c r="M144" s="6"/>
    </row>
    <row r="145" s="293" customFormat="1" ht="12.75" customHeight="1"/>
    <row r="146" s="293" customFormat="1" ht="12.75" customHeight="1"/>
    <row r="147" s="293" customFormat="1" ht="12.75" customHeight="1"/>
    <row r="148" s="293" customFormat="1" ht="12.75" customHeight="1"/>
    <row r="149" s="288" customFormat="1" ht="12.75" customHeight="1"/>
    <row r="150" s="293" customFormat="1" ht="12.75" customHeight="1"/>
    <row r="151" s="293" customFormat="1" ht="12.75" customHeight="1"/>
    <row r="152" s="293" customFormat="1" ht="12.75" customHeight="1"/>
    <row r="153" s="293" customFormat="1" ht="12.75" customHeight="1"/>
    <row r="154" s="288" customFormat="1" ht="12.75" customHeight="1"/>
    <row r="155" s="293" customFormat="1" ht="12.75" customHeight="1"/>
    <row r="156" s="293" customFormat="1" ht="12.75" customHeight="1"/>
    <row r="157" spans="4:10" s="293" customFormat="1" ht="12.75" customHeight="1">
      <c r="D157" s="288"/>
      <c r="E157" s="288"/>
      <c r="F157" s="288"/>
      <c r="G157" s="288"/>
      <c r="H157" s="288"/>
      <c r="I157" s="288"/>
      <c r="J157" s="288"/>
    </row>
    <row r="158" spans="4:10" s="293" customFormat="1" ht="12.75" customHeight="1">
      <c r="D158" s="288"/>
      <c r="E158" s="288"/>
      <c r="F158" s="288"/>
      <c r="G158" s="288"/>
      <c r="H158" s="288"/>
      <c r="I158" s="288"/>
      <c r="J158" s="288"/>
    </row>
    <row r="159" spans="4:18" s="288" customFormat="1" ht="12.75" customHeight="1"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</row>
    <row r="160" spans="25:27" ht="12.75" customHeight="1">
      <c r="Y160" s="293"/>
      <c r="Z160" s="293"/>
      <c r="AA160" s="293"/>
    </row>
    <row r="161" spans="25:27" ht="12.75" customHeight="1">
      <c r="Y161" s="293"/>
      <c r="Z161" s="293"/>
      <c r="AA161" s="293"/>
    </row>
    <row r="162" spans="25:27" ht="12.75" customHeight="1">
      <c r="Y162" s="293"/>
      <c r="Z162" s="293"/>
      <c r="AA162" s="293"/>
    </row>
    <row r="163" spans="25:27" ht="12.75" customHeight="1">
      <c r="Y163" s="293"/>
      <c r="Z163" s="293"/>
      <c r="AA163" s="293"/>
    </row>
    <row r="164" spans="25:27" ht="12.75" customHeight="1">
      <c r="Y164" s="293"/>
      <c r="Z164" s="293"/>
      <c r="AA164" s="293"/>
    </row>
    <row r="165" spans="25:27" ht="12.75" customHeight="1">
      <c r="Y165" s="293"/>
      <c r="Z165" s="293"/>
      <c r="AA165" s="293"/>
    </row>
    <row r="166" spans="25:27" ht="12.75" customHeight="1">
      <c r="Y166" s="293"/>
      <c r="Z166" s="293"/>
      <c r="AA166" s="293"/>
    </row>
    <row r="167" spans="25:27" ht="12.75" customHeight="1">
      <c r="Y167" s="293"/>
      <c r="Z167" s="293"/>
      <c r="AA167" s="293"/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</sheetData>
  <sheetProtection password="DE55" sheet="1" objects="1" scenarios="1"/>
  <dataValidations count="1">
    <dataValidation type="list" allowBlank="1" showInputMessage="1" showErrorMessage="1" sqref="F15:O15 I26 I36 I46 I56 I66 I76 I86">
      <formula1>$AA$7:$AA$44</formula1>
    </dataValidation>
  </dataValidations>
  <printOptions/>
  <pageMargins left="0.75" right="0.75" top="1" bottom="1" header="0.5" footer="0.5"/>
  <pageSetup horizontalDpi="600" verticalDpi="600" orientation="portrait" paperSize="9" scale="55" r:id="rId1"/>
  <headerFooter alignWithMargins="0">
    <oddHeader>&amp;L&amp;"Arial,Vet"&amp;F&amp;R&amp;"Arial,Vet"&amp;A</oddHeader>
    <oddFooter>&amp;L&amp;"Arial,Vet"vos/abb&amp;C&amp;"Arial,Vet"&amp;P&amp;R&amp;"Arial,Vet"&amp;D</oddFooter>
  </headerFooter>
  <colBreaks count="1" manualBreakCount="1">
    <brk id="17" min="1" max="7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BL165"/>
  <sheetViews>
    <sheetView showGridLines="0" zoomScale="85" zoomScaleNormal="85" zoomScaleSheetLayoutView="85" workbookViewId="0" topLeftCell="A1">
      <selection activeCell="B2" sqref="B2"/>
    </sheetView>
  </sheetViews>
  <sheetFormatPr defaultColWidth="9.140625" defaultRowHeight="12.75"/>
  <cols>
    <col min="1" max="1" width="5.8515625" style="260" customWidth="1"/>
    <col min="2" max="3" width="2.7109375" style="260" customWidth="1"/>
    <col min="4" max="4" width="3.7109375" style="320" customWidth="1"/>
    <col min="5" max="5" width="32.57421875" style="324" customWidth="1"/>
    <col min="6" max="6" width="6.8515625" style="321" customWidth="1"/>
    <col min="7" max="7" width="2.57421875" style="321" customWidth="1"/>
    <col min="8" max="12" width="10.7109375" style="320" customWidth="1"/>
    <col min="13" max="14" width="2.7109375" style="260" customWidth="1"/>
    <col min="15" max="15" width="3.7109375" style="320" customWidth="1"/>
    <col min="16" max="20" width="12.7109375" style="260" customWidth="1"/>
    <col min="21" max="22" width="2.7109375" style="260" customWidth="1"/>
    <col min="23" max="23" width="3.7109375" style="320" customWidth="1"/>
    <col min="24" max="28" width="12.7109375" style="260" customWidth="1"/>
    <col min="29" max="30" width="2.7109375" style="260" customWidth="1"/>
    <col min="31" max="31" width="3.7109375" style="320" customWidth="1"/>
    <col min="32" max="36" width="12.7109375" style="260" customWidth="1"/>
    <col min="37" max="37" width="3.00390625" style="260" customWidth="1"/>
    <col min="38" max="39" width="2.7109375" style="260" customWidth="1"/>
    <col min="40" max="40" width="2.8515625" style="260" customWidth="1"/>
    <col min="41" max="41" width="3.7109375" style="320" customWidth="1"/>
    <col min="42" max="46" width="12.7109375" style="260" customWidth="1"/>
    <col min="47" max="48" width="2.7109375" style="260" customWidth="1"/>
    <col min="49" max="49" width="3.7109375" style="320" customWidth="1"/>
    <col min="50" max="54" width="12.7109375" style="260" customWidth="1"/>
    <col min="55" max="56" width="2.7109375" style="260" customWidth="1"/>
    <col min="57" max="57" width="3.7109375" style="320" customWidth="1"/>
    <col min="58" max="62" width="12.7109375" style="260" customWidth="1"/>
    <col min="63" max="64" width="2.7109375" style="260" customWidth="1"/>
    <col min="65" max="16384" width="9.140625" style="260" customWidth="1"/>
  </cols>
  <sheetData>
    <row r="1" ht="13.5" thickBot="1"/>
    <row r="2" spans="2:64" ht="12.75">
      <c r="B2" s="261"/>
      <c r="C2" s="262"/>
      <c r="D2" s="337"/>
      <c r="E2" s="344"/>
      <c r="F2" s="337"/>
      <c r="G2" s="337"/>
      <c r="H2" s="337"/>
      <c r="I2" s="337"/>
      <c r="J2" s="337"/>
      <c r="K2" s="337"/>
      <c r="L2" s="337"/>
      <c r="M2" s="262"/>
      <c r="N2" s="262"/>
      <c r="O2" s="337"/>
      <c r="P2" s="345"/>
      <c r="Q2" s="262"/>
      <c r="R2" s="262"/>
      <c r="S2" s="262"/>
      <c r="T2" s="262"/>
      <c r="U2" s="262"/>
      <c r="V2" s="262"/>
      <c r="W2" s="337"/>
      <c r="X2" s="345"/>
      <c r="Y2" s="262"/>
      <c r="Z2" s="262"/>
      <c r="AA2" s="262"/>
      <c r="AB2" s="262"/>
      <c r="AC2" s="262"/>
      <c r="AD2" s="262"/>
      <c r="AE2" s="337"/>
      <c r="AF2" s="345"/>
      <c r="AG2" s="262"/>
      <c r="AH2" s="262"/>
      <c r="AI2" s="262"/>
      <c r="AJ2" s="262"/>
      <c r="AK2" s="262"/>
      <c r="AL2" s="263"/>
      <c r="AM2" s="261"/>
      <c r="AN2" s="262"/>
      <c r="AO2" s="337"/>
      <c r="AP2" s="262"/>
      <c r="AQ2" s="262"/>
      <c r="AR2" s="262"/>
      <c r="AS2" s="262"/>
      <c r="AT2" s="262"/>
      <c r="AU2" s="262"/>
      <c r="AV2" s="262"/>
      <c r="AW2" s="337"/>
      <c r="AX2" s="345"/>
      <c r="AY2" s="262"/>
      <c r="AZ2" s="262"/>
      <c r="BA2" s="262"/>
      <c r="BB2" s="262"/>
      <c r="BC2" s="262"/>
      <c r="BD2" s="262"/>
      <c r="BE2" s="337"/>
      <c r="BF2" s="345"/>
      <c r="BG2" s="262"/>
      <c r="BH2" s="262"/>
      <c r="BI2" s="262"/>
      <c r="BJ2" s="262"/>
      <c r="BK2" s="262"/>
      <c r="BL2" s="263"/>
    </row>
    <row r="3" spans="2:64" ht="12.75">
      <c r="B3" s="264"/>
      <c r="C3" s="265"/>
      <c r="D3" s="321"/>
      <c r="E3" s="346"/>
      <c r="H3" s="321"/>
      <c r="I3" s="321"/>
      <c r="J3" s="321"/>
      <c r="K3" s="321"/>
      <c r="L3" s="321"/>
      <c r="M3" s="265"/>
      <c r="N3" s="265"/>
      <c r="O3" s="321"/>
      <c r="P3" s="322"/>
      <c r="Q3" s="265"/>
      <c r="R3" s="265"/>
      <c r="S3" s="265"/>
      <c r="T3" s="265"/>
      <c r="U3" s="265"/>
      <c r="V3" s="265"/>
      <c r="W3" s="321"/>
      <c r="X3" s="322"/>
      <c r="Y3" s="265"/>
      <c r="Z3" s="265"/>
      <c r="AA3" s="265"/>
      <c r="AB3" s="265"/>
      <c r="AC3" s="265"/>
      <c r="AD3" s="265"/>
      <c r="AE3" s="321"/>
      <c r="AF3" s="322"/>
      <c r="AG3" s="265"/>
      <c r="AH3" s="265"/>
      <c r="AI3" s="265"/>
      <c r="AJ3" s="265"/>
      <c r="AK3" s="265"/>
      <c r="AL3" s="266"/>
      <c r="AM3" s="264"/>
      <c r="AN3" s="265"/>
      <c r="AO3" s="321"/>
      <c r="AP3" s="265"/>
      <c r="AQ3" s="265"/>
      <c r="AR3" s="265"/>
      <c r="AS3" s="265"/>
      <c r="AT3" s="265"/>
      <c r="AU3" s="265"/>
      <c r="AV3" s="265"/>
      <c r="AW3" s="321"/>
      <c r="AX3" s="322"/>
      <c r="AY3" s="265"/>
      <c r="AZ3" s="265"/>
      <c r="BA3" s="265"/>
      <c r="BB3" s="265"/>
      <c r="BC3" s="265"/>
      <c r="BD3" s="265"/>
      <c r="BE3" s="321"/>
      <c r="BF3" s="322"/>
      <c r="BG3" s="265"/>
      <c r="BH3" s="265"/>
      <c r="BI3" s="265"/>
      <c r="BJ3" s="265"/>
      <c r="BK3" s="265"/>
      <c r="BL3" s="266"/>
    </row>
    <row r="4" spans="2:64" s="330" customFormat="1" ht="18">
      <c r="B4" s="347"/>
      <c r="C4" s="348" t="s">
        <v>352</v>
      </c>
      <c r="D4" s="331"/>
      <c r="E4" s="338"/>
      <c r="F4" s="331"/>
      <c r="G4" s="331"/>
      <c r="H4" s="331"/>
      <c r="I4" s="331"/>
      <c r="J4" s="331"/>
      <c r="K4" s="331"/>
      <c r="L4" s="331"/>
      <c r="M4" s="338"/>
      <c r="N4" s="338"/>
      <c r="O4" s="331"/>
      <c r="P4" s="338"/>
      <c r="Q4" s="338"/>
      <c r="R4" s="338"/>
      <c r="S4" s="338"/>
      <c r="T4" s="338"/>
      <c r="U4" s="338"/>
      <c r="V4" s="338"/>
      <c r="W4" s="331"/>
      <c r="X4" s="338"/>
      <c r="Y4" s="338"/>
      <c r="Z4" s="338"/>
      <c r="AA4" s="338"/>
      <c r="AB4" s="338"/>
      <c r="AC4" s="338"/>
      <c r="AD4" s="338"/>
      <c r="AE4" s="331"/>
      <c r="AF4" s="338"/>
      <c r="AG4" s="338"/>
      <c r="AH4" s="338"/>
      <c r="AI4" s="338"/>
      <c r="AJ4" s="338"/>
      <c r="AK4" s="338"/>
      <c r="AL4" s="349"/>
      <c r="AM4" s="347"/>
      <c r="AN4" s="338"/>
      <c r="AO4" s="331"/>
      <c r="AP4" s="338"/>
      <c r="AQ4" s="338"/>
      <c r="AR4" s="338"/>
      <c r="AS4" s="338"/>
      <c r="AT4" s="338"/>
      <c r="AU4" s="338"/>
      <c r="AV4" s="338"/>
      <c r="AW4" s="331"/>
      <c r="AX4" s="338"/>
      <c r="AY4" s="338"/>
      <c r="AZ4" s="338"/>
      <c r="BA4" s="338"/>
      <c r="BB4" s="338"/>
      <c r="BC4" s="338"/>
      <c r="BD4" s="338"/>
      <c r="BE4" s="331"/>
      <c r="BF4" s="338"/>
      <c r="BG4" s="338"/>
      <c r="BH4" s="338"/>
      <c r="BI4" s="338"/>
      <c r="BJ4" s="338"/>
      <c r="BK4" s="338"/>
      <c r="BL4" s="349"/>
    </row>
    <row r="5" spans="2:64" s="330" customFormat="1" ht="18">
      <c r="B5" s="347"/>
      <c r="C5" s="348"/>
      <c r="D5" s="331"/>
      <c r="E5" s="338"/>
      <c r="F5" s="331"/>
      <c r="G5" s="331"/>
      <c r="H5" s="331"/>
      <c r="I5" s="331"/>
      <c r="J5" s="331"/>
      <c r="K5" s="331"/>
      <c r="L5" s="331"/>
      <c r="M5" s="338"/>
      <c r="N5" s="338"/>
      <c r="O5" s="331"/>
      <c r="P5" s="338"/>
      <c r="Q5" s="338"/>
      <c r="R5" s="338"/>
      <c r="S5" s="338"/>
      <c r="T5" s="338"/>
      <c r="U5" s="338"/>
      <c r="V5" s="338"/>
      <c r="W5" s="331"/>
      <c r="X5" s="338"/>
      <c r="Y5" s="338"/>
      <c r="Z5" s="338"/>
      <c r="AA5" s="338"/>
      <c r="AB5" s="338"/>
      <c r="AC5" s="338"/>
      <c r="AD5" s="338"/>
      <c r="AE5" s="331"/>
      <c r="AF5" s="338"/>
      <c r="AG5" s="338"/>
      <c r="AH5" s="338"/>
      <c r="AI5" s="338"/>
      <c r="AJ5" s="338"/>
      <c r="AK5" s="338"/>
      <c r="AL5" s="349"/>
      <c r="AM5" s="347"/>
      <c r="AN5" s="338"/>
      <c r="AO5" s="331"/>
      <c r="AP5" s="338"/>
      <c r="AQ5" s="338"/>
      <c r="AR5" s="338"/>
      <c r="AS5" s="338"/>
      <c r="AT5" s="338"/>
      <c r="AU5" s="338"/>
      <c r="AV5" s="338"/>
      <c r="AW5" s="331"/>
      <c r="AX5" s="338"/>
      <c r="AY5" s="338"/>
      <c r="AZ5" s="338"/>
      <c r="BA5" s="338"/>
      <c r="BB5" s="338"/>
      <c r="BC5" s="338"/>
      <c r="BD5" s="338"/>
      <c r="BE5" s="331"/>
      <c r="BF5" s="338"/>
      <c r="BG5" s="338"/>
      <c r="BH5" s="338"/>
      <c r="BI5" s="338"/>
      <c r="BJ5" s="338"/>
      <c r="BK5" s="338"/>
      <c r="BL5" s="349"/>
    </row>
    <row r="6" spans="2:64" ht="12.75">
      <c r="B6" s="264"/>
      <c r="C6" s="265"/>
      <c r="D6" s="321"/>
      <c r="E6" s="346"/>
      <c r="H6" s="329"/>
      <c r="I6" s="321"/>
      <c r="J6" s="321"/>
      <c r="K6" s="321"/>
      <c r="L6" s="321"/>
      <c r="M6" s="265"/>
      <c r="N6" s="265"/>
      <c r="O6" s="321"/>
      <c r="P6" s="322" t="s">
        <v>58</v>
      </c>
      <c r="Q6" s="265"/>
      <c r="R6" s="265"/>
      <c r="S6" s="265"/>
      <c r="T6" s="265"/>
      <c r="U6" s="265"/>
      <c r="V6" s="265"/>
      <c r="W6" s="321"/>
      <c r="X6" s="322" t="s">
        <v>353</v>
      </c>
      <c r="Y6" s="265"/>
      <c r="Z6" s="265"/>
      <c r="AA6" s="265"/>
      <c r="AB6" s="265"/>
      <c r="AC6" s="265"/>
      <c r="AD6" s="265"/>
      <c r="AE6" s="321"/>
      <c r="AF6" s="322" t="s">
        <v>349</v>
      </c>
      <c r="AG6" s="265"/>
      <c r="AH6" s="265"/>
      <c r="AI6" s="265"/>
      <c r="AJ6" s="265"/>
      <c r="AK6" s="265"/>
      <c r="AL6" s="266"/>
      <c r="AM6" s="264"/>
      <c r="AN6" s="265"/>
      <c r="AO6" s="321"/>
      <c r="AP6" s="322" t="s">
        <v>96</v>
      </c>
      <c r="AQ6" s="265"/>
      <c r="AR6" s="265"/>
      <c r="AS6" s="265"/>
      <c r="AT6" s="265"/>
      <c r="AU6" s="265"/>
      <c r="AV6" s="265"/>
      <c r="AW6" s="321"/>
      <c r="AX6" s="322" t="s">
        <v>350</v>
      </c>
      <c r="AY6" s="265"/>
      <c r="AZ6" s="265"/>
      <c r="BA6" s="265"/>
      <c r="BB6" s="265"/>
      <c r="BC6" s="265"/>
      <c r="BD6" s="265"/>
      <c r="BE6" s="321"/>
      <c r="BF6" s="322" t="s">
        <v>351</v>
      </c>
      <c r="BG6" s="265"/>
      <c r="BH6" s="265"/>
      <c r="BI6" s="265"/>
      <c r="BJ6" s="265"/>
      <c r="BK6" s="265"/>
      <c r="BL6" s="266"/>
    </row>
    <row r="7" spans="2:64" ht="12.75">
      <c r="B7" s="264"/>
      <c r="C7" s="265"/>
      <c r="D7" s="321"/>
      <c r="E7" s="346"/>
      <c r="H7" s="346" t="s">
        <v>136</v>
      </c>
      <c r="I7" s="321"/>
      <c r="J7" s="321"/>
      <c r="K7" s="321"/>
      <c r="L7" s="321"/>
      <c r="M7" s="265"/>
      <c r="N7" s="265"/>
      <c r="O7" s="321"/>
      <c r="P7" s="265" t="s">
        <v>171</v>
      </c>
      <c r="Q7" s="265"/>
      <c r="R7" s="265"/>
      <c r="S7" s="265"/>
      <c r="T7" s="265"/>
      <c r="U7" s="265"/>
      <c r="V7" s="265"/>
      <c r="W7" s="321"/>
      <c r="X7" s="265" t="s">
        <v>62</v>
      </c>
      <c r="Y7" s="265"/>
      <c r="Z7" s="265"/>
      <c r="AA7" s="265"/>
      <c r="AB7" s="265"/>
      <c r="AC7" s="265"/>
      <c r="AD7" s="265"/>
      <c r="AE7" s="321"/>
      <c r="AF7" s="265" t="s">
        <v>62</v>
      </c>
      <c r="AG7" s="265"/>
      <c r="AH7" s="265"/>
      <c r="AI7" s="265"/>
      <c r="AJ7" s="265"/>
      <c r="AK7" s="265"/>
      <c r="AL7" s="266"/>
      <c r="AM7" s="264"/>
      <c r="AN7" s="265"/>
      <c r="AO7" s="321"/>
      <c r="AP7" s="265" t="s">
        <v>305</v>
      </c>
      <c r="AQ7" s="265"/>
      <c r="AR7" s="265"/>
      <c r="AS7" s="265"/>
      <c r="AT7" s="265"/>
      <c r="AU7" s="265"/>
      <c r="AV7" s="265"/>
      <c r="AW7" s="321"/>
      <c r="AX7" s="265" t="s">
        <v>306</v>
      </c>
      <c r="AY7" s="265"/>
      <c r="AZ7" s="265"/>
      <c r="BA7" s="265"/>
      <c r="BB7" s="265"/>
      <c r="BC7" s="265"/>
      <c r="BD7" s="265"/>
      <c r="BE7" s="321"/>
      <c r="BF7" s="265" t="s">
        <v>306</v>
      </c>
      <c r="BG7" s="265"/>
      <c r="BH7" s="265"/>
      <c r="BI7" s="265"/>
      <c r="BJ7" s="265"/>
      <c r="BK7" s="265"/>
      <c r="BL7" s="266"/>
    </row>
    <row r="8" spans="2:64" ht="12.75">
      <c r="B8" s="264"/>
      <c r="C8" s="265"/>
      <c r="D8" s="321"/>
      <c r="E8" s="346"/>
      <c r="H8" s="321"/>
      <c r="I8" s="321"/>
      <c r="J8" s="321"/>
      <c r="K8" s="321"/>
      <c r="L8" s="321"/>
      <c r="M8" s="265"/>
      <c r="N8" s="265"/>
      <c r="O8" s="321"/>
      <c r="P8" s="265"/>
      <c r="Q8" s="265"/>
      <c r="R8" s="265"/>
      <c r="S8" s="265"/>
      <c r="T8" s="265"/>
      <c r="U8" s="265"/>
      <c r="V8" s="265"/>
      <c r="W8" s="321"/>
      <c r="X8" s="265"/>
      <c r="Y8" s="265"/>
      <c r="Z8" s="265"/>
      <c r="AA8" s="265"/>
      <c r="AB8" s="265"/>
      <c r="AC8" s="265"/>
      <c r="AD8" s="265"/>
      <c r="AE8" s="321"/>
      <c r="AF8" s="265"/>
      <c r="AG8" s="265"/>
      <c r="AH8" s="265"/>
      <c r="AI8" s="265"/>
      <c r="AJ8" s="265"/>
      <c r="AK8" s="265"/>
      <c r="AL8" s="266"/>
      <c r="AM8" s="264"/>
      <c r="AN8" s="265"/>
      <c r="AO8" s="321"/>
      <c r="AP8" s="265"/>
      <c r="AQ8" s="265"/>
      <c r="AR8" s="265"/>
      <c r="AS8" s="265"/>
      <c r="AT8" s="265"/>
      <c r="AU8" s="265"/>
      <c r="AV8" s="265"/>
      <c r="AW8" s="321"/>
      <c r="AX8" s="360"/>
      <c r="AY8" s="360"/>
      <c r="AZ8" s="360"/>
      <c r="BA8" s="360"/>
      <c r="BB8" s="360"/>
      <c r="BC8" s="265"/>
      <c r="BD8" s="265"/>
      <c r="BE8" s="321"/>
      <c r="BF8" s="361"/>
      <c r="BG8" s="361"/>
      <c r="BH8" s="361"/>
      <c r="BI8" s="361"/>
      <c r="BJ8" s="361"/>
      <c r="BK8" s="265"/>
      <c r="BL8" s="266"/>
    </row>
    <row r="9" spans="2:64" s="333" customFormat="1" ht="12.75">
      <c r="B9" s="350"/>
      <c r="C9" s="334"/>
      <c r="D9" s="334"/>
      <c r="E9" s="351" t="s">
        <v>356</v>
      </c>
      <c r="F9" s="336" t="s">
        <v>355</v>
      </c>
      <c r="G9" s="334"/>
      <c r="H9" s="493" t="str">
        <f>tab!G11</f>
        <v>2007/08</v>
      </c>
      <c r="I9" s="493" t="str">
        <f>tab!H11</f>
        <v>2008/09</v>
      </c>
      <c r="J9" s="493" t="str">
        <f>tab!I11</f>
        <v>2009/10</v>
      </c>
      <c r="K9" s="493" t="str">
        <f>tab!J11</f>
        <v>2010/11</v>
      </c>
      <c r="L9" s="493" t="str">
        <f>tab!K11</f>
        <v>2011/12</v>
      </c>
      <c r="M9" s="334"/>
      <c r="N9" s="334"/>
      <c r="O9" s="334"/>
      <c r="P9" s="493" t="str">
        <f>tab!G11</f>
        <v>2007/08</v>
      </c>
      <c r="Q9" s="493" t="str">
        <f>tab!H11</f>
        <v>2008/09</v>
      </c>
      <c r="R9" s="493" t="str">
        <f>tab!I11</f>
        <v>2009/10</v>
      </c>
      <c r="S9" s="493" t="str">
        <f>tab!J11</f>
        <v>2010/11</v>
      </c>
      <c r="T9" s="493" t="str">
        <f>tab!K11</f>
        <v>2011/12</v>
      </c>
      <c r="U9" s="334"/>
      <c r="V9" s="334"/>
      <c r="W9" s="334"/>
      <c r="X9" s="336">
        <f>tab!G12</f>
        <v>2007</v>
      </c>
      <c r="Y9" s="336">
        <f>tab!H12</f>
        <v>2008</v>
      </c>
      <c r="Z9" s="336">
        <f>tab!I12</f>
        <v>2009</v>
      </c>
      <c r="AA9" s="336">
        <f>tab!J12</f>
        <v>2010</v>
      </c>
      <c r="AB9" s="336">
        <f>tab!K12</f>
        <v>2011</v>
      </c>
      <c r="AC9" s="334"/>
      <c r="AD9" s="334"/>
      <c r="AE9" s="334"/>
      <c r="AF9" s="493" t="str">
        <f>tab!G11</f>
        <v>2007/08</v>
      </c>
      <c r="AG9" s="493" t="str">
        <f>tab!H11</f>
        <v>2008/09</v>
      </c>
      <c r="AH9" s="493" t="str">
        <f>tab!I11</f>
        <v>2009/10</v>
      </c>
      <c r="AI9" s="493" t="str">
        <f>tab!J11</f>
        <v>2010/11</v>
      </c>
      <c r="AJ9" s="493" t="str">
        <f>tab!K11</f>
        <v>2011/12</v>
      </c>
      <c r="AK9" s="336"/>
      <c r="AL9" s="352"/>
      <c r="AM9" s="350"/>
      <c r="AN9" s="334"/>
      <c r="AO9" s="334"/>
      <c r="AP9" s="493" t="str">
        <f>tab!G11</f>
        <v>2007/08</v>
      </c>
      <c r="AQ9" s="493" t="str">
        <f>tab!H11</f>
        <v>2008/09</v>
      </c>
      <c r="AR9" s="493" t="str">
        <f>tab!I11</f>
        <v>2009/10</v>
      </c>
      <c r="AS9" s="493" t="str">
        <f>tab!J11</f>
        <v>2010/11</v>
      </c>
      <c r="AT9" s="493" t="str">
        <f>tab!K11</f>
        <v>2011/12</v>
      </c>
      <c r="AU9" s="334"/>
      <c r="AV9" s="334"/>
      <c r="AW9" s="334"/>
      <c r="AX9" s="336">
        <f>tab!G12</f>
        <v>2007</v>
      </c>
      <c r="AY9" s="336">
        <f>tab!H12</f>
        <v>2008</v>
      </c>
      <c r="AZ9" s="336">
        <f>tab!I12</f>
        <v>2009</v>
      </c>
      <c r="BA9" s="336">
        <f>tab!J12</f>
        <v>2010</v>
      </c>
      <c r="BB9" s="336">
        <f>tab!K12</f>
        <v>2011</v>
      </c>
      <c r="BC9" s="334"/>
      <c r="BD9" s="334"/>
      <c r="BE9" s="334"/>
      <c r="BF9" s="493" t="str">
        <f>tab!G11</f>
        <v>2007/08</v>
      </c>
      <c r="BG9" s="493" t="str">
        <f>tab!H11</f>
        <v>2008/09</v>
      </c>
      <c r="BH9" s="493" t="str">
        <f>tab!I11</f>
        <v>2009/10</v>
      </c>
      <c r="BI9" s="493" t="str">
        <f>tab!J11</f>
        <v>2010/11</v>
      </c>
      <c r="BJ9" s="493" t="str">
        <f>tab!K11</f>
        <v>2011/12</v>
      </c>
      <c r="BK9" s="334"/>
      <c r="BL9" s="352"/>
    </row>
    <row r="10" spans="2:64" s="320" customFormat="1" ht="12.75">
      <c r="B10" s="353"/>
      <c r="C10" s="321"/>
      <c r="D10" s="321"/>
      <c r="E10" s="346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54"/>
      <c r="AM10" s="353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54"/>
    </row>
    <row r="11" spans="2:64" s="320" customFormat="1" ht="12.75">
      <c r="B11" s="353"/>
      <c r="C11" s="335"/>
      <c r="D11" s="335"/>
      <c r="E11" s="35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54"/>
      <c r="AM11" s="353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54"/>
    </row>
    <row r="12" spans="2:64" s="333" customFormat="1" ht="12.75">
      <c r="B12" s="350"/>
      <c r="C12" s="368"/>
      <c r="D12" s="368"/>
      <c r="E12" s="368"/>
      <c r="F12" s="368"/>
      <c r="G12" s="368"/>
      <c r="H12" s="336">
        <f>+H89</f>
        <v>100</v>
      </c>
      <c r="I12" s="336">
        <f>+I89</f>
        <v>100</v>
      </c>
      <c r="J12" s="336">
        <f>+J89</f>
        <v>100</v>
      </c>
      <c r="K12" s="336">
        <f>+K89</f>
        <v>100</v>
      </c>
      <c r="L12" s="336">
        <f>+L89</f>
        <v>100</v>
      </c>
      <c r="M12" s="368"/>
      <c r="N12" s="368"/>
      <c r="O12" s="368"/>
      <c r="P12" s="373">
        <f>+P89</f>
        <v>0</v>
      </c>
      <c r="Q12" s="373">
        <f>+Q89</f>
        <v>0</v>
      </c>
      <c r="R12" s="373">
        <f>+R89</f>
        <v>0</v>
      </c>
      <c r="S12" s="373">
        <f>+S89</f>
        <v>0</v>
      </c>
      <c r="T12" s="373">
        <f>+T89</f>
        <v>0</v>
      </c>
      <c r="U12" s="374"/>
      <c r="V12" s="374"/>
      <c r="W12" s="368"/>
      <c r="X12" s="373">
        <f>+X89</f>
        <v>0</v>
      </c>
      <c r="Y12" s="373">
        <f>+Y89</f>
        <v>0</v>
      </c>
      <c r="Z12" s="373">
        <f>+Z89</f>
        <v>0</v>
      </c>
      <c r="AA12" s="373">
        <f>+AA89</f>
        <v>0</v>
      </c>
      <c r="AB12" s="373">
        <f>+AB89</f>
        <v>0</v>
      </c>
      <c r="AC12" s="374"/>
      <c r="AD12" s="374"/>
      <c r="AE12" s="368"/>
      <c r="AF12" s="373">
        <f>+AF89</f>
        <v>0</v>
      </c>
      <c r="AG12" s="373">
        <f>+AG89</f>
        <v>0</v>
      </c>
      <c r="AH12" s="373">
        <f>+AH89</f>
        <v>0</v>
      </c>
      <c r="AI12" s="373">
        <f>+AI89</f>
        <v>0</v>
      </c>
      <c r="AJ12" s="373">
        <f>+AJ89</f>
        <v>0</v>
      </c>
      <c r="AK12" s="373"/>
      <c r="AL12" s="375"/>
      <c r="AM12" s="376"/>
      <c r="AN12" s="374"/>
      <c r="AO12" s="368"/>
      <c r="AP12" s="373">
        <f>+AP89</f>
        <v>13773</v>
      </c>
      <c r="AQ12" s="373">
        <f>+AQ89</f>
        <v>13966</v>
      </c>
      <c r="AR12" s="373">
        <f>+AR89</f>
        <v>13966</v>
      </c>
      <c r="AS12" s="373">
        <f>+AS89</f>
        <v>13966</v>
      </c>
      <c r="AT12" s="373">
        <f>+AT89</f>
        <v>13966</v>
      </c>
      <c r="AU12" s="374"/>
      <c r="AV12" s="374"/>
      <c r="AW12" s="368"/>
      <c r="AX12" s="373">
        <f>+AX89</f>
        <v>661</v>
      </c>
      <c r="AY12" s="373">
        <f>+AY89</f>
        <v>672</v>
      </c>
      <c r="AZ12" s="373">
        <f>+AZ89</f>
        <v>672</v>
      </c>
      <c r="BA12" s="373">
        <f>+BA89</f>
        <v>672</v>
      </c>
      <c r="BB12" s="373">
        <f>+BB89</f>
        <v>672</v>
      </c>
      <c r="BC12" s="374"/>
      <c r="BD12" s="374"/>
      <c r="BE12" s="368"/>
      <c r="BF12" s="373">
        <f>+BF89</f>
        <v>667.4166666666667</v>
      </c>
      <c r="BG12" s="373">
        <f>+BG89</f>
        <v>672</v>
      </c>
      <c r="BH12" s="373">
        <f>+BH89</f>
        <v>672</v>
      </c>
      <c r="BI12" s="373">
        <f>+BI89</f>
        <v>672</v>
      </c>
      <c r="BJ12" s="373">
        <f>+BJ89</f>
        <v>672</v>
      </c>
      <c r="BK12" s="368"/>
      <c r="BL12" s="352"/>
    </row>
    <row r="13" spans="2:64" s="320" customFormat="1" ht="12.75">
      <c r="B13" s="353"/>
      <c r="C13" s="335"/>
      <c r="D13" s="335"/>
      <c r="E13" s="35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54"/>
      <c r="AM13" s="353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54"/>
    </row>
    <row r="14" spans="2:64" s="320" customFormat="1" ht="12.75">
      <c r="B14" s="353"/>
      <c r="C14" s="302"/>
      <c r="D14" s="302">
        <v>1</v>
      </c>
      <c r="E14" s="186" t="s">
        <v>390</v>
      </c>
      <c r="F14" s="187" t="s">
        <v>354</v>
      </c>
      <c r="G14" s="326"/>
      <c r="H14" s="187">
        <v>100</v>
      </c>
      <c r="I14" s="207">
        <f aca="true" t="shared" si="0" ref="I14:L33">H14</f>
        <v>100</v>
      </c>
      <c r="J14" s="207">
        <f t="shared" si="0"/>
        <v>100</v>
      </c>
      <c r="K14" s="207">
        <f t="shared" si="0"/>
        <v>100</v>
      </c>
      <c r="L14" s="207">
        <f t="shared" si="0"/>
        <v>100</v>
      </c>
      <c r="M14" s="302"/>
      <c r="N14" s="302"/>
      <c r="O14" s="302">
        <v>1</v>
      </c>
      <c r="P14" s="364">
        <v>0</v>
      </c>
      <c r="Q14" s="365">
        <f aca="true" t="shared" si="1" ref="Q14:T33">P14</f>
        <v>0</v>
      </c>
      <c r="R14" s="365">
        <f t="shared" si="1"/>
        <v>0</v>
      </c>
      <c r="S14" s="365">
        <f t="shared" si="1"/>
        <v>0</v>
      </c>
      <c r="T14" s="365">
        <f t="shared" si="1"/>
        <v>0</v>
      </c>
      <c r="U14" s="302"/>
      <c r="V14" s="302"/>
      <c r="W14" s="302">
        <v>1</v>
      </c>
      <c r="X14" s="73">
        <v>0</v>
      </c>
      <c r="Y14" s="365">
        <f aca="true" t="shared" si="2" ref="Y14:AB33">X14</f>
        <v>0</v>
      </c>
      <c r="Z14" s="365">
        <f t="shared" si="2"/>
        <v>0</v>
      </c>
      <c r="AA14" s="365">
        <f t="shared" si="2"/>
        <v>0</v>
      </c>
      <c r="AB14" s="365">
        <f t="shared" si="2"/>
        <v>0</v>
      </c>
      <c r="AC14" s="302"/>
      <c r="AD14" s="302"/>
      <c r="AE14" s="302">
        <v>1</v>
      </c>
      <c r="AF14" s="73">
        <v>0</v>
      </c>
      <c r="AG14" s="365">
        <f aca="true" t="shared" si="3" ref="AG14:AJ33">AF14</f>
        <v>0</v>
      </c>
      <c r="AH14" s="365">
        <f t="shared" si="3"/>
        <v>0</v>
      </c>
      <c r="AI14" s="365">
        <f t="shared" si="3"/>
        <v>0</v>
      </c>
      <c r="AJ14" s="365">
        <f t="shared" si="3"/>
        <v>0</v>
      </c>
      <c r="AK14" s="326"/>
      <c r="AL14" s="356"/>
      <c r="AM14" s="362"/>
      <c r="AN14" s="302"/>
      <c r="AO14" s="302">
        <v>1</v>
      </c>
      <c r="AP14" s="76">
        <f>ROUND(H14*tab!G$55,0)</f>
        <v>13773</v>
      </c>
      <c r="AQ14" s="76">
        <f>ROUND(I14*tab!I$55,0)</f>
        <v>13966</v>
      </c>
      <c r="AR14" s="76">
        <f>ROUND(J14*tab!K$55,0)</f>
        <v>13966</v>
      </c>
      <c r="AS14" s="76">
        <f>ROUND(K14*tab!M$55,0)</f>
        <v>13966</v>
      </c>
      <c r="AT14" s="76">
        <f>ROUND(L14*tab!O$55,0)</f>
        <v>13966</v>
      </c>
      <c r="AU14" s="302"/>
      <c r="AV14" s="302"/>
      <c r="AW14" s="302">
        <v>1</v>
      </c>
      <c r="AX14" s="76">
        <f>+H14*tab!F$56</f>
        <v>661</v>
      </c>
      <c r="AY14" s="76">
        <f>+I14*tab!H$56</f>
        <v>672</v>
      </c>
      <c r="AZ14" s="76">
        <f>+J14*tab!J$56</f>
        <v>672</v>
      </c>
      <c r="BA14" s="76">
        <f>+K14*tab!L$56</f>
        <v>672</v>
      </c>
      <c r="BB14" s="76">
        <f>+L14*tab!N$56</f>
        <v>672</v>
      </c>
      <c r="BC14" s="302"/>
      <c r="BD14" s="302"/>
      <c r="BE14" s="302">
        <v>1</v>
      </c>
      <c r="BF14" s="76">
        <f>5/12*AX14+7/12*AY14</f>
        <v>667.4166666666667</v>
      </c>
      <c r="BG14" s="76">
        <f>5/12*AY14+7/12*AZ14</f>
        <v>672</v>
      </c>
      <c r="BH14" s="76">
        <f>5/12*AZ14+7/12*BA14</f>
        <v>672</v>
      </c>
      <c r="BI14" s="76">
        <f>5/12*BA14+7/12*BB14</f>
        <v>672</v>
      </c>
      <c r="BJ14" s="76">
        <f>BB14</f>
        <v>672</v>
      </c>
      <c r="BK14" s="302"/>
      <c r="BL14" s="354"/>
    </row>
    <row r="15" spans="2:64" s="320" customFormat="1" ht="12.75">
      <c r="B15" s="353"/>
      <c r="C15" s="302"/>
      <c r="D15" s="302">
        <v>2</v>
      </c>
      <c r="E15" s="186"/>
      <c r="F15" s="187"/>
      <c r="G15" s="326"/>
      <c r="H15" s="187">
        <v>0</v>
      </c>
      <c r="I15" s="207">
        <f t="shared" si="0"/>
        <v>0</v>
      </c>
      <c r="J15" s="207">
        <f t="shared" si="0"/>
        <v>0</v>
      </c>
      <c r="K15" s="207">
        <f t="shared" si="0"/>
        <v>0</v>
      </c>
      <c r="L15" s="207">
        <f t="shared" si="0"/>
        <v>0</v>
      </c>
      <c r="M15" s="302"/>
      <c r="N15" s="302"/>
      <c r="O15" s="302">
        <v>2</v>
      </c>
      <c r="P15" s="364">
        <v>0</v>
      </c>
      <c r="Q15" s="365">
        <f t="shared" si="1"/>
        <v>0</v>
      </c>
      <c r="R15" s="365">
        <f t="shared" si="1"/>
        <v>0</v>
      </c>
      <c r="S15" s="365">
        <f t="shared" si="1"/>
        <v>0</v>
      </c>
      <c r="T15" s="365">
        <f t="shared" si="1"/>
        <v>0</v>
      </c>
      <c r="U15" s="302"/>
      <c r="V15" s="302"/>
      <c r="W15" s="302">
        <v>2</v>
      </c>
      <c r="X15" s="73">
        <v>0</v>
      </c>
      <c r="Y15" s="365">
        <f t="shared" si="2"/>
        <v>0</v>
      </c>
      <c r="Z15" s="365">
        <f t="shared" si="2"/>
        <v>0</v>
      </c>
      <c r="AA15" s="365">
        <f t="shared" si="2"/>
        <v>0</v>
      </c>
      <c r="AB15" s="365">
        <f t="shared" si="2"/>
        <v>0</v>
      </c>
      <c r="AC15" s="302"/>
      <c r="AD15" s="302"/>
      <c r="AE15" s="302">
        <v>2</v>
      </c>
      <c r="AF15" s="73">
        <v>0</v>
      </c>
      <c r="AG15" s="365">
        <f t="shared" si="3"/>
        <v>0</v>
      </c>
      <c r="AH15" s="365">
        <f t="shared" si="3"/>
        <v>0</v>
      </c>
      <c r="AI15" s="365">
        <f t="shared" si="3"/>
        <v>0</v>
      </c>
      <c r="AJ15" s="365">
        <f t="shared" si="3"/>
        <v>0</v>
      </c>
      <c r="AK15" s="326"/>
      <c r="AL15" s="356"/>
      <c r="AM15" s="362"/>
      <c r="AN15" s="302"/>
      <c r="AO15" s="302">
        <v>2</v>
      </c>
      <c r="AP15" s="76">
        <f>ROUND(H15*tab!G$55,0)</f>
        <v>0</v>
      </c>
      <c r="AQ15" s="76">
        <f>ROUND(I15*tab!I$55,0)</f>
        <v>0</v>
      </c>
      <c r="AR15" s="76">
        <f>ROUND(J15*tab!K$55,0)</f>
        <v>0</v>
      </c>
      <c r="AS15" s="76">
        <f>ROUND(K15*tab!M$55,0)</f>
        <v>0</v>
      </c>
      <c r="AT15" s="76">
        <f>ROUND(L15*tab!O$55,0)</f>
        <v>0</v>
      </c>
      <c r="AU15" s="302"/>
      <c r="AV15" s="302"/>
      <c r="AW15" s="302">
        <v>2</v>
      </c>
      <c r="AX15" s="76">
        <f>+H15*tab!F$56</f>
        <v>0</v>
      </c>
      <c r="AY15" s="76">
        <f>+I15*tab!H$56</f>
        <v>0</v>
      </c>
      <c r="AZ15" s="76">
        <f>+J15*tab!J$56</f>
        <v>0</v>
      </c>
      <c r="BA15" s="76">
        <f>+K15*tab!L$56</f>
        <v>0</v>
      </c>
      <c r="BB15" s="76">
        <f>+L15*tab!N$56</f>
        <v>0</v>
      </c>
      <c r="BC15" s="302"/>
      <c r="BD15" s="302"/>
      <c r="BE15" s="302">
        <v>2</v>
      </c>
      <c r="BF15" s="76">
        <f aca="true" t="shared" si="4" ref="BF15:BF78">5/12*AX15+7/12*AY15</f>
        <v>0</v>
      </c>
      <c r="BG15" s="76">
        <f aca="true" t="shared" si="5" ref="BG15:BG78">5/12*AY15+7/12*AZ15</f>
        <v>0</v>
      </c>
      <c r="BH15" s="76">
        <f aca="true" t="shared" si="6" ref="BH15:BH78">5/12*AZ15+7/12*BA15</f>
        <v>0</v>
      </c>
      <c r="BI15" s="76">
        <f aca="true" t="shared" si="7" ref="BI15:BI78">5/12*BA15+7/12*BB15</f>
        <v>0</v>
      </c>
      <c r="BJ15" s="76">
        <f aca="true" t="shared" si="8" ref="BJ15:BJ78">BB15</f>
        <v>0</v>
      </c>
      <c r="BK15" s="302"/>
      <c r="BL15" s="354"/>
    </row>
    <row r="16" spans="2:64" s="320" customFormat="1" ht="12.75">
      <c r="B16" s="353"/>
      <c r="C16" s="302"/>
      <c r="D16" s="302">
        <v>3</v>
      </c>
      <c r="E16" s="186"/>
      <c r="F16" s="187"/>
      <c r="G16" s="326"/>
      <c r="H16" s="187">
        <v>0</v>
      </c>
      <c r="I16" s="207">
        <f t="shared" si="0"/>
        <v>0</v>
      </c>
      <c r="J16" s="207">
        <f t="shared" si="0"/>
        <v>0</v>
      </c>
      <c r="K16" s="207">
        <f t="shared" si="0"/>
        <v>0</v>
      </c>
      <c r="L16" s="207">
        <f t="shared" si="0"/>
        <v>0</v>
      </c>
      <c r="M16" s="302"/>
      <c r="N16" s="302"/>
      <c r="O16" s="302">
        <v>3</v>
      </c>
      <c r="P16" s="364">
        <v>0</v>
      </c>
      <c r="Q16" s="365">
        <f t="shared" si="1"/>
        <v>0</v>
      </c>
      <c r="R16" s="365">
        <f t="shared" si="1"/>
        <v>0</v>
      </c>
      <c r="S16" s="365">
        <f t="shared" si="1"/>
        <v>0</v>
      </c>
      <c r="T16" s="365">
        <f t="shared" si="1"/>
        <v>0</v>
      </c>
      <c r="U16" s="302"/>
      <c r="V16" s="302"/>
      <c r="W16" s="302">
        <v>3</v>
      </c>
      <c r="X16" s="73">
        <v>0</v>
      </c>
      <c r="Y16" s="365">
        <f t="shared" si="2"/>
        <v>0</v>
      </c>
      <c r="Z16" s="365">
        <f t="shared" si="2"/>
        <v>0</v>
      </c>
      <c r="AA16" s="365">
        <f t="shared" si="2"/>
        <v>0</v>
      </c>
      <c r="AB16" s="365">
        <f t="shared" si="2"/>
        <v>0</v>
      </c>
      <c r="AC16" s="302"/>
      <c r="AD16" s="302"/>
      <c r="AE16" s="302">
        <v>3</v>
      </c>
      <c r="AF16" s="73">
        <v>0</v>
      </c>
      <c r="AG16" s="365">
        <f t="shared" si="3"/>
        <v>0</v>
      </c>
      <c r="AH16" s="365">
        <f t="shared" si="3"/>
        <v>0</v>
      </c>
      <c r="AI16" s="365">
        <f t="shared" si="3"/>
        <v>0</v>
      </c>
      <c r="AJ16" s="365">
        <f t="shared" si="3"/>
        <v>0</v>
      </c>
      <c r="AK16" s="326"/>
      <c r="AL16" s="356"/>
      <c r="AM16" s="362"/>
      <c r="AN16" s="302"/>
      <c r="AO16" s="302">
        <v>3</v>
      </c>
      <c r="AP16" s="76">
        <f>ROUND(H16*tab!G$55,0)</f>
        <v>0</v>
      </c>
      <c r="AQ16" s="76">
        <f>ROUND(I16*tab!I$55,0)</f>
        <v>0</v>
      </c>
      <c r="AR16" s="76">
        <f>ROUND(J16*tab!K$55,0)</f>
        <v>0</v>
      </c>
      <c r="AS16" s="76">
        <f>ROUND(K16*tab!M$55,0)</f>
        <v>0</v>
      </c>
      <c r="AT16" s="76">
        <f>ROUND(L16*tab!O$55,0)</f>
        <v>0</v>
      </c>
      <c r="AU16" s="302"/>
      <c r="AV16" s="302"/>
      <c r="AW16" s="302">
        <v>3</v>
      </c>
      <c r="AX16" s="76">
        <f>+H16*tab!F$56</f>
        <v>0</v>
      </c>
      <c r="AY16" s="76">
        <f>+I16*tab!H$56</f>
        <v>0</v>
      </c>
      <c r="AZ16" s="76">
        <f>+J16*tab!J$56</f>
        <v>0</v>
      </c>
      <c r="BA16" s="76">
        <f>+K16*tab!L$56</f>
        <v>0</v>
      </c>
      <c r="BB16" s="76">
        <f>+L16*tab!N$56</f>
        <v>0</v>
      </c>
      <c r="BC16" s="302"/>
      <c r="BD16" s="302"/>
      <c r="BE16" s="302">
        <v>3</v>
      </c>
      <c r="BF16" s="76">
        <f t="shared" si="4"/>
        <v>0</v>
      </c>
      <c r="BG16" s="76">
        <f t="shared" si="5"/>
        <v>0</v>
      </c>
      <c r="BH16" s="76">
        <f t="shared" si="6"/>
        <v>0</v>
      </c>
      <c r="BI16" s="76">
        <f t="shared" si="7"/>
        <v>0</v>
      </c>
      <c r="BJ16" s="76">
        <f t="shared" si="8"/>
        <v>0</v>
      </c>
      <c r="BK16" s="302"/>
      <c r="BL16" s="354"/>
    </row>
    <row r="17" spans="2:64" s="320" customFormat="1" ht="12.75">
      <c r="B17" s="353"/>
      <c r="C17" s="302"/>
      <c r="D17" s="302">
        <v>4</v>
      </c>
      <c r="E17" s="186"/>
      <c r="F17" s="187"/>
      <c r="G17" s="326"/>
      <c r="H17" s="187">
        <v>0</v>
      </c>
      <c r="I17" s="207">
        <f t="shared" si="0"/>
        <v>0</v>
      </c>
      <c r="J17" s="207">
        <f t="shared" si="0"/>
        <v>0</v>
      </c>
      <c r="K17" s="207">
        <f t="shared" si="0"/>
        <v>0</v>
      </c>
      <c r="L17" s="207">
        <f t="shared" si="0"/>
        <v>0</v>
      </c>
      <c r="M17" s="302"/>
      <c r="N17" s="302"/>
      <c r="O17" s="302">
        <v>4</v>
      </c>
      <c r="P17" s="364">
        <v>0</v>
      </c>
      <c r="Q17" s="365">
        <f t="shared" si="1"/>
        <v>0</v>
      </c>
      <c r="R17" s="365">
        <f t="shared" si="1"/>
        <v>0</v>
      </c>
      <c r="S17" s="365">
        <f t="shared" si="1"/>
        <v>0</v>
      </c>
      <c r="T17" s="365">
        <f t="shared" si="1"/>
        <v>0</v>
      </c>
      <c r="U17" s="302"/>
      <c r="V17" s="302"/>
      <c r="W17" s="302">
        <v>4</v>
      </c>
      <c r="X17" s="73">
        <v>0</v>
      </c>
      <c r="Y17" s="365">
        <f t="shared" si="2"/>
        <v>0</v>
      </c>
      <c r="Z17" s="365">
        <f t="shared" si="2"/>
        <v>0</v>
      </c>
      <c r="AA17" s="365">
        <f t="shared" si="2"/>
        <v>0</v>
      </c>
      <c r="AB17" s="365">
        <f t="shared" si="2"/>
        <v>0</v>
      </c>
      <c r="AC17" s="302"/>
      <c r="AD17" s="302"/>
      <c r="AE17" s="302">
        <v>4</v>
      </c>
      <c r="AF17" s="73">
        <v>0</v>
      </c>
      <c r="AG17" s="365">
        <f t="shared" si="3"/>
        <v>0</v>
      </c>
      <c r="AH17" s="365">
        <f t="shared" si="3"/>
        <v>0</v>
      </c>
      <c r="AI17" s="365">
        <f t="shared" si="3"/>
        <v>0</v>
      </c>
      <c r="AJ17" s="365">
        <f t="shared" si="3"/>
        <v>0</v>
      </c>
      <c r="AK17" s="326"/>
      <c r="AL17" s="356"/>
      <c r="AM17" s="362"/>
      <c r="AN17" s="302"/>
      <c r="AO17" s="302">
        <v>4</v>
      </c>
      <c r="AP17" s="76">
        <f>ROUND(H17*tab!G$55,0)</f>
        <v>0</v>
      </c>
      <c r="AQ17" s="76">
        <f>ROUND(I17*tab!I$55,0)</f>
        <v>0</v>
      </c>
      <c r="AR17" s="76">
        <f>ROUND(J17*tab!K$55,0)</f>
        <v>0</v>
      </c>
      <c r="AS17" s="76">
        <f>ROUND(K17*tab!M$55,0)</f>
        <v>0</v>
      </c>
      <c r="AT17" s="76">
        <f>ROUND(L17*tab!O$55,0)</f>
        <v>0</v>
      </c>
      <c r="AU17" s="302"/>
      <c r="AV17" s="302"/>
      <c r="AW17" s="302">
        <v>4</v>
      </c>
      <c r="AX17" s="76">
        <f>+H17*tab!F$56</f>
        <v>0</v>
      </c>
      <c r="AY17" s="76">
        <f>+I17*tab!H$56</f>
        <v>0</v>
      </c>
      <c r="AZ17" s="76">
        <f>+J17*tab!J$56</f>
        <v>0</v>
      </c>
      <c r="BA17" s="76">
        <f>+K17*tab!L$56</f>
        <v>0</v>
      </c>
      <c r="BB17" s="76">
        <f>+L17*tab!N$56</f>
        <v>0</v>
      </c>
      <c r="BC17" s="302"/>
      <c r="BD17" s="302"/>
      <c r="BE17" s="302">
        <v>4</v>
      </c>
      <c r="BF17" s="76">
        <f t="shared" si="4"/>
        <v>0</v>
      </c>
      <c r="BG17" s="76">
        <f t="shared" si="5"/>
        <v>0</v>
      </c>
      <c r="BH17" s="76">
        <f t="shared" si="6"/>
        <v>0</v>
      </c>
      <c r="BI17" s="76">
        <f t="shared" si="7"/>
        <v>0</v>
      </c>
      <c r="BJ17" s="76">
        <f t="shared" si="8"/>
        <v>0</v>
      </c>
      <c r="BK17" s="302"/>
      <c r="BL17" s="354"/>
    </row>
    <row r="18" spans="2:64" s="320" customFormat="1" ht="12.75">
      <c r="B18" s="353"/>
      <c r="C18" s="302"/>
      <c r="D18" s="302">
        <v>5</v>
      </c>
      <c r="E18" s="186"/>
      <c r="F18" s="187"/>
      <c r="G18" s="326"/>
      <c r="H18" s="187">
        <v>0</v>
      </c>
      <c r="I18" s="207">
        <f t="shared" si="0"/>
        <v>0</v>
      </c>
      <c r="J18" s="207">
        <f t="shared" si="0"/>
        <v>0</v>
      </c>
      <c r="K18" s="207">
        <f t="shared" si="0"/>
        <v>0</v>
      </c>
      <c r="L18" s="207">
        <f t="shared" si="0"/>
        <v>0</v>
      </c>
      <c r="M18" s="302"/>
      <c r="N18" s="302"/>
      <c r="O18" s="302">
        <v>5</v>
      </c>
      <c r="P18" s="364">
        <v>0</v>
      </c>
      <c r="Q18" s="365">
        <f t="shared" si="1"/>
        <v>0</v>
      </c>
      <c r="R18" s="365">
        <f t="shared" si="1"/>
        <v>0</v>
      </c>
      <c r="S18" s="365">
        <f t="shared" si="1"/>
        <v>0</v>
      </c>
      <c r="T18" s="365">
        <f t="shared" si="1"/>
        <v>0</v>
      </c>
      <c r="U18" s="302"/>
      <c r="V18" s="302"/>
      <c r="W18" s="302">
        <v>5</v>
      </c>
      <c r="X18" s="73">
        <v>0</v>
      </c>
      <c r="Y18" s="365">
        <f t="shared" si="2"/>
        <v>0</v>
      </c>
      <c r="Z18" s="365">
        <f t="shared" si="2"/>
        <v>0</v>
      </c>
      <c r="AA18" s="365">
        <f t="shared" si="2"/>
        <v>0</v>
      </c>
      <c r="AB18" s="365">
        <f t="shared" si="2"/>
        <v>0</v>
      </c>
      <c r="AC18" s="302"/>
      <c r="AD18" s="302"/>
      <c r="AE18" s="302">
        <v>5</v>
      </c>
      <c r="AF18" s="73">
        <v>0</v>
      </c>
      <c r="AG18" s="365">
        <f t="shared" si="3"/>
        <v>0</v>
      </c>
      <c r="AH18" s="365">
        <f t="shared" si="3"/>
        <v>0</v>
      </c>
      <c r="AI18" s="365">
        <f t="shared" si="3"/>
        <v>0</v>
      </c>
      <c r="AJ18" s="365">
        <f t="shared" si="3"/>
        <v>0</v>
      </c>
      <c r="AK18" s="326"/>
      <c r="AL18" s="356"/>
      <c r="AM18" s="362"/>
      <c r="AN18" s="302"/>
      <c r="AO18" s="302">
        <v>5</v>
      </c>
      <c r="AP18" s="76">
        <f>ROUND(H18*tab!G$55,0)</f>
        <v>0</v>
      </c>
      <c r="AQ18" s="76">
        <f>ROUND(I18*tab!I$55,0)</f>
        <v>0</v>
      </c>
      <c r="AR18" s="76">
        <f>ROUND(J18*tab!K$55,0)</f>
        <v>0</v>
      </c>
      <c r="AS18" s="76">
        <f>ROUND(K18*tab!M$55,0)</f>
        <v>0</v>
      </c>
      <c r="AT18" s="76">
        <f>ROUND(L18*tab!O$55,0)</f>
        <v>0</v>
      </c>
      <c r="AU18" s="302"/>
      <c r="AV18" s="302"/>
      <c r="AW18" s="302">
        <v>5</v>
      </c>
      <c r="AX18" s="76">
        <f>+H18*tab!F$56</f>
        <v>0</v>
      </c>
      <c r="AY18" s="76">
        <f>+I18*tab!H$56</f>
        <v>0</v>
      </c>
      <c r="AZ18" s="76">
        <f>+J18*tab!J$56</f>
        <v>0</v>
      </c>
      <c r="BA18" s="76">
        <f>+K18*tab!L$56</f>
        <v>0</v>
      </c>
      <c r="BB18" s="76">
        <f>+L18*tab!N$56</f>
        <v>0</v>
      </c>
      <c r="BC18" s="302"/>
      <c r="BD18" s="302"/>
      <c r="BE18" s="302">
        <v>5</v>
      </c>
      <c r="BF18" s="76">
        <f t="shared" si="4"/>
        <v>0</v>
      </c>
      <c r="BG18" s="76">
        <f t="shared" si="5"/>
        <v>0</v>
      </c>
      <c r="BH18" s="76">
        <f t="shared" si="6"/>
        <v>0</v>
      </c>
      <c r="BI18" s="76">
        <f t="shared" si="7"/>
        <v>0</v>
      </c>
      <c r="BJ18" s="76">
        <f t="shared" si="8"/>
        <v>0</v>
      </c>
      <c r="BK18" s="302"/>
      <c r="BL18" s="354"/>
    </row>
    <row r="19" spans="2:64" s="320" customFormat="1" ht="12.75">
      <c r="B19" s="353"/>
      <c r="C19" s="302"/>
      <c r="D19" s="302">
        <v>6</v>
      </c>
      <c r="E19" s="186"/>
      <c r="F19" s="187"/>
      <c r="G19" s="326"/>
      <c r="H19" s="187">
        <v>0</v>
      </c>
      <c r="I19" s="207">
        <f t="shared" si="0"/>
        <v>0</v>
      </c>
      <c r="J19" s="207">
        <f t="shared" si="0"/>
        <v>0</v>
      </c>
      <c r="K19" s="207">
        <f t="shared" si="0"/>
        <v>0</v>
      </c>
      <c r="L19" s="207">
        <f t="shared" si="0"/>
        <v>0</v>
      </c>
      <c r="M19" s="302"/>
      <c r="N19" s="302"/>
      <c r="O19" s="302">
        <v>6</v>
      </c>
      <c r="P19" s="364">
        <v>0</v>
      </c>
      <c r="Q19" s="365">
        <f t="shared" si="1"/>
        <v>0</v>
      </c>
      <c r="R19" s="365">
        <f t="shared" si="1"/>
        <v>0</v>
      </c>
      <c r="S19" s="365">
        <f t="shared" si="1"/>
        <v>0</v>
      </c>
      <c r="T19" s="365">
        <f t="shared" si="1"/>
        <v>0</v>
      </c>
      <c r="U19" s="302"/>
      <c r="V19" s="302"/>
      <c r="W19" s="302">
        <v>6</v>
      </c>
      <c r="X19" s="73">
        <v>0</v>
      </c>
      <c r="Y19" s="365">
        <f t="shared" si="2"/>
        <v>0</v>
      </c>
      <c r="Z19" s="365">
        <f t="shared" si="2"/>
        <v>0</v>
      </c>
      <c r="AA19" s="365">
        <f t="shared" si="2"/>
        <v>0</v>
      </c>
      <c r="AB19" s="365">
        <f t="shared" si="2"/>
        <v>0</v>
      </c>
      <c r="AC19" s="302"/>
      <c r="AD19" s="302"/>
      <c r="AE19" s="302">
        <v>6</v>
      </c>
      <c r="AF19" s="73">
        <v>0</v>
      </c>
      <c r="AG19" s="365">
        <f t="shared" si="3"/>
        <v>0</v>
      </c>
      <c r="AH19" s="365">
        <f t="shared" si="3"/>
        <v>0</v>
      </c>
      <c r="AI19" s="365">
        <f t="shared" si="3"/>
        <v>0</v>
      </c>
      <c r="AJ19" s="365">
        <f t="shared" si="3"/>
        <v>0</v>
      </c>
      <c r="AK19" s="326"/>
      <c r="AL19" s="356"/>
      <c r="AM19" s="362"/>
      <c r="AN19" s="302"/>
      <c r="AO19" s="302">
        <v>6</v>
      </c>
      <c r="AP19" s="76">
        <f>ROUND(H19*tab!G$55,0)</f>
        <v>0</v>
      </c>
      <c r="AQ19" s="76">
        <f>ROUND(I19*tab!I$55,0)</f>
        <v>0</v>
      </c>
      <c r="AR19" s="76">
        <f>ROUND(J19*tab!K$55,0)</f>
        <v>0</v>
      </c>
      <c r="AS19" s="76">
        <f>ROUND(K19*tab!M$55,0)</f>
        <v>0</v>
      </c>
      <c r="AT19" s="76">
        <f>ROUND(L19*tab!O$55,0)</f>
        <v>0</v>
      </c>
      <c r="AU19" s="302"/>
      <c r="AV19" s="302"/>
      <c r="AW19" s="302">
        <v>6</v>
      </c>
      <c r="AX19" s="76">
        <f>+H19*tab!F$56</f>
        <v>0</v>
      </c>
      <c r="AY19" s="76">
        <f>+I19*tab!H$56</f>
        <v>0</v>
      </c>
      <c r="AZ19" s="76">
        <f>+J19*tab!J$56</f>
        <v>0</v>
      </c>
      <c r="BA19" s="76">
        <f>+K19*tab!L$56</f>
        <v>0</v>
      </c>
      <c r="BB19" s="76">
        <f>+L19*tab!N$56</f>
        <v>0</v>
      </c>
      <c r="BC19" s="302"/>
      <c r="BD19" s="302"/>
      <c r="BE19" s="302">
        <v>6</v>
      </c>
      <c r="BF19" s="76">
        <f t="shared" si="4"/>
        <v>0</v>
      </c>
      <c r="BG19" s="76">
        <f t="shared" si="5"/>
        <v>0</v>
      </c>
      <c r="BH19" s="76">
        <f t="shared" si="6"/>
        <v>0</v>
      </c>
      <c r="BI19" s="76">
        <f t="shared" si="7"/>
        <v>0</v>
      </c>
      <c r="BJ19" s="76">
        <f t="shared" si="8"/>
        <v>0</v>
      </c>
      <c r="BK19" s="302"/>
      <c r="BL19" s="354"/>
    </row>
    <row r="20" spans="2:64" s="320" customFormat="1" ht="12.75">
      <c r="B20" s="353"/>
      <c r="C20" s="302"/>
      <c r="D20" s="302">
        <v>7</v>
      </c>
      <c r="E20" s="186"/>
      <c r="F20" s="187"/>
      <c r="G20" s="326"/>
      <c r="H20" s="187">
        <v>0</v>
      </c>
      <c r="I20" s="207">
        <f t="shared" si="0"/>
        <v>0</v>
      </c>
      <c r="J20" s="207">
        <f t="shared" si="0"/>
        <v>0</v>
      </c>
      <c r="K20" s="207">
        <f t="shared" si="0"/>
        <v>0</v>
      </c>
      <c r="L20" s="207">
        <f t="shared" si="0"/>
        <v>0</v>
      </c>
      <c r="M20" s="302"/>
      <c r="N20" s="302"/>
      <c r="O20" s="302">
        <v>7</v>
      </c>
      <c r="P20" s="364">
        <v>0</v>
      </c>
      <c r="Q20" s="365">
        <f t="shared" si="1"/>
        <v>0</v>
      </c>
      <c r="R20" s="365">
        <f t="shared" si="1"/>
        <v>0</v>
      </c>
      <c r="S20" s="365">
        <f t="shared" si="1"/>
        <v>0</v>
      </c>
      <c r="T20" s="365">
        <f t="shared" si="1"/>
        <v>0</v>
      </c>
      <c r="U20" s="302"/>
      <c r="V20" s="302"/>
      <c r="W20" s="302">
        <v>7</v>
      </c>
      <c r="X20" s="73">
        <v>0</v>
      </c>
      <c r="Y20" s="365">
        <f t="shared" si="2"/>
        <v>0</v>
      </c>
      <c r="Z20" s="365">
        <f t="shared" si="2"/>
        <v>0</v>
      </c>
      <c r="AA20" s="365">
        <f t="shared" si="2"/>
        <v>0</v>
      </c>
      <c r="AB20" s="365">
        <f t="shared" si="2"/>
        <v>0</v>
      </c>
      <c r="AC20" s="302"/>
      <c r="AD20" s="302"/>
      <c r="AE20" s="302">
        <v>7</v>
      </c>
      <c r="AF20" s="73">
        <v>0</v>
      </c>
      <c r="AG20" s="365">
        <f t="shared" si="3"/>
        <v>0</v>
      </c>
      <c r="AH20" s="365">
        <f t="shared" si="3"/>
        <v>0</v>
      </c>
      <c r="AI20" s="365">
        <f t="shared" si="3"/>
        <v>0</v>
      </c>
      <c r="AJ20" s="365">
        <f t="shared" si="3"/>
        <v>0</v>
      </c>
      <c r="AK20" s="326"/>
      <c r="AL20" s="356"/>
      <c r="AM20" s="362"/>
      <c r="AN20" s="302"/>
      <c r="AO20" s="302">
        <v>7</v>
      </c>
      <c r="AP20" s="76">
        <f>ROUND(H20*tab!G$55,0)</f>
        <v>0</v>
      </c>
      <c r="AQ20" s="76">
        <f>ROUND(I20*tab!I$55,0)</f>
        <v>0</v>
      </c>
      <c r="AR20" s="76">
        <f>ROUND(J20*tab!K$55,0)</f>
        <v>0</v>
      </c>
      <c r="AS20" s="76">
        <f>ROUND(K20*tab!M$55,0)</f>
        <v>0</v>
      </c>
      <c r="AT20" s="76">
        <f>ROUND(L20*tab!O$55,0)</f>
        <v>0</v>
      </c>
      <c r="AU20" s="302"/>
      <c r="AV20" s="302"/>
      <c r="AW20" s="302">
        <v>7</v>
      </c>
      <c r="AX20" s="76">
        <f>+H20*tab!F$56</f>
        <v>0</v>
      </c>
      <c r="AY20" s="76">
        <f>+I20*tab!H$56</f>
        <v>0</v>
      </c>
      <c r="AZ20" s="76">
        <f>+J20*tab!J$56</f>
        <v>0</v>
      </c>
      <c r="BA20" s="76">
        <f>+K20*tab!L$56</f>
        <v>0</v>
      </c>
      <c r="BB20" s="76">
        <f>+L20*tab!N$56</f>
        <v>0</v>
      </c>
      <c r="BC20" s="302"/>
      <c r="BD20" s="302"/>
      <c r="BE20" s="302">
        <v>7</v>
      </c>
      <c r="BF20" s="76">
        <f t="shared" si="4"/>
        <v>0</v>
      </c>
      <c r="BG20" s="76">
        <f t="shared" si="5"/>
        <v>0</v>
      </c>
      <c r="BH20" s="76">
        <f t="shared" si="6"/>
        <v>0</v>
      </c>
      <c r="BI20" s="76">
        <f t="shared" si="7"/>
        <v>0</v>
      </c>
      <c r="BJ20" s="76">
        <f t="shared" si="8"/>
        <v>0</v>
      </c>
      <c r="BK20" s="302"/>
      <c r="BL20" s="354"/>
    </row>
    <row r="21" spans="2:64" s="320" customFormat="1" ht="12.75">
      <c r="B21" s="353"/>
      <c r="C21" s="302"/>
      <c r="D21" s="302">
        <v>8</v>
      </c>
      <c r="E21" s="186"/>
      <c r="F21" s="187"/>
      <c r="G21" s="326"/>
      <c r="H21" s="187">
        <v>0</v>
      </c>
      <c r="I21" s="207">
        <f t="shared" si="0"/>
        <v>0</v>
      </c>
      <c r="J21" s="207">
        <f t="shared" si="0"/>
        <v>0</v>
      </c>
      <c r="K21" s="207">
        <f t="shared" si="0"/>
        <v>0</v>
      </c>
      <c r="L21" s="207">
        <f t="shared" si="0"/>
        <v>0</v>
      </c>
      <c r="M21" s="302"/>
      <c r="N21" s="302"/>
      <c r="O21" s="302">
        <v>8</v>
      </c>
      <c r="P21" s="364">
        <v>0</v>
      </c>
      <c r="Q21" s="365">
        <f t="shared" si="1"/>
        <v>0</v>
      </c>
      <c r="R21" s="365">
        <f t="shared" si="1"/>
        <v>0</v>
      </c>
      <c r="S21" s="365">
        <f t="shared" si="1"/>
        <v>0</v>
      </c>
      <c r="T21" s="365">
        <f t="shared" si="1"/>
        <v>0</v>
      </c>
      <c r="U21" s="302"/>
      <c r="V21" s="302"/>
      <c r="W21" s="302">
        <v>8</v>
      </c>
      <c r="X21" s="73">
        <v>0</v>
      </c>
      <c r="Y21" s="365">
        <f t="shared" si="2"/>
        <v>0</v>
      </c>
      <c r="Z21" s="365">
        <f t="shared" si="2"/>
        <v>0</v>
      </c>
      <c r="AA21" s="365">
        <f t="shared" si="2"/>
        <v>0</v>
      </c>
      <c r="AB21" s="365">
        <f t="shared" si="2"/>
        <v>0</v>
      </c>
      <c r="AC21" s="302"/>
      <c r="AD21" s="302"/>
      <c r="AE21" s="302">
        <v>8</v>
      </c>
      <c r="AF21" s="73">
        <v>0</v>
      </c>
      <c r="AG21" s="365">
        <f t="shared" si="3"/>
        <v>0</v>
      </c>
      <c r="AH21" s="365">
        <f t="shared" si="3"/>
        <v>0</v>
      </c>
      <c r="AI21" s="365">
        <f t="shared" si="3"/>
        <v>0</v>
      </c>
      <c r="AJ21" s="365">
        <f t="shared" si="3"/>
        <v>0</v>
      </c>
      <c r="AK21" s="326"/>
      <c r="AL21" s="356"/>
      <c r="AM21" s="362"/>
      <c r="AN21" s="302"/>
      <c r="AO21" s="302">
        <v>8</v>
      </c>
      <c r="AP21" s="76">
        <f>ROUND(H21*tab!G$55,0)</f>
        <v>0</v>
      </c>
      <c r="AQ21" s="76">
        <f>ROUND(I21*tab!I$55,0)</f>
        <v>0</v>
      </c>
      <c r="AR21" s="76">
        <f>ROUND(J21*tab!K$55,0)</f>
        <v>0</v>
      </c>
      <c r="AS21" s="76">
        <f>ROUND(K21*tab!M$55,0)</f>
        <v>0</v>
      </c>
      <c r="AT21" s="76">
        <f>ROUND(L21*tab!O$55,0)</f>
        <v>0</v>
      </c>
      <c r="AU21" s="302"/>
      <c r="AV21" s="302"/>
      <c r="AW21" s="302">
        <v>8</v>
      </c>
      <c r="AX21" s="76">
        <f>+H21*tab!F$56</f>
        <v>0</v>
      </c>
      <c r="AY21" s="76">
        <f>+I21*tab!H$56</f>
        <v>0</v>
      </c>
      <c r="AZ21" s="76">
        <f>+J21*tab!J$56</f>
        <v>0</v>
      </c>
      <c r="BA21" s="76">
        <f>+K21*tab!L$56</f>
        <v>0</v>
      </c>
      <c r="BB21" s="76">
        <f>+L21*tab!N$56</f>
        <v>0</v>
      </c>
      <c r="BC21" s="302"/>
      <c r="BD21" s="302"/>
      <c r="BE21" s="302">
        <v>8</v>
      </c>
      <c r="BF21" s="76">
        <f t="shared" si="4"/>
        <v>0</v>
      </c>
      <c r="BG21" s="76">
        <f t="shared" si="5"/>
        <v>0</v>
      </c>
      <c r="BH21" s="76">
        <f t="shared" si="6"/>
        <v>0</v>
      </c>
      <c r="BI21" s="76">
        <f t="shared" si="7"/>
        <v>0</v>
      </c>
      <c r="BJ21" s="76">
        <f t="shared" si="8"/>
        <v>0</v>
      </c>
      <c r="BK21" s="302"/>
      <c r="BL21" s="354"/>
    </row>
    <row r="22" spans="2:64" s="320" customFormat="1" ht="12.75">
      <c r="B22" s="353"/>
      <c r="C22" s="302"/>
      <c r="D22" s="302">
        <v>9</v>
      </c>
      <c r="E22" s="186"/>
      <c r="F22" s="187"/>
      <c r="G22" s="326"/>
      <c r="H22" s="187">
        <v>0</v>
      </c>
      <c r="I22" s="207">
        <f t="shared" si="0"/>
        <v>0</v>
      </c>
      <c r="J22" s="207">
        <f t="shared" si="0"/>
        <v>0</v>
      </c>
      <c r="K22" s="207">
        <f t="shared" si="0"/>
        <v>0</v>
      </c>
      <c r="L22" s="207">
        <f t="shared" si="0"/>
        <v>0</v>
      </c>
      <c r="M22" s="302"/>
      <c r="N22" s="302"/>
      <c r="O22" s="302">
        <v>9</v>
      </c>
      <c r="P22" s="364">
        <v>0</v>
      </c>
      <c r="Q22" s="365">
        <f t="shared" si="1"/>
        <v>0</v>
      </c>
      <c r="R22" s="365">
        <f t="shared" si="1"/>
        <v>0</v>
      </c>
      <c r="S22" s="365">
        <f t="shared" si="1"/>
        <v>0</v>
      </c>
      <c r="T22" s="365">
        <f t="shared" si="1"/>
        <v>0</v>
      </c>
      <c r="U22" s="302"/>
      <c r="V22" s="302"/>
      <c r="W22" s="302">
        <v>9</v>
      </c>
      <c r="X22" s="73">
        <v>0</v>
      </c>
      <c r="Y22" s="365">
        <f t="shared" si="2"/>
        <v>0</v>
      </c>
      <c r="Z22" s="365">
        <f t="shared" si="2"/>
        <v>0</v>
      </c>
      <c r="AA22" s="365">
        <f t="shared" si="2"/>
        <v>0</v>
      </c>
      <c r="AB22" s="365">
        <f t="shared" si="2"/>
        <v>0</v>
      </c>
      <c r="AC22" s="302"/>
      <c r="AD22" s="302"/>
      <c r="AE22" s="302">
        <v>9</v>
      </c>
      <c r="AF22" s="73">
        <v>0</v>
      </c>
      <c r="AG22" s="365">
        <f t="shared" si="3"/>
        <v>0</v>
      </c>
      <c r="AH22" s="365">
        <f t="shared" si="3"/>
        <v>0</v>
      </c>
      <c r="AI22" s="365">
        <f t="shared" si="3"/>
        <v>0</v>
      </c>
      <c r="AJ22" s="365">
        <f t="shared" si="3"/>
        <v>0</v>
      </c>
      <c r="AK22" s="326"/>
      <c r="AL22" s="356"/>
      <c r="AM22" s="362"/>
      <c r="AN22" s="302"/>
      <c r="AO22" s="302">
        <v>9</v>
      </c>
      <c r="AP22" s="76">
        <f>ROUND(H22*tab!G$55,0)</f>
        <v>0</v>
      </c>
      <c r="AQ22" s="76">
        <f>ROUND(I22*tab!I$55,0)</f>
        <v>0</v>
      </c>
      <c r="AR22" s="76">
        <f>ROUND(J22*tab!K$55,0)</f>
        <v>0</v>
      </c>
      <c r="AS22" s="76">
        <f>ROUND(K22*tab!M$55,0)</f>
        <v>0</v>
      </c>
      <c r="AT22" s="76">
        <f>ROUND(L22*tab!O$55,0)</f>
        <v>0</v>
      </c>
      <c r="AU22" s="302"/>
      <c r="AV22" s="302"/>
      <c r="AW22" s="302">
        <v>9</v>
      </c>
      <c r="AX22" s="76">
        <f>+H22*tab!F$56</f>
        <v>0</v>
      </c>
      <c r="AY22" s="76">
        <f>+I22*tab!H$56</f>
        <v>0</v>
      </c>
      <c r="AZ22" s="76">
        <f>+J22*tab!J$56</f>
        <v>0</v>
      </c>
      <c r="BA22" s="76">
        <f>+K22*tab!L$56</f>
        <v>0</v>
      </c>
      <c r="BB22" s="76">
        <f>+L22*tab!N$56</f>
        <v>0</v>
      </c>
      <c r="BC22" s="302"/>
      <c r="BD22" s="302"/>
      <c r="BE22" s="302">
        <v>9</v>
      </c>
      <c r="BF22" s="76">
        <f t="shared" si="4"/>
        <v>0</v>
      </c>
      <c r="BG22" s="76">
        <f t="shared" si="5"/>
        <v>0</v>
      </c>
      <c r="BH22" s="76">
        <f t="shared" si="6"/>
        <v>0</v>
      </c>
      <c r="BI22" s="76">
        <f t="shared" si="7"/>
        <v>0</v>
      </c>
      <c r="BJ22" s="76">
        <f t="shared" si="8"/>
        <v>0</v>
      </c>
      <c r="BK22" s="302"/>
      <c r="BL22" s="354"/>
    </row>
    <row r="23" spans="2:64" s="320" customFormat="1" ht="12.75">
      <c r="B23" s="353"/>
      <c r="C23" s="302"/>
      <c r="D23" s="302">
        <v>10</v>
      </c>
      <c r="E23" s="186"/>
      <c r="F23" s="187"/>
      <c r="G23" s="326"/>
      <c r="H23" s="187">
        <v>0</v>
      </c>
      <c r="I23" s="207">
        <f t="shared" si="0"/>
        <v>0</v>
      </c>
      <c r="J23" s="207">
        <f t="shared" si="0"/>
        <v>0</v>
      </c>
      <c r="K23" s="207">
        <f t="shared" si="0"/>
        <v>0</v>
      </c>
      <c r="L23" s="207">
        <f t="shared" si="0"/>
        <v>0</v>
      </c>
      <c r="M23" s="302"/>
      <c r="N23" s="302"/>
      <c r="O23" s="302">
        <v>10</v>
      </c>
      <c r="P23" s="364">
        <v>0</v>
      </c>
      <c r="Q23" s="365">
        <f t="shared" si="1"/>
        <v>0</v>
      </c>
      <c r="R23" s="365">
        <f t="shared" si="1"/>
        <v>0</v>
      </c>
      <c r="S23" s="365">
        <f t="shared" si="1"/>
        <v>0</v>
      </c>
      <c r="T23" s="365">
        <f t="shared" si="1"/>
        <v>0</v>
      </c>
      <c r="U23" s="302"/>
      <c r="V23" s="302"/>
      <c r="W23" s="302">
        <v>10</v>
      </c>
      <c r="X23" s="73">
        <v>0</v>
      </c>
      <c r="Y23" s="365">
        <f t="shared" si="2"/>
        <v>0</v>
      </c>
      <c r="Z23" s="365">
        <f t="shared" si="2"/>
        <v>0</v>
      </c>
      <c r="AA23" s="365">
        <f t="shared" si="2"/>
        <v>0</v>
      </c>
      <c r="AB23" s="365">
        <f t="shared" si="2"/>
        <v>0</v>
      </c>
      <c r="AC23" s="302"/>
      <c r="AD23" s="302"/>
      <c r="AE23" s="302">
        <v>10</v>
      </c>
      <c r="AF23" s="73">
        <v>0</v>
      </c>
      <c r="AG23" s="365">
        <f t="shared" si="3"/>
        <v>0</v>
      </c>
      <c r="AH23" s="365">
        <f t="shared" si="3"/>
        <v>0</v>
      </c>
      <c r="AI23" s="365">
        <f t="shared" si="3"/>
        <v>0</v>
      </c>
      <c r="AJ23" s="365">
        <f t="shared" si="3"/>
        <v>0</v>
      </c>
      <c r="AK23" s="326"/>
      <c r="AL23" s="356"/>
      <c r="AM23" s="362"/>
      <c r="AN23" s="302"/>
      <c r="AO23" s="302">
        <v>10</v>
      </c>
      <c r="AP23" s="76">
        <f>ROUND(H23*tab!G$55,0)</f>
        <v>0</v>
      </c>
      <c r="AQ23" s="76">
        <f>ROUND(I23*tab!I$55,0)</f>
        <v>0</v>
      </c>
      <c r="AR23" s="76">
        <f>ROUND(J23*tab!K$55,0)</f>
        <v>0</v>
      </c>
      <c r="AS23" s="76">
        <f>ROUND(K23*tab!M$55,0)</f>
        <v>0</v>
      </c>
      <c r="AT23" s="76">
        <f>ROUND(L23*tab!O$55,0)</f>
        <v>0</v>
      </c>
      <c r="AU23" s="302"/>
      <c r="AV23" s="302"/>
      <c r="AW23" s="302">
        <v>10</v>
      </c>
      <c r="AX23" s="76">
        <f>+H23*tab!F$56</f>
        <v>0</v>
      </c>
      <c r="AY23" s="76">
        <f>+I23*tab!H$56</f>
        <v>0</v>
      </c>
      <c r="AZ23" s="76">
        <f>+J23*tab!J$56</f>
        <v>0</v>
      </c>
      <c r="BA23" s="76">
        <f>+K23*tab!L$56</f>
        <v>0</v>
      </c>
      <c r="BB23" s="76">
        <f>+L23*tab!N$56</f>
        <v>0</v>
      </c>
      <c r="BC23" s="302"/>
      <c r="BD23" s="302"/>
      <c r="BE23" s="302">
        <v>10</v>
      </c>
      <c r="BF23" s="76">
        <f t="shared" si="4"/>
        <v>0</v>
      </c>
      <c r="BG23" s="76">
        <f t="shared" si="5"/>
        <v>0</v>
      </c>
      <c r="BH23" s="76">
        <f t="shared" si="6"/>
        <v>0</v>
      </c>
      <c r="BI23" s="76">
        <f t="shared" si="7"/>
        <v>0</v>
      </c>
      <c r="BJ23" s="76">
        <f t="shared" si="8"/>
        <v>0</v>
      </c>
      <c r="BK23" s="302"/>
      <c r="BL23" s="354"/>
    </row>
    <row r="24" spans="2:64" s="320" customFormat="1" ht="12.75">
      <c r="B24" s="353"/>
      <c r="C24" s="302"/>
      <c r="D24" s="302">
        <v>11</v>
      </c>
      <c r="E24" s="186"/>
      <c r="F24" s="187"/>
      <c r="G24" s="326"/>
      <c r="H24" s="187">
        <v>0</v>
      </c>
      <c r="I24" s="207">
        <f t="shared" si="0"/>
        <v>0</v>
      </c>
      <c r="J24" s="207">
        <f t="shared" si="0"/>
        <v>0</v>
      </c>
      <c r="K24" s="207">
        <f t="shared" si="0"/>
        <v>0</v>
      </c>
      <c r="L24" s="207">
        <f t="shared" si="0"/>
        <v>0</v>
      </c>
      <c r="M24" s="302"/>
      <c r="N24" s="302"/>
      <c r="O24" s="302">
        <v>11</v>
      </c>
      <c r="P24" s="364">
        <v>0</v>
      </c>
      <c r="Q24" s="365">
        <f t="shared" si="1"/>
        <v>0</v>
      </c>
      <c r="R24" s="365">
        <f t="shared" si="1"/>
        <v>0</v>
      </c>
      <c r="S24" s="365">
        <f t="shared" si="1"/>
        <v>0</v>
      </c>
      <c r="T24" s="365">
        <f t="shared" si="1"/>
        <v>0</v>
      </c>
      <c r="U24" s="302"/>
      <c r="V24" s="302"/>
      <c r="W24" s="302">
        <v>11</v>
      </c>
      <c r="X24" s="73">
        <v>0</v>
      </c>
      <c r="Y24" s="365">
        <f t="shared" si="2"/>
        <v>0</v>
      </c>
      <c r="Z24" s="365">
        <f t="shared" si="2"/>
        <v>0</v>
      </c>
      <c r="AA24" s="365">
        <f t="shared" si="2"/>
        <v>0</v>
      </c>
      <c r="AB24" s="365">
        <f t="shared" si="2"/>
        <v>0</v>
      </c>
      <c r="AC24" s="302"/>
      <c r="AD24" s="302"/>
      <c r="AE24" s="302">
        <v>11</v>
      </c>
      <c r="AF24" s="73">
        <v>0</v>
      </c>
      <c r="AG24" s="365">
        <f t="shared" si="3"/>
        <v>0</v>
      </c>
      <c r="AH24" s="365">
        <f t="shared" si="3"/>
        <v>0</v>
      </c>
      <c r="AI24" s="365">
        <f t="shared" si="3"/>
        <v>0</v>
      </c>
      <c r="AJ24" s="365">
        <f t="shared" si="3"/>
        <v>0</v>
      </c>
      <c r="AK24" s="326"/>
      <c r="AL24" s="356"/>
      <c r="AM24" s="362"/>
      <c r="AN24" s="302"/>
      <c r="AO24" s="302">
        <v>11</v>
      </c>
      <c r="AP24" s="76">
        <f>ROUND(H24*tab!G$55,0)</f>
        <v>0</v>
      </c>
      <c r="AQ24" s="76">
        <f>ROUND(I24*tab!I$55,0)</f>
        <v>0</v>
      </c>
      <c r="AR24" s="76">
        <f>ROUND(J24*tab!K$55,0)</f>
        <v>0</v>
      </c>
      <c r="AS24" s="76">
        <f>ROUND(K24*tab!M$55,0)</f>
        <v>0</v>
      </c>
      <c r="AT24" s="76">
        <f>ROUND(L24*tab!O$55,0)</f>
        <v>0</v>
      </c>
      <c r="AU24" s="302"/>
      <c r="AV24" s="302"/>
      <c r="AW24" s="302">
        <v>11</v>
      </c>
      <c r="AX24" s="76">
        <f>+H24*tab!F$56</f>
        <v>0</v>
      </c>
      <c r="AY24" s="76">
        <f>+I24*tab!H$56</f>
        <v>0</v>
      </c>
      <c r="AZ24" s="76">
        <f>+J24*tab!J$56</f>
        <v>0</v>
      </c>
      <c r="BA24" s="76">
        <f>+K24*tab!L$56</f>
        <v>0</v>
      </c>
      <c r="BB24" s="76">
        <f>+L24*tab!N$56</f>
        <v>0</v>
      </c>
      <c r="BC24" s="302"/>
      <c r="BD24" s="302"/>
      <c r="BE24" s="302">
        <v>11</v>
      </c>
      <c r="BF24" s="76">
        <f t="shared" si="4"/>
        <v>0</v>
      </c>
      <c r="BG24" s="76">
        <f t="shared" si="5"/>
        <v>0</v>
      </c>
      <c r="BH24" s="76">
        <f t="shared" si="6"/>
        <v>0</v>
      </c>
      <c r="BI24" s="76">
        <f t="shared" si="7"/>
        <v>0</v>
      </c>
      <c r="BJ24" s="76">
        <f t="shared" si="8"/>
        <v>0</v>
      </c>
      <c r="BK24" s="302"/>
      <c r="BL24" s="354"/>
    </row>
    <row r="25" spans="2:64" s="320" customFormat="1" ht="12.75">
      <c r="B25" s="353"/>
      <c r="C25" s="302"/>
      <c r="D25" s="302">
        <v>12</v>
      </c>
      <c r="E25" s="186"/>
      <c r="F25" s="187"/>
      <c r="G25" s="326"/>
      <c r="H25" s="187">
        <v>0</v>
      </c>
      <c r="I25" s="207">
        <f t="shared" si="0"/>
        <v>0</v>
      </c>
      <c r="J25" s="207">
        <f t="shared" si="0"/>
        <v>0</v>
      </c>
      <c r="K25" s="207">
        <f t="shared" si="0"/>
        <v>0</v>
      </c>
      <c r="L25" s="207">
        <f t="shared" si="0"/>
        <v>0</v>
      </c>
      <c r="M25" s="302"/>
      <c r="N25" s="302"/>
      <c r="O25" s="302">
        <v>12</v>
      </c>
      <c r="P25" s="364">
        <v>0</v>
      </c>
      <c r="Q25" s="365">
        <f t="shared" si="1"/>
        <v>0</v>
      </c>
      <c r="R25" s="365">
        <f t="shared" si="1"/>
        <v>0</v>
      </c>
      <c r="S25" s="365">
        <f t="shared" si="1"/>
        <v>0</v>
      </c>
      <c r="T25" s="365">
        <f t="shared" si="1"/>
        <v>0</v>
      </c>
      <c r="U25" s="302"/>
      <c r="V25" s="302"/>
      <c r="W25" s="302">
        <v>12</v>
      </c>
      <c r="X25" s="73">
        <v>0</v>
      </c>
      <c r="Y25" s="365">
        <f t="shared" si="2"/>
        <v>0</v>
      </c>
      <c r="Z25" s="365">
        <f t="shared" si="2"/>
        <v>0</v>
      </c>
      <c r="AA25" s="365">
        <f t="shared" si="2"/>
        <v>0</v>
      </c>
      <c r="AB25" s="365">
        <f t="shared" si="2"/>
        <v>0</v>
      </c>
      <c r="AC25" s="302"/>
      <c r="AD25" s="302"/>
      <c r="AE25" s="302">
        <v>12</v>
      </c>
      <c r="AF25" s="73">
        <v>0</v>
      </c>
      <c r="AG25" s="365">
        <f t="shared" si="3"/>
        <v>0</v>
      </c>
      <c r="AH25" s="365">
        <f t="shared" si="3"/>
        <v>0</v>
      </c>
      <c r="AI25" s="365">
        <f t="shared" si="3"/>
        <v>0</v>
      </c>
      <c r="AJ25" s="365">
        <f t="shared" si="3"/>
        <v>0</v>
      </c>
      <c r="AK25" s="326"/>
      <c r="AL25" s="356"/>
      <c r="AM25" s="362"/>
      <c r="AN25" s="302"/>
      <c r="AO25" s="302">
        <v>12</v>
      </c>
      <c r="AP25" s="76">
        <f>ROUND(H25*tab!G$55,0)</f>
        <v>0</v>
      </c>
      <c r="AQ25" s="76">
        <f>ROUND(I25*tab!I$55,0)</f>
        <v>0</v>
      </c>
      <c r="AR25" s="76">
        <f>ROUND(J25*tab!K$55,0)</f>
        <v>0</v>
      </c>
      <c r="AS25" s="76">
        <f>ROUND(K25*tab!M$55,0)</f>
        <v>0</v>
      </c>
      <c r="AT25" s="76">
        <f>ROUND(L25*tab!O$55,0)</f>
        <v>0</v>
      </c>
      <c r="AU25" s="302"/>
      <c r="AV25" s="302"/>
      <c r="AW25" s="302">
        <v>12</v>
      </c>
      <c r="AX25" s="76">
        <f>+H25*tab!F$56</f>
        <v>0</v>
      </c>
      <c r="AY25" s="76">
        <f>+I25*tab!H$56</f>
        <v>0</v>
      </c>
      <c r="AZ25" s="76">
        <f>+J25*tab!J$56</f>
        <v>0</v>
      </c>
      <c r="BA25" s="76">
        <f>+K25*tab!L$56</f>
        <v>0</v>
      </c>
      <c r="BB25" s="76">
        <f>+L25*tab!N$56</f>
        <v>0</v>
      </c>
      <c r="BC25" s="302"/>
      <c r="BD25" s="302"/>
      <c r="BE25" s="302">
        <v>12</v>
      </c>
      <c r="BF25" s="76">
        <f t="shared" si="4"/>
        <v>0</v>
      </c>
      <c r="BG25" s="76">
        <f t="shared" si="5"/>
        <v>0</v>
      </c>
      <c r="BH25" s="76">
        <f t="shared" si="6"/>
        <v>0</v>
      </c>
      <c r="BI25" s="76">
        <f t="shared" si="7"/>
        <v>0</v>
      </c>
      <c r="BJ25" s="76">
        <f t="shared" si="8"/>
        <v>0</v>
      </c>
      <c r="BK25" s="302"/>
      <c r="BL25" s="354"/>
    </row>
    <row r="26" spans="2:64" s="320" customFormat="1" ht="12.75">
      <c r="B26" s="353"/>
      <c r="C26" s="302"/>
      <c r="D26" s="302">
        <v>13</v>
      </c>
      <c r="E26" s="186"/>
      <c r="F26" s="187"/>
      <c r="G26" s="326"/>
      <c r="H26" s="187">
        <v>0</v>
      </c>
      <c r="I26" s="207">
        <f t="shared" si="0"/>
        <v>0</v>
      </c>
      <c r="J26" s="207">
        <f t="shared" si="0"/>
        <v>0</v>
      </c>
      <c r="K26" s="207">
        <f t="shared" si="0"/>
        <v>0</v>
      </c>
      <c r="L26" s="207">
        <f t="shared" si="0"/>
        <v>0</v>
      </c>
      <c r="M26" s="302"/>
      <c r="N26" s="302"/>
      <c r="O26" s="302">
        <v>13</v>
      </c>
      <c r="P26" s="364">
        <v>0</v>
      </c>
      <c r="Q26" s="365">
        <f t="shared" si="1"/>
        <v>0</v>
      </c>
      <c r="R26" s="365">
        <f t="shared" si="1"/>
        <v>0</v>
      </c>
      <c r="S26" s="365">
        <f t="shared" si="1"/>
        <v>0</v>
      </c>
      <c r="T26" s="365">
        <f t="shared" si="1"/>
        <v>0</v>
      </c>
      <c r="U26" s="302"/>
      <c r="V26" s="302"/>
      <c r="W26" s="302">
        <v>13</v>
      </c>
      <c r="X26" s="73">
        <v>0</v>
      </c>
      <c r="Y26" s="365">
        <f t="shared" si="2"/>
        <v>0</v>
      </c>
      <c r="Z26" s="365">
        <f t="shared" si="2"/>
        <v>0</v>
      </c>
      <c r="AA26" s="365">
        <f t="shared" si="2"/>
        <v>0</v>
      </c>
      <c r="AB26" s="365">
        <f t="shared" si="2"/>
        <v>0</v>
      </c>
      <c r="AC26" s="302"/>
      <c r="AD26" s="302"/>
      <c r="AE26" s="302">
        <v>13</v>
      </c>
      <c r="AF26" s="73">
        <v>0</v>
      </c>
      <c r="AG26" s="365">
        <f t="shared" si="3"/>
        <v>0</v>
      </c>
      <c r="AH26" s="365">
        <f t="shared" si="3"/>
        <v>0</v>
      </c>
      <c r="AI26" s="365">
        <f t="shared" si="3"/>
        <v>0</v>
      </c>
      <c r="AJ26" s="365">
        <f t="shared" si="3"/>
        <v>0</v>
      </c>
      <c r="AK26" s="326"/>
      <c r="AL26" s="356"/>
      <c r="AM26" s="362"/>
      <c r="AN26" s="302"/>
      <c r="AO26" s="302">
        <v>13</v>
      </c>
      <c r="AP26" s="76">
        <f>ROUND(H26*tab!G$55,0)</f>
        <v>0</v>
      </c>
      <c r="AQ26" s="76">
        <f>ROUND(I26*tab!I$55,0)</f>
        <v>0</v>
      </c>
      <c r="AR26" s="76">
        <f>ROUND(J26*tab!K$55,0)</f>
        <v>0</v>
      </c>
      <c r="AS26" s="76">
        <f>ROUND(K26*tab!M$55,0)</f>
        <v>0</v>
      </c>
      <c r="AT26" s="76">
        <f>ROUND(L26*tab!O$55,0)</f>
        <v>0</v>
      </c>
      <c r="AU26" s="302"/>
      <c r="AV26" s="302"/>
      <c r="AW26" s="302">
        <v>13</v>
      </c>
      <c r="AX26" s="76">
        <f>+H26*tab!F$56</f>
        <v>0</v>
      </c>
      <c r="AY26" s="76">
        <f>+I26*tab!H$56</f>
        <v>0</v>
      </c>
      <c r="AZ26" s="76">
        <f>+J26*tab!J$56</f>
        <v>0</v>
      </c>
      <c r="BA26" s="76">
        <f>+K26*tab!L$56</f>
        <v>0</v>
      </c>
      <c r="BB26" s="76">
        <f>+L26*tab!N$56</f>
        <v>0</v>
      </c>
      <c r="BC26" s="302"/>
      <c r="BD26" s="302"/>
      <c r="BE26" s="302">
        <v>13</v>
      </c>
      <c r="BF26" s="76">
        <f t="shared" si="4"/>
        <v>0</v>
      </c>
      <c r="BG26" s="76">
        <f t="shared" si="5"/>
        <v>0</v>
      </c>
      <c r="BH26" s="76">
        <f t="shared" si="6"/>
        <v>0</v>
      </c>
      <c r="BI26" s="76">
        <f t="shared" si="7"/>
        <v>0</v>
      </c>
      <c r="BJ26" s="76">
        <f t="shared" si="8"/>
        <v>0</v>
      </c>
      <c r="BK26" s="302"/>
      <c r="BL26" s="354"/>
    </row>
    <row r="27" spans="2:64" s="320" customFormat="1" ht="12.75">
      <c r="B27" s="353"/>
      <c r="C27" s="302"/>
      <c r="D27" s="302">
        <v>14</v>
      </c>
      <c r="E27" s="186"/>
      <c r="F27" s="187"/>
      <c r="G27" s="326"/>
      <c r="H27" s="187">
        <v>0</v>
      </c>
      <c r="I27" s="207">
        <f t="shared" si="0"/>
        <v>0</v>
      </c>
      <c r="J27" s="207">
        <f t="shared" si="0"/>
        <v>0</v>
      </c>
      <c r="K27" s="207">
        <f t="shared" si="0"/>
        <v>0</v>
      </c>
      <c r="L27" s="207">
        <f t="shared" si="0"/>
        <v>0</v>
      </c>
      <c r="M27" s="302"/>
      <c r="N27" s="302"/>
      <c r="O27" s="302">
        <v>14</v>
      </c>
      <c r="P27" s="364">
        <v>0</v>
      </c>
      <c r="Q27" s="365">
        <f t="shared" si="1"/>
        <v>0</v>
      </c>
      <c r="R27" s="365">
        <f t="shared" si="1"/>
        <v>0</v>
      </c>
      <c r="S27" s="365">
        <f t="shared" si="1"/>
        <v>0</v>
      </c>
      <c r="T27" s="365">
        <f t="shared" si="1"/>
        <v>0</v>
      </c>
      <c r="U27" s="302"/>
      <c r="V27" s="302"/>
      <c r="W27" s="302">
        <v>14</v>
      </c>
      <c r="X27" s="73">
        <v>0</v>
      </c>
      <c r="Y27" s="365">
        <f t="shared" si="2"/>
        <v>0</v>
      </c>
      <c r="Z27" s="365">
        <f t="shared" si="2"/>
        <v>0</v>
      </c>
      <c r="AA27" s="365">
        <f t="shared" si="2"/>
        <v>0</v>
      </c>
      <c r="AB27" s="365">
        <f t="shared" si="2"/>
        <v>0</v>
      </c>
      <c r="AC27" s="302"/>
      <c r="AD27" s="302"/>
      <c r="AE27" s="302">
        <v>14</v>
      </c>
      <c r="AF27" s="73">
        <v>0</v>
      </c>
      <c r="AG27" s="365">
        <f t="shared" si="3"/>
        <v>0</v>
      </c>
      <c r="AH27" s="365">
        <f t="shared" si="3"/>
        <v>0</v>
      </c>
      <c r="AI27" s="365">
        <f t="shared" si="3"/>
        <v>0</v>
      </c>
      <c r="AJ27" s="365">
        <f t="shared" si="3"/>
        <v>0</v>
      </c>
      <c r="AK27" s="326"/>
      <c r="AL27" s="356"/>
      <c r="AM27" s="362"/>
      <c r="AN27" s="302"/>
      <c r="AO27" s="302">
        <v>14</v>
      </c>
      <c r="AP27" s="76">
        <f>ROUND(H27*tab!G$55,0)</f>
        <v>0</v>
      </c>
      <c r="AQ27" s="76">
        <f>ROUND(I27*tab!I$55,0)</f>
        <v>0</v>
      </c>
      <c r="AR27" s="76">
        <f>ROUND(J27*tab!K$55,0)</f>
        <v>0</v>
      </c>
      <c r="AS27" s="76">
        <f>ROUND(K27*tab!M$55,0)</f>
        <v>0</v>
      </c>
      <c r="AT27" s="76">
        <f>ROUND(L27*tab!O$55,0)</f>
        <v>0</v>
      </c>
      <c r="AU27" s="302"/>
      <c r="AV27" s="302"/>
      <c r="AW27" s="302">
        <v>14</v>
      </c>
      <c r="AX27" s="76">
        <f>+H27*tab!F$56</f>
        <v>0</v>
      </c>
      <c r="AY27" s="76">
        <f>+I27*tab!H$56</f>
        <v>0</v>
      </c>
      <c r="AZ27" s="76">
        <f>+J27*tab!J$56</f>
        <v>0</v>
      </c>
      <c r="BA27" s="76">
        <f>+K27*tab!L$56</f>
        <v>0</v>
      </c>
      <c r="BB27" s="76">
        <f>+L27*tab!N$56</f>
        <v>0</v>
      </c>
      <c r="BC27" s="302"/>
      <c r="BD27" s="302"/>
      <c r="BE27" s="302">
        <v>14</v>
      </c>
      <c r="BF27" s="76">
        <f t="shared" si="4"/>
        <v>0</v>
      </c>
      <c r="BG27" s="76">
        <f t="shared" si="5"/>
        <v>0</v>
      </c>
      <c r="BH27" s="76">
        <f t="shared" si="6"/>
        <v>0</v>
      </c>
      <c r="BI27" s="76">
        <f t="shared" si="7"/>
        <v>0</v>
      </c>
      <c r="BJ27" s="76">
        <f t="shared" si="8"/>
        <v>0</v>
      </c>
      <c r="BK27" s="302"/>
      <c r="BL27" s="354"/>
    </row>
    <row r="28" spans="2:64" s="320" customFormat="1" ht="12.75">
      <c r="B28" s="353"/>
      <c r="C28" s="302"/>
      <c r="D28" s="302">
        <v>15</v>
      </c>
      <c r="E28" s="186"/>
      <c r="F28" s="187"/>
      <c r="G28" s="326"/>
      <c r="H28" s="187">
        <v>0</v>
      </c>
      <c r="I28" s="207">
        <f t="shared" si="0"/>
        <v>0</v>
      </c>
      <c r="J28" s="207">
        <f t="shared" si="0"/>
        <v>0</v>
      </c>
      <c r="K28" s="207">
        <f t="shared" si="0"/>
        <v>0</v>
      </c>
      <c r="L28" s="207">
        <f t="shared" si="0"/>
        <v>0</v>
      </c>
      <c r="M28" s="302"/>
      <c r="N28" s="302"/>
      <c r="O28" s="302">
        <v>15</v>
      </c>
      <c r="P28" s="364">
        <v>0</v>
      </c>
      <c r="Q28" s="365">
        <f t="shared" si="1"/>
        <v>0</v>
      </c>
      <c r="R28" s="365">
        <f t="shared" si="1"/>
        <v>0</v>
      </c>
      <c r="S28" s="365">
        <f t="shared" si="1"/>
        <v>0</v>
      </c>
      <c r="T28" s="365">
        <f t="shared" si="1"/>
        <v>0</v>
      </c>
      <c r="U28" s="302"/>
      <c r="V28" s="302"/>
      <c r="W28" s="302">
        <v>15</v>
      </c>
      <c r="X28" s="73">
        <v>0</v>
      </c>
      <c r="Y28" s="365">
        <f t="shared" si="2"/>
        <v>0</v>
      </c>
      <c r="Z28" s="365">
        <f t="shared" si="2"/>
        <v>0</v>
      </c>
      <c r="AA28" s="365">
        <f t="shared" si="2"/>
        <v>0</v>
      </c>
      <c r="AB28" s="365">
        <f t="shared" si="2"/>
        <v>0</v>
      </c>
      <c r="AC28" s="302"/>
      <c r="AD28" s="302"/>
      <c r="AE28" s="302">
        <v>15</v>
      </c>
      <c r="AF28" s="73">
        <v>0</v>
      </c>
      <c r="AG28" s="365">
        <f t="shared" si="3"/>
        <v>0</v>
      </c>
      <c r="AH28" s="365">
        <f t="shared" si="3"/>
        <v>0</v>
      </c>
      <c r="AI28" s="365">
        <f t="shared" si="3"/>
        <v>0</v>
      </c>
      <c r="AJ28" s="365">
        <f t="shared" si="3"/>
        <v>0</v>
      </c>
      <c r="AK28" s="326"/>
      <c r="AL28" s="356"/>
      <c r="AM28" s="362"/>
      <c r="AN28" s="302"/>
      <c r="AO28" s="302">
        <v>15</v>
      </c>
      <c r="AP28" s="76">
        <f>ROUND(H28*tab!G$55,0)</f>
        <v>0</v>
      </c>
      <c r="AQ28" s="76">
        <f>ROUND(I28*tab!I$55,0)</f>
        <v>0</v>
      </c>
      <c r="AR28" s="76">
        <f>ROUND(J28*tab!K$55,0)</f>
        <v>0</v>
      </c>
      <c r="AS28" s="76">
        <f>ROUND(K28*tab!M$55,0)</f>
        <v>0</v>
      </c>
      <c r="AT28" s="76">
        <f>ROUND(L28*tab!O$55,0)</f>
        <v>0</v>
      </c>
      <c r="AU28" s="302"/>
      <c r="AV28" s="302"/>
      <c r="AW28" s="302">
        <v>15</v>
      </c>
      <c r="AX28" s="76">
        <f>+H28*tab!F$56</f>
        <v>0</v>
      </c>
      <c r="AY28" s="76">
        <f>+I28*tab!H$56</f>
        <v>0</v>
      </c>
      <c r="AZ28" s="76">
        <f>+J28*tab!J$56</f>
        <v>0</v>
      </c>
      <c r="BA28" s="76">
        <f>+K28*tab!L$56</f>
        <v>0</v>
      </c>
      <c r="BB28" s="76">
        <f>+L28*tab!N$56</f>
        <v>0</v>
      </c>
      <c r="BC28" s="302"/>
      <c r="BD28" s="302"/>
      <c r="BE28" s="302">
        <v>15</v>
      </c>
      <c r="BF28" s="76">
        <f t="shared" si="4"/>
        <v>0</v>
      </c>
      <c r="BG28" s="76">
        <f t="shared" si="5"/>
        <v>0</v>
      </c>
      <c r="BH28" s="76">
        <f t="shared" si="6"/>
        <v>0</v>
      </c>
      <c r="BI28" s="76">
        <f t="shared" si="7"/>
        <v>0</v>
      </c>
      <c r="BJ28" s="76">
        <f t="shared" si="8"/>
        <v>0</v>
      </c>
      <c r="BK28" s="302"/>
      <c r="BL28" s="354"/>
    </row>
    <row r="29" spans="2:64" s="320" customFormat="1" ht="12.75">
      <c r="B29" s="353"/>
      <c r="C29" s="302"/>
      <c r="D29" s="302">
        <v>16</v>
      </c>
      <c r="E29" s="186"/>
      <c r="F29" s="187"/>
      <c r="G29" s="326"/>
      <c r="H29" s="187">
        <v>0</v>
      </c>
      <c r="I29" s="207">
        <f t="shared" si="0"/>
        <v>0</v>
      </c>
      <c r="J29" s="207">
        <f t="shared" si="0"/>
        <v>0</v>
      </c>
      <c r="K29" s="207">
        <f t="shared" si="0"/>
        <v>0</v>
      </c>
      <c r="L29" s="207">
        <f t="shared" si="0"/>
        <v>0</v>
      </c>
      <c r="M29" s="302"/>
      <c r="N29" s="302"/>
      <c r="O29" s="302">
        <v>16</v>
      </c>
      <c r="P29" s="364">
        <v>0</v>
      </c>
      <c r="Q29" s="365">
        <f t="shared" si="1"/>
        <v>0</v>
      </c>
      <c r="R29" s="365">
        <f t="shared" si="1"/>
        <v>0</v>
      </c>
      <c r="S29" s="365">
        <f t="shared" si="1"/>
        <v>0</v>
      </c>
      <c r="T29" s="365">
        <f t="shared" si="1"/>
        <v>0</v>
      </c>
      <c r="U29" s="302"/>
      <c r="V29" s="302"/>
      <c r="W29" s="302">
        <v>16</v>
      </c>
      <c r="X29" s="73">
        <v>0</v>
      </c>
      <c r="Y29" s="365">
        <f t="shared" si="2"/>
        <v>0</v>
      </c>
      <c r="Z29" s="365">
        <f t="shared" si="2"/>
        <v>0</v>
      </c>
      <c r="AA29" s="365">
        <f t="shared" si="2"/>
        <v>0</v>
      </c>
      <c r="AB29" s="365">
        <f t="shared" si="2"/>
        <v>0</v>
      </c>
      <c r="AC29" s="302"/>
      <c r="AD29" s="302"/>
      <c r="AE29" s="302">
        <v>16</v>
      </c>
      <c r="AF29" s="73">
        <v>0</v>
      </c>
      <c r="AG29" s="365">
        <f t="shared" si="3"/>
        <v>0</v>
      </c>
      <c r="AH29" s="365">
        <f t="shared" si="3"/>
        <v>0</v>
      </c>
      <c r="AI29" s="365">
        <f t="shared" si="3"/>
        <v>0</v>
      </c>
      <c r="AJ29" s="365">
        <f t="shared" si="3"/>
        <v>0</v>
      </c>
      <c r="AK29" s="326"/>
      <c r="AL29" s="356"/>
      <c r="AM29" s="362"/>
      <c r="AN29" s="302"/>
      <c r="AO29" s="302">
        <v>16</v>
      </c>
      <c r="AP29" s="76">
        <f>ROUND(H29*tab!G$55,0)</f>
        <v>0</v>
      </c>
      <c r="AQ29" s="76">
        <f>ROUND(I29*tab!I$55,0)</f>
        <v>0</v>
      </c>
      <c r="AR29" s="76">
        <f>ROUND(J29*tab!K$55,0)</f>
        <v>0</v>
      </c>
      <c r="AS29" s="76">
        <f>ROUND(K29*tab!M$55,0)</f>
        <v>0</v>
      </c>
      <c r="AT29" s="76">
        <f>ROUND(L29*tab!O$55,0)</f>
        <v>0</v>
      </c>
      <c r="AU29" s="302"/>
      <c r="AV29" s="302"/>
      <c r="AW29" s="302">
        <v>16</v>
      </c>
      <c r="AX29" s="76">
        <f>+H29*tab!F$56</f>
        <v>0</v>
      </c>
      <c r="AY29" s="76">
        <f>+I29*tab!H$56</f>
        <v>0</v>
      </c>
      <c r="AZ29" s="76">
        <f>+J29*tab!J$56</f>
        <v>0</v>
      </c>
      <c r="BA29" s="76">
        <f>+K29*tab!L$56</f>
        <v>0</v>
      </c>
      <c r="BB29" s="76">
        <f>+L29*tab!N$56</f>
        <v>0</v>
      </c>
      <c r="BC29" s="302"/>
      <c r="BD29" s="302"/>
      <c r="BE29" s="302">
        <v>16</v>
      </c>
      <c r="BF29" s="76">
        <f t="shared" si="4"/>
        <v>0</v>
      </c>
      <c r="BG29" s="76">
        <f t="shared" si="5"/>
        <v>0</v>
      </c>
      <c r="BH29" s="76">
        <f t="shared" si="6"/>
        <v>0</v>
      </c>
      <c r="BI29" s="76">
        <f t="shared" si="7"/>
        <v>0</v>
      </c>
      <c r="BJ29" s="76">
        <f t="shared" si="8"/>
        <v>0</v>
      </c>
      <c r="BK29" s="302"/>
      <c r="BL29" s="354"/>
    </row>
    <row r="30" spans="2:64" s="320" customFormat="1" ht="12.75">
      <c r="B30" s="353"/>
      <c r="C30" s="302"/>
      <c r="D30" s="302">
        <v>17</v>
      </c>
      <c r="E30" s="186"/>
      <c r="F30" s="187"/>
      <c r="G30" s="326"/>
      <c r="H30" s="187">
        <v>0</v>
      </c>
      <c r="I30" s="207">
        <f t="shared" si="0"/>
        <v>0</v>
      </c>
      <c r="J30" s="207">
        <f t="shared" si="0"/>
        <v>0</v>
      </c>
      <c r="K30" s="207">
        <f t="shared" si="0"/>
        <v>0</v>
      </c>
      <c r="L30" s="207">
        <f t="shared" si="0"/>
        <v>0</v>
      </c>
      <c r="M30" s="302"/>
      <c r="N30" s="302"/>
      <c r="O30" s="302">
        <v>17</v>
      </c>
      <c r="P30" s="364">
        <v>0</v>
      </c>
      <c r="Q30" s="365">
        <f t="shared" si="1"/>
        <v>0</v>
      </c>
      <c r="R30" s="365">
        <f t="shared" si="1"/>
        <v>0</v>
      </c>
      <c r="S30" s="365">
        <f t="shared" si="1"/>
        <v>0</v>
      </c>
      <c r="T30" s="365">
        <f t="shared" si="1"/>
        <v>0</v>
      </c>
      <c r="U30" s="302"/>
      <c r="V30" s="302"/>
      <c r="W30" s="302">
        <v>17</v>
      </c>
      <c r="X30" s="73">
        <v>0</v>
      </c>
      <c r="Y30" s="365">
        <f t="shared" si="2"/>
        <v>0</v>
      </c>
      <c r="Z30" s="365">
        <f t="shared" si="2"/>
        <v>0</v>
      </c>
      <c r="AA30" s="365">
        <f t="shared" si="2"/>
        <v>0</v>
      </c>
      <c r="AB30" s="365">
        <f t="shared" si="2"/>
        <v>0</v>
      </c>
      <c r="AC30" s="302"/>
      <c r="AD30" s="302"/>
      <c r="AE30" s="302">
        <v>17</v>
      </c>
      <c r="AF30" s="73">
        <v>0</v>
      </c>
      <c r="AG30" s="365">
        <f t="shared" si="3"/>
        <v>0</v>
      </c>
      <c r="AH30" s="365">
        <f t="shared" si="3"/>
        <v>0</v>
      </c>
      <c r="AI30" s="365">
        <f t="shared" si="3"/>
        <v>0</v>
      </c>
      <c r="AJ30" s="365">
        <f t="shared" si="3"/>
        <v>0</v>
      </c>
      <c r="AK30" s="326"/>
      <c r="AL30" s="356"/>
      <c r="AM30" s="362"/>
      <c r="AN30" s="302"/>
      <c r="AO30" s="302">
        <v>17</v>
      </c>
      <c r="AP30" s="76">
        <f>ROUND(H30*tab!G$55,0)</f>
        <v>0</v>
      </c>
      <c r="AQ30" s="76">
        <f>ROUND(I30*tab!I$55,0)</f>
        <v>0</v>
      </c>
      <c r="AR30" s="76">
        <f>ROUND(J30*tab!K$55,0)</f>
        <v>0</v>
      </c>
      <c r="AS30" s="76">
        <f>ROUND(K30*tab!M$55,0)</f>
        <v>0</v>
      </c>
      <c r="AT30" s="76">
        <f>ROUND(L30*tab!O$55,0)</f>
        <v>0</v>
      </c>
      <c r="AU30" s="302"/>
      <c r="AV30" s="302"/>
      <c r="AW30" s="302">
        <v>17</v>
      </c>
      <c r="AX30" s="76">
        <f>+H30*tab!F$56</f>
        <v>0</v>
      </c>
      <c r="AY30" s="76">
        <f>+I30*tab!H$56</f>
        <v>0</v>
      </c>
      <c r="AZ30" s="76">
        <f>+J30*tab!J$56</f>
        <v>0</v>
      </c>
      <c r="BA30" s="76">
        <f>+K30*tab!L$56</f>
        <v>0</v>
      </c>
      <c r="BB30" s="76">
        <f>+L30*tab!N$56</f>
        <v>0</v>
      </c>
      <c r="BC30" s="302"/>
      <c r="BD30" s="302"/>
      <c r="BE30" s="302">
        <v>17</v>
      </c>
      <c r="BF30" s="76">
        <f t="shared" si="4"/>
        <v>0</v>
      </c>
      <c r="BG30" s="76">
        <f t="shared" si="5"/>
        <v>0</v>
      </c>
      <c r="BH30" s="76">
        <f t="shared" si="6"/>
        <v>0</v>
      </c>
      <c r="BI30" s="76">
        <f t="shared" si="7"/>
        <v>0</v>
      </c>
      <c r="BJ30" s="76">
        <f t="shared" si="8"/>
        <v>0</v>
      </c>
      <c r="BK30" s="302"/>
      <c r="BL30" s="354"/>
    </row>
    <row r="31" spans="2:64" s="320" customFormat="1" ht="12.75">
      <c r="B31" s="353"/>
      <c r="C31" s="302"/>
      <c r="D31" s="302">
        <v>18</v>
      </c>
      <c r="E31" s="186"/>
      <c r="F31" s="187"/>
      <c r="G31" s="326"/>
      <c r="H31" s="187">
        <v>0</v>
      </c>
      <c r="I31" s="207">
        <f t="shared" si="0"/>
        <v>0</v>
      </c>
      <c r="J31" s="207">
        <f t="shared" si="0"/>
        <v>0</v>
      </c>
      <c r="K31" s="207">
        <f t="shared" si="0"/>
        <v>0</v>
      </c>
      <c r="L31" s="207">
        <f t="shared" si="0"/>
        <v>0</v>
      </c>
      <c r="M31" s="302"/>
      <c r="N31" s="302"/>
      <c r="O31" s="302">
        <v>18</v>
      </c>
      <c r="P31" s="364">
        <v>0</v>
      </c>
      <c r="Q31" s="365">
        <f t="shared" si="1"/>
        <v>0</v>
      </c>
      <c r="R31" s="365">
        <f t="shared" si="1"/>
        <v>0</v>
      </c>
      <c r="S31" s="365">
        <f t="shared" si="1"/>
        <v>0</v>
      </c>
      <c r="T31" s="365">
        <f t="shared" si="1"/>
        <v>0</v>
      </c>
      <c r="U31" s="302"/>
      <c r="V31" s="302"/>
      <c r="W31" s="302">
        <v>18</v>
      </c>
      <c r="X31" s="73">
        <v>0</v>
      </c>
      <c r="Y31" s="365">
        <f t="shared" si="2"/>
        <v>0</v>
      </c>
      <c r="Z31" s="365">
        <f t="shared" si="2"/>
        <v>0</v>
      </c>
      <c r="AA31" s="365">
        <f t="shared" si="2"/>
        <v>0</v>
      </c>
      <c r="AB31" s="365">
        <f t="shared" si="2"/>
        <v>0</v>
      </c>
      <c r="AC31" s="302"/>
      <c r="AD31" s="302"/>
      <c r="AE31" s="302">
        <v>18</v>
      </c>
      <c r="AF31" s="73">
        <v>0</v>
      </c>
      <c r="AG31" s="365">
        <f t="shared" si="3"/>
        <v>0</v>
      </c>
      <c r="AH31" s="365">
        <f t="shared" si="3"/>
        <v>0</v>
      </c>
      <c r="AI31" s="365">
        <f t="shared" si="3"/>
        <v>0</v>
      </c>
      <c r="AJ31" s="365">
        <f t="shared" si="3"/>
        <v>0</v>
      </c>
      <c r="AK31" s="326"/>
      <c r="AL31" s="356"/>
      <c r="AM31" s="362"/>
      <c r="AN31" s="302"/>
      <c r="AO31" s="302">
        <v>18</v>
      </c>
      <c r="AP31" s="76">
        <f>ROUND(H31*tab!G$55,0)</f>
        <v>0</v>
      </c>
      <c r="AQ31" s="76">
        <f>ROUND(I31*tab!I$55,0)</f>
        <v>0</v>
      </c>
      <c r="AR31" s="76">
        <f>ROUND(J31*tab!K$55,0)</f>
        <v>0</v>
      </c>
      <c r="AS31" s="76">
        <f>ROUND(K31*tab!M$55,0)</f>
        <v>0</v>
      </c>
      <c r="AT31" s="76">
        <f>ROUND(L31*tab!O$55,0)</f>
        <v>0</v>
      </c>
      <c r="AU31" s="302"/>
      <c r="AV31" s="302"/>
      <c r="AW31" s="302">
        <v>18</v>
      </c>
      <c r="AX31" s="76">
        <f>+H31*tab!F$56</f>
        <v>0</v>
      </c>
      <c r="AY31" s="76">
        <f>+I31*tab!H$56</f>
        <v>0</v>
      </c>
      <c r="AZ31" s="76">
        <f>+J31*tab!J$56</f>
        <v>0</v>
      </c>
      <c r="BA31" s="76">
        <f>+K31*tab!L$56</f>
        <v>0</v>
      </c>
      <c r="BB31" s="76">
        <f>+L31*tab!N$56</f>
        <v>0</v>
      </c>
      <c r="BC31" s="302"/>
      <c r="BD31" s="302"/>
      <c r="BE31" s="302">
        <v>18</v>
      </c>
      <c r="BF31" s="76">
        <f t="shared" si="4"/>
        <v>0</v>
      </c>
      <c r="BG31" s="76">
        <f t="shared" si="5"/>
        <v>0</v>
      </c>
      <c r="BH31" s="76">
        <f t="shared" si="6"/>
        <v>0</v>
      </c>
      <c r="BI31" s="76">
        <f t="shared" si="7"/>
        <v>0</v>
      </c>
      <c r="BJ31" s="76">
        <f t="shared" si="8"/>
        <v>0</v>
      </c>
      <c r="BK31" s="302"/>
      <c r="BL31" s="354"/>
    </row>
    <row r="32" spans="2:64" s="320" customFormat="1" ht="12.75">
      <c r="B32" s="353"/>
      <c r="C32" s="302"/>
      <c r="D32" s="302">
        <v>19</v>
      </c>
      <c r="E32" s="186"/>
      <c r="F32" s="187"/>
      <c r="G32" s="326"/>
      <c r="H32" s="187">
        <v>0</v>
      </c>
      <c r="I32" s="207">
        <f t="shared" si="0"/>
        <v>0</v>
      </c>
      <c r="J32" s="207">
        <f t="shared" si="0"/>
        <v>0</v>
      </c>
      <c r="K32" s="207">
        <f t="shared" si="0"/>
        <v>0</v>
      </c>
      <c r="L32" s="207">
        <f t="shared" si="0"/>
        <v>0</v>
      </c>
      <c r="M32" s="302"/>
      <c r="N32" s="302"/>
      <c r="O32" s="302">
        <v>19</v>
      </c>
      <c r="P32" s="364">
        <v>0</v>
      </c>
      <c r="Q32" s="365">
        <f t="shared" si="1"/>
        <v>0</v>
      </c>
      <c r="R32" s="365">
        <f t="shared" si="1"/>
        <v>0</v>
      </c>
      <c r="S32" s="365">
        <f t="shared" si="1"/>
        <v>0</v>
      </c>
      <c r="T32" s="365">
        <f t="shared" si="1"/>
        <v>0</v>
      </c>
      <c r="U32" s="302"/>
      <c r="V32" s="302"/>
      <c r="W32" s="302">
        <v>19</v>
      </c>
      <c r="X32" s="73">
        <v>0</v>
      </c>
      <c r="Y32" s="365">
        <f t="shared" si="2"/>
        <v>0</v>
      </c>
      <c r="Z32" s="365">
        <f t="shared" si="2"/>
        <v>0</v>
      </c>
      <c r="AA32" s="365">
        <f t="shared" si="2"/>
        <v>0</v>
      </c>
      <c r="AB32" s="365">
        <f t="shared" si="2"/>
        <v>0</v>
      </c>
      <c r="AC32" s="302"/>
      <c r="AD32" s="302"/>
      <c r="AE32" s="302">
        <v>19</v>
      </c>
      <c r="AF32" s="73">
        <v>0</v>
      </c>
      <c r="AG32" s="365">
        <f t="shared" si="3"/>
        <v>0</v>
      </c>
      <c r="AH32" s="365">
        <f t="shared" si="3"/>
        <v>0</v>
      </c>
      <c r="AI32" s="365">
        <f t="shared" si="3"/>
        <v>0</v>
      </c>
      <c r="AJ32" s="365">
        <f t="shared" si="3"/>
        <v>0</v>
      </c>
      <c r="AK32" s="326"/>
      <c r="AL32" s="356"/>
      <c r="AM32" s="362"/>
      <c r="AN32" s="302"/>
      <c r="AO32" s="302">
        <v>19</v>
      </c>
      <c r="AP32" s="76">
        <f>ROUND(H32*tab!G$55,0)</f>
        <v>0</v>
      </c>
      <c r="AQ32" s="76">
        <f>ROUND(I32*tab!I$55,0)</f>
        <v>0</v>
      </c>
      <c r="AR32" s="76">
        <f>ROUND(J32*tab!K$55,0)</f>
        <v>0</v>
      </c>
      <c r="AS32" s="76">
        <f>ROUND(K32*tab!M$55,0)</f>
        <v>0</v>
      </c>
      <c r="AT32" s="76">
        <f>ROUND(L32*tab!O$55,0)</f>
        <v>0</v>
      </c>
      <c r="AU32" s="302"/>
      <c r="AV32" s="302"/>
      <c r="AW32" s="302">
        <v>19</v>
      </c>
      <c r="AX32" s="76">
        <f>+H32*tab!F$56</f>
        <v>0</v>
      </c>
      <c r="AY32" s="76">
        <f>+I32*tab!H$56</f>
        <v>0</v>
      </c>
      <c r="AZ32" s="76">
        <f>+J32*tab!J$56</f>
        <v>0</v>
      </c>
      <c r="BA32" s="76">
        <f>+K32*tab!L$56</f>
        <v>0</v>
      </c>
      <c r="BB32" s="76">
        <f>+L32*tab!N$56</f>
        <v>0</v>
      </c>
      <c r="BC32" s="302"/>
      <c r="BD32" s="302"/>
      <c r="BE32" s="302">
        <v>19</v>
      </c>
      <c r="BF32" s="76">
        <f t="shared" si="4"/>
        <v>0</v>
      </c>
      <c r="BG32" s="76">
        <f t="shared" si="5"/>
        <v>0</v>
      </c>
      <c r="BH32" s="76">
        <f t="shared" si="6"/>
        <v>0</v>
      </c>
      <c r="BI32" s="76">
        <f t="shared" si="7"/>
        <v>0</v>
      </c>
      <c r="BJ32" s="76">
        <f t="shared" si="8"/>
        <v>0</v>
      </c>
      <c r="BK32" s="302"/>
      <c r="BL32" s="354"/>
    </row>
    <row r="33" spans="2:64" s="320" customFormat="1" ht="12.75">
      <c r="B33" s="353"/>
      <c r="C33" s="302"/>
      <c r="D33" s="302">
        <v>20</v>
      </c>
      <c r="E33" s="186"/>
      <c r="F33" s="187"/>
      <c r="G33" s="326"/>
      <c r="H33" s="187">
        <v>0</v>
      </c>
      <c r="I33" s="207">
        <f t="shared" si="0"/>
        <v>0</v>
      </c>
      <c r="J33" s="207">
        <f t="shared" si="0"/>
        <v>0</v>
      </c>
      <c r="K33" s="207">
        <f t="shared" si="0"/>
        <v>0</v>
      </c>
      <c r="L33" s="207">
        <f t="shared" si="0"/>
        <v>0</v>
      </c>
      <c r="M33" s="302"/>
      <c r="N33" s="302"/>
      <c r="O33" s="302">
        <v>20</v>
      </c>
      <c r="P33" s="364">
        <v>0</v>
      </c>
      <c r="Q33" s="365">
        <f t="shared" si="1"/>
        <v>0</v>
      </c>
      <c r="R33" s="365">
        <f t="shared" si="1"/>
        <v>0</v>
      </c>
      <c r="S33" s="365">
        <f t="shared" si="1"/>
        <v>0</v>
      </c>
      <c r="T33" s="365">
        <f t="shared" si="1"/>
        <v>0</v>
      </c>
      <c r="U33" s="302"/>
      <c r="V33" s="302"/>
      <c r="W33" s="302">
        <v>20</v>
      </c>
      <c r="X33" s="73">
        <v>0</v>
      </c>
      <c r="Y33" s="365">
        <f t="shared" si="2"/>
        <v>0</v>
      </c>
      <c r="Z33" s="365">
        <f t="shared" si="2"/>
        <v>0</v>
      </c>
      <c r="AA33" s="365">
        <f t="shared" si="2"/>
        <v>0</v>
      </c>
      <c r="AB33" s="365">
        <f t="shared" si="2"/>
        <v>0</v>
      </c>
      <c r="AC33" s="302"/>
      <c r="AD33" s="302"/>
      <c r="AE33" s="302">
        <v>20</v>
      </c>
      <c r="AF33" s="73">
        <v>0</v>
      </c>
      <c r="AG33" s="365">
        <f t="shared" si="3"/>
        <v>0</v>
      </c>
      <c r="AH33" s="365">
        <f t="shared" si="3"/>
        <v>0</v>
      </c>
      <c r="AI33" s="365">
        <f t="shared" si="3"/>
        <v>0</v>
      </c>
      <c r="AJ33" s="365">
        <f t="shared" si="3"/>
        <v>0</v>
      </c>
      <c r="AK33" s="326"/>
      <c r="AL33" s="356"/>
      <c r="AM33" s="362"/>
      <c r="AN33" s="302"/>
      <c r="AO33" s="302">
        <v>20</v>
      </c>
      <c r="AP33" s="76">
        <f>ROUND(H33*tab!G$55,0)</f>
        <v>0</v>
      </c>
      <c r="AQ33" s="76">
        <f>ROUND(I33*tab!I$55,0)</f>
        <v>0</v>
      </c>
      <c r="AR33" s="76">
        <f>ROUND(J33*tab!K$55,0)</f>
        <v>0</v>
      </c>
      <c r="AS33" s="76">
        <f>ROUND(K33*tab!M$55,0)</f>
        <v>0</v>
      </c>
      <c r="AT33" s="76">
        <f>ROUND(L33*tab!O$55,0)</f>
        <v>0</v>
      </c>
      <c r="AU33" s="302"/>
      <c r="AV33" s="302"/>
      <c r="AW33" s="302">
        <v>20</v>
      </c>
      <c r="AX33" s="76">
        <f>+H33*tab!F$56</f>
        <v>0</v>
      </c>
      <c r="AY33" s="76">
        <f>+I33*tab!H$56</f>
        <v>0</v>
      </c>
      <c r="AZ33" s="76">
        <f>+J33*tab!J$56</f>
        <v>0</v>
      </c>
      <c r="BA33" s="76">
        <f>+K33*tab!L$56</f>
        <v>0</v>
      </c>
      <c r="BB33" s="76">
        <f>+L33*tab!N$56</f>
        <v>0</v>
      </c>
      <c r="BC33" s="302"/>
      <c r="BD33" s="302"/>
      <c r="BE33" s="302">
        <v>20</v>
      </c>
      <c r="BF33" s="76">
        <f t="shared" si="4"/>
        <v>0</v>
      </c>
      <c r="BG33" s="76">
        <f t="shared" si="5"/>
        <v>0</v>
      </c>
      <c r="BH33" s="76">
        <f t="shared" si="6"/>
        <v>0</v>
      </c>
      <c r="BI33" s="76">
        <f t="shared" si="7"/>
        <v>0</v>
      </c>
      <c r="BJ33" s="76">
        <f t="shared" si="8"/>
        <v>0</v>
      </c>
      <c r="BK33" s="302"/>
      <c r="BL33" s="354"/>
    </row>
    <row r="34" spans="2:64" s="320" customFormat="1" ht="12.75">
      <c r="B34" s="353"/>
      <c r="C34" s="302"/>
      <c r="D34" s="302">
        <v>21</v>
      </c>
      <c r="E34" s="186"/>
      <c r="F34" s="187"/>
      <c r="G34" s="326"/>
      <c r="H34" s="187">
        <v>0</v>
      </c>
      <c r="I34" s="207">
        <f aca="true" t="shared" si="9" ref="I34:L53">H34</f>
        <v>0</v>
      </c>
      <c r="J34" s="207">
        <f t="shared" si="9"/>
        <v>0</v>
      </c>
      <c r="K34" s="207">
        <f t="shared" si="9"/>
        <v>0</v>
      </c>
      <c r="L34" s="207">
        <f t="shared" si="9"/>
        <v>0</v>
      </c>
      <c r="M34" s="302"/>
      <c r="N34" s="302"/>
      <c r="O34" s="302">
        <v>21</v>
      </c>
      <c r="P34" s="364">
        <v>0</v>
      </c>
      <c r="Q34" s="365">
        <f aca="true" t="shared" si="10" ref="Q34:T53">P34</f>
        <v>0</v>
      </c>
      <c r="R34" s="365">
        <f t="shared" si="10"/>
        <v>0</v>
      </c>
      <c r="S34" s="365">
        <f t="shared" si="10"/>
        <v>0</v>
      </c>
      <c r="T34" s="365">
        <f t="shared" si="10"/>
        <v>0</v>
      </c>
      <c r="U34" s="302"/>
      <c r="V34" s="302"/>
      <c r="W34" s="302">
        <v>21</v>
      </c>
      <c r="X34" s="73">
        <v>0</v>
      </c>
      <c r="Y34" s="365">
        <f aca="true" t="shared" si="11" ref="Y34:AB53">X34</f>
        <v>0</v>
      </c>
      <c r="Z34" s="365">
        <f t="shared" si="11"/>
        <v>0</v>
      </c>
      <c r="AA34" s="365">
        <f t="shared" si="11"/>
        <v>0</v>
      </c>
      <c r="AB34" s="365">
        <f t="shared" si="11"/>
        <v>0</v>
      </c>
      <c r="AC34" s="302"/>
      <c r="AD34" s="302"/>
      <c r="AE34" s="302">
        <v>21</v>
      </c>
      <c r="AF34" s="73">
        <v>0</v>
      </c>
      <c r="AG34" s="365">
        <f aca="true" t="shared" si="12" ref="AG34:AJ53">AF34</f>
        <v>0</v>
      </c>
      <c r="AH34" s="365">
        <f t="shared" si="12"/>
        <v>0</v>
      </c>
      <c r="AI34" s="365">
        <f t="shared" si="12"/>
        <v>0</v>
      </c>
      <c r="AJ34" s="365">
        <f t="shared" si="12"/>
        <v>0</v>
      </c>
      <c r="AK34" s="326"/>
      <c r="AL34" s="356"/>
      <c r="AM34" s="362"/>
      <c r="AN34" s="302"/>
      <c r="AO34" s="302">
        <v>21</v>
      </c>
      <c r="AP34" s="76">
        <f>ROUND(H34*tab!G$55,0)</f>
        <v>0</v>
      </c>
      <c r="AQ34" s="76">
        <f>ROUND(I34*tab!I$55,0)</f>
        <v>0</v>
      </c>
      <c r="AR34" s="76">
        <f>ROUND(J34*tab!K$55,0)</f>
        <v>0</v>
      </c>
      <c r="AS34" s="76">
        <f>ROUND(K34*tab!M$55,0)</f>
        <v>0</v>
      </c>
      <c r="AT34" s="76">
        <f>ROUND(L34*tab!O$55,0)</f>
        <v>0</v>
      </c>
      <c r="AU34" s="302"/>
      <c r="AV34" s="302"/>
      <c r="AW34" s="302">
        <v>21</v>
      </c>
      <c r="AX34" s="76">
        <f>+H34*tab!F$56</f>
        <v>0</v>
      </c>
      <c r="AY34" s="76">
        <f>+I34*tab!H$56</f>
        <v>0</v>
      </c>
      <c r="AZ34" s="76">
        <f>+J34*tab!J$56</f>
        <v>0</v>
      </c>
      <c r="BA34" s="76">
        <f>+K34*tab!L$56</f>
        <v>0</v>
      </c>
      <c r="BB34" s="76">
        <f>+L34*tab!N$56</f>
        <v>0</v>
      </c>
      <c r="BC34" s="302"/>
      <c r="BD34" s="302"/>
      <c r="BE34" s="302">
        <v>21</v>
      </c>
      <c r="BF34" s="76">
        <f t="shared" si="4"/>
        <v>0</v>
      </c>
      <c r="BG34" s="76">
        <f t="shared" si="5"/>
        <v>0</v>
      </c>
      <c r="BH34" s="76">
        <f t="shared" si="6"/>
        <v>0</v>
      </c>
      <c r="BI34" s="76">
        <f t="shared" si="7"/>
        <v>0</v>
      </c>
      <c r="BJ34" s="76">
        <f t="shared" si="8"/>
        <v>0</v>
      </c>
      <c r="BK34" s="302"/>
      <c r="BL34" s="354"/>
    </row>
    <row r="35" spans="2:64" s="320" customFormat="1" ht="12.75">
      <c r="B35" s="353"/>
      <c r="C35" s="302"/>
      <c r="D35" s="302">
        <v>22</v>
      </c>
      <c r="E35" s="186"/>
      <c r="F35" s="187"/>
      <c r="G35" s="326"/>
      <c r="H35" s="187">
        <v>0</v>
      </c>
      <c r="I35" s="207">
        <f t="shared" si="9"/>
        <v>0</v>
      </c>
      <c r="J35" s="207">
        <f t="shared" si="9"/>
        <v>0</v>
      </c>
      <c r="K35" s="207">
        <f t="shared" si="9"/>
        <v>0</v>
      </c>
      <c r="L35" s="207">
        <f t="shared" si="9"/>
        <v>0</v>
      </c>
      <c r="M35" s="302"/>
      <c r="N35" s="302"/>
      <c r="O35" s="302">
        <v>22</v>
      </c>
      <c r="P35" s="364">
        <v>0</v>
      </c>
      <c r="Q35" s="365">
        <f t="shared" si="10"/>
        <v>0</v>
      </c>
      <c r="R35" s="365">
        <f t="shared" si="10"/>
        <v>0</v>
      </c>
      <c r="S35" s="365">
        <f t="shared" si="10"/>
        <v>0</v>
      </c>
      <c r="T35" s="365">
        <f t="shared" si="10"/>
        <v>0</v>
      </c>
      <c r="U35" s="302"/>
      <c r="V35" s="302"/>
      <c r="W35" s="302">
        <v>22</v>
      </c>
      <c r="X35" s="73">
        <v>0</v>
      </c>
      <c r="Y35" s="365">
        <f t="shared" si="11"/>
        <v>0</v>
      </c>
      <c r="Z35" s="365">
        <f t="shared" si="11"/>
        <v>0</v>
      </c>
      <c r="AA35" s="365">
        <f t="shared" si="11"/>
        <v>0</v>
      </c>
      <c r="AB35" s="365">
        <f t="shared" si="11"/>
        <v>0</v>
      </c>
      <c r="AC35" s="302"/>
      <c r="AD35" s="302"/>
      <c r="AE35" s="302">
        <v>22</v>
      </c>
      <c r="AF35" s="73">
        <v>0</v>
      </c>
      <c r="AG35" s="365">
        <f t="shared" si="12"/>
        <v>0</v>
      </c>
      <c r="AH35" s="365">
        <f t="shared" si="12"/>
        <v>0</v>
      </c>
      <c r="AI35" s="365">
        <f t="shared" si="12"/>
        <v>0</v>
      </c>
      <c r="AJ35" s="365">
        <f t="shared" si="12"/>
        <v>0</v>
      </c>
      <c r="AK35" s="326"/>
      <c r="AL35" s="356"/>
      <c r="AM35" s="362"/>
      <c r="AN35" s="302"/>
      <c r="AO35" s="302">
        <v>22</v>
      </c>
      <c r="AP35" s="76">
        <f>ROUND(H35*tab!G$55,0)</f>
        <v>0</v>
      </c>
      <c r="AQ35" s="76">
        <f>ROUND(I35*tab!I$55,0)</f>
        <v>0</v>
      </c>
      <c r="AR35" s="76">
        <f>ROUND(J35*tab!K$55,0)</f>
        <v>0</v>
      </c>
      <c r="AS35" s="76">
        <f>ROUND(K35*tab!M$55,0)</f>
        <v>0</v>
      </c>
      <c r="AT35" s="76">
        <f>ROUND(L35*tab!O$55,0)</f>
        <v>0</v>
      </c>
      <c r="AU35" s="302"/>
      <c r="AV35" s="302"/>
      <c r="AW35" s="302">
        <v>22</v>
      </c>
      <c r="AX35" s="76">
        <f>+H35*tab!F$56</f>
        <v>0</v>
      </c>
      <c r="AY35" s="76">
        <f>+I35*tab!H$56</f>
        <v>0</v>
      </c>
      <c r="AZ35" s="76">
        <f>+J35*tab!J$56</f>
        <v>0</v>
      </c>
      <c r="BA35" s="76">
        <f>+K35*tab!L$56</f>
        <v>0</v>
      </c>
      <c r="BB35" s="76">
        <f>+L35*tab!N$56</f>
        <v>0</v>
      </c>
      <c r="BC35" s="302"/>
      <c r="BD35" s="302"/>
      <c r="BE35" s="302">
        <v>22</v>
      </c>
      <c r="BF35" s="76">
        <f t="shared" si="4"/>
        <v>0</v>
      </c>
      <c r="BG35" s="76">
        <f t="shared" si="5"/>
        <v>0</v>
      </c>
      <c r="BH35" s="76">
        <f t="shared" si="6"/>
        <v>0</v>
      </c>
      <c r="BI35" s="76">
        <f t="shared" si="7"/>
        <v>0</v>
      </c>
      <c r="BJ35" s="76">
        <f t="shared" si="8"/>
        <v>0</v>
      </c>
      <c r="BK35" s="302"/>
      <c r="BL35" s="354"/>
    </row>
    <row r="36" spans="2:64" s="320" customFormat="1" ht="12.75">
      <c r="B36" s="353"/>
      <c r="C36" s="302"/>
      <c r="D36" s="302">
        <v>23</v>
      </c>
      <c r="E36" s="186"/>
      <c r="F36" s="187"/>
      <c r="G36" s="326"/>
      <c r="H36" s="187">
        <v>0</v>
      </c>
      <c r="I36" s="207">
        <f t="shared" si="9"/>
        <v>0</v>
      </c>
      <c r="J36" s="207">
        <f t="shared" si="9"/>
        <v>0</v>
      </c>
      <c r="K36" s="207">
        <f t="shared" si="9"/>
        <v>0</v>
      </c>
      <c r="L36" s="207">
        <f t="shared" si="9"/>
        <v>0</v>
      </c>
      <c r="M36" s="302"/>
      <c r="N36" s="302"/>
      <c r="O36" s="302">
        <v>23</v>
      </c>
      <c r="P36" s="364">
        <v>0</v>
      </c>
      <c r="Q36" s="365">
        <f t="shared" si="10"/>
        <v>0</v>
      </c>
      <c r="R36" s="365">
        <f t="shared" si="10"/>
        <v>0</v>
      </c>
      <c r="S36" s="365">
        <f t="shared" si="10"/>
        <v>0</v>
      </c>
      <c r="T36" s="365">
        <f t="shared" si="10"/>
        <v>0</v>
      </c>
      <c r="U36" s="302"/>
      <c r="V36" s="302"/>
      <c r="W36" s="302">
        <v>23</v>
      </c>
      <c r="X36" s="73">
        <v>0</v>
      </c>
      <c r="Y36" s="365">
        <f t="shared" si="11"/>
        <v>0</v>
      </c>
      <c r="Z36" s="365">
        <f t="shared" si="11"/>
        <v>0</v>
      </c>
      <c r="AA36" s="365">
        <f t="shared" si="11"/>
        <v>0</v>
      </c>
      <c r="AB36" s="365">
        <f t="shared" si="11"/>
        <v>0</v>
      </c>
      <c r="AC36" s="302"/>
      <c r="AD36" s="302"/>
      <c r="AE36" s="302">
        <v>23</v>
      </c>
      <c r="AF36" s="73">
        <v>0</v>
      </c>
      <c r="AG36" s="365">
        <f t="shared" si="12"/>
        <v>0</v>
      </c>
      <c r="AH36" s="365">
        <f t="shared" si="12"/>
        <v>0</v>
      </c>
      <c r="AI36" s="365">
        <f t="shared" si="12"/>
        <v>0</v>
      </c>
      <c r="AJ36" s="365">
        <f t="shared" si="12"/>
        <v>0</v>
      </c>
      <c r="AK36" s="326"/>
      <c r="AL36" s="356"/>
      <c r="AM36" s="362"/>
      <c r="AN36" s="302"/>
      <c r="AO36" s="302">
        <v>23</v>
      </c>
      <c r="AP36" s="76">
        <f>ROUND(H36*tab!G$55,0)</f>
        <v>0</v>
      </c>
      <c r="AQ36" s="76">
        <f>ROUND(I36*tab!I$55,0)</f>
        <v>0</v>
      </c>
      <c r="AR36" s="76">
        <f>ROUND(J36*tab!K$55,0)</f>
        <v>0</v>
      </c>
      <c r="AS36" s="76">
        <f>ROUND(K36*tab!M$55,0)</f>
        <v>0</v>
      </c>
      <c r="AT36" s="76">
        <f>ROUND(L36*tab!O$55,0)</f>
        <v>0</v>
      </c>
      <c r="AU36" s="302"/>
      <c r="AV36" s="302"/>
      <c r="AW36" s="302">
        <v>23</v>
      </c>
      <c r="AX36" s="76">
        <f>+H36*tab!F$56</f>
        <v>0</v>
      </c>
      <c r="AY36" s="76">
        <f>+I36*tab!H$56</f>
        <v>0</v>
      </c>
      <c r="AZ36" s="76">
        <f>+J36*tab!J$56</f>
        <v>0</v>
      </c>
      <c r="BA36" s="76">
        <f>+K36*tab!L$56</f>
        <v>0</v>
      </c>
      <c r="BB36" s="76">
        <f>+L36*tab!N$56</f>
        <v>0</v>
      </c>
      <c r="BC36" s="302"/>
      <c r="BD36" s="302"/>
      <c r="BE36" s="302">
        <v>23</v>
      </c>
      <c r="BF36" s="76">
        <f t="shared" si="4"/>
        <v>0</v>
      </c>
      <c r="BG36" s="76">
        <f t="shared" si="5"/>
        <v>0</v>
      </c>
      <c r="BH36" s="76">
        <f t="shared" si="6"/>
        <v>0</v>
      </c>
      <c r="BI36" s="76">
        <f t="shared" si="7"/>
        <v>0</v>
      </c>
      <c r="BJ36" s="76">
        <f t="shared" si="8"/>
        <v>0</v>
      </c>
      <c r="BK36" s="302"/>
      <c r="BL36" s="354"/>
    </row>
    <row r="37" spans="2:64" s="320" customFormat="1" ht="12.75">
      <c r="B37" s="353"/>
      <c r="C37" s="302"/>
      <c r="D37" s="302">
        <v>24</v>
      </c>
      <c r="E37" s="186"/>
      <c r="F37" s="187"/>
      <c r="G37" s="326"/>
      <c r="H37" s="187">
        <v>0</v>
      </c>
      <c r="I37" s="207">
        <f t="shared" si="9"/>
        <v>0</v>
      </c>
      <c r="J37" s="207">
        <f t="shared" si="9"/>
        <v>0</v>
      </c>
      <c r="K37" s="207">
        <f t="shared" si="9"/>
        <v>0</v>
      </c>
      <c r="L37" s="207">
        <f t="shared" si="9"/>
        <v>0</v>
      </c>
      <c r="M37" s="302"/>
      <c r="N37" s="302"/>
      <c r="O37" s="302">
        <v>24</v>
      </c>
      <c r="P37" s="364">
        <v>0</v>
      </c>
      <c r="Q37" s="365">
        <f t="shared" si="10"/>
        <v>0</v>
      </c>
      <c r="R37" s="365">
        <f t="shared" si="10"/>
        <v>0</v>
      </c>
      <c r="S37" s="365">
        <f t="shared" si="10"/>
        <v>0</v>
      </c>
      <c r="T37" s="365">
        <f t="shared" si="10"/>
        <v>0</v>
      </c>
      <c r="U37" s="302"/>
      <c r="V37" s="302"/>
      <c r="W37" s="302">
        <v>24</v>
      </c>
      <c r="X37" s="73">
        <v>0</v>
      </c>
      <c r="Y37" s="365">
        <f t="shared" si="11"/>
        <v>0</v>
      </c>
      <c r="Z37" s="365">
        <f t="shared" si="11"/>
        <v>0</v>
      </c>
      <c r="AA37" s="365">
        <f t="shared" si="11"/>
        <v>0</v>
      </c>
      <c r="AB37" s="365">
        <f t="shared" si="11"/>
        <v>0</v>
      </c>
      <c r="AC37" s="302"/>
      <c r="AD37" s="302"/>
      <c r="AE37" s="302">
        <v>24</v>
      </c>
      <c r="AF37" s="73">
        <v>0</v>
      </c>
      <c r="AG37" s="365">
        <f t="shared" si="12"/>
        <v>0</v>
      </c>
      <c r="AH37" s="365">
        <f t="shared" si="12"/>
        <v>0</v>
      </c>
      <c r="AI37" s="365">
        <f t="shared" si="12"/>
        <v>0</v>
      </c>
      <c r="AJ37" s="365">
        <f t="shared" si="12"/>
        <v>0</v>
      </c>
      <c r="AK37" s="326"/>
      <c r="AL37" s="356"/>
      <c r="AM37" s="362"/>
      <c r="AN37" s="302"/>
      <c r="AO37" s="302">
        <v>24</v>
      </c>
      <c r="AP37" s="76">
        <f>ROUND(H37*tab!G$55,0)</f>
        <v>0</v>
      </c>
      <c r="AQ37" s="76">
        <f>ROUND(I37*tab!I$55,0)</f>
        <v>0</v>
      </c>
      <c r="AR37" s="76">
        <f>ROUND(J37*tab!K$55,0)</f>
        <v>0</v>
      </c>
      <c r="AS37" s="76">
        <f>ROUND(K37*tab!M$55,0)</f>
        <v>0</v>
      </c>
      <c r="AT37" s="76">
        <f>ROUND(L37*tab!O$55,0)</f>
        <v>0</v>
      </c>
      <c r="AU37" s="302"/>
      <c r="AV37" s="302"/>
      <c r="AW37" s="302">
        <v>24</v>
      </c>
      <c r="AX37" s="76">
        <f>+H37*tab!F$56</f>
        <v>0</v>
      </c>
      <c r="AY37" s="76">
        <f>+I37*tab!H$56</f>
        <v>0</v>
      </c>
      <c r="AZ37" s="76">
        <f>+J37*tab!J$56</f>
        <v>0</v>
      </c>
      <c r="BA37" s="76">
        <f>+K37*tab!L$56</f>
        <v>0</v>
      </c>
      <c r="BB37" s="76">
        <f>+L37*tab!N$56</f>
        <v>0</v>
      </c>
      <c r="BC37" s="302"/>
      <c r="BD37" s="302"/>
      <c r="BE37" s="302">
        <v>24</v>
      </c>
      <c r="BF37" s="76">
        <f t="shared" si="4"/>
        <v>0</v>
      </c>
      <c r="BG37" s="76">
        <f t="shared" si="5"/>
        <v>0</v>
      </c>
      <c r="BH37" s="76">
        <f t="shared" si="6"/>
        <v>0</v>
      </c>
      <c r="BI37" s="76">
        <f t="shared" si="7"/>
        <v>0</v>
      </c>
      <c r="BJ37" s="76">
        <f t="shared" si="8"/>
        <v>0</v>
      </c>
      <c r="BK37" s="302"/>
      <c r="BL37" s="354"/>
    </row>
    <row r="38" spans="2:64" s="320" customFormat="1" ht="12.75">
      <c r="B38" s="353"/>
      <c r="C38" s="302"/>
      <c r="D38" s="302">
        <v>25</v>
      </c>
      <c r="E38" s="186"/>
      <c r="F38" s="187"/>
      <c r="G38" s="326"/>
      <c r="H38" s="187">
        <v>0</v>
      </c>
      <c r="I38" s="207">
        <f t="shared" si="9"/>
        <v>0</v>
      </c>
      <c r="J38" s="207">
        <f t="shared" si="9"/>
        <v>0</v>
      </c>
      <c r="K38" s="207">
        <f t="shared" si="9"/>
        <v>0</v>
      </c>
      <c r="L38" s="207">
        <f t="shared" si="9"/>
        <v>0</v>
      </c>
      <c r="M38" s="302"/>
      <c r="N38" s="302"/>
      <c r="O38" s="302">
        <v>25</v>
      </c>
      <c r="P38" s="364">
        <v>0</v>
      </c>
      <c r="Q38" s="365">
        <f t="shared" si="10"/>
        <v>0</v>
      </c>
      <c r="R38" s="365">
        <f t="shared" si="10"/>
        <v>0</v>
      </c>
      <c r="S38" s="365">
        <f t="shared" si="10"/>
        <v>0</v>
      </c>
      <c r="T38" s="365">
        <f t="shared" si="10"/>
        <v>0</v>
      </c>
      <c r="U38" s="302"/>
      <c r="V38" s="302"/>
      <c r="W38" s="302">
        <v>25</v>
      </c>
      <c r="X38" s="73">
        <v>0</v>
      </c>
      <c r="Y38" s="365">
        <f t="shared" si="11"/>
        <v>0</v>
      </c>
      <c r="Z38" s="365">
        <f t="shared" si="11"/>
        <v>0</v>
      </c>
      <c r="AA38" s="365">
        <f t="shared" si="11"/>
        <v>0</v>
      </c>
      <c r="AB38" s="365">
        <f t="shared" si="11"/>
        <v>0</v>
      </c>
      <c r="AC38" s="302"/>
      <c r="AD38" s="302"/>
      <c r="AE38" s="302">
        <v>25</v>
      </c>
      <c r="AF38" s="73">
        <v>0</v>
      </c>
      <c r="AG38" s="365">
        <f t="shared" si="12"/>
        <v>0</v>
      </c>
      <c r="AH38" s="365">
        <f t="shared" si="12"/>
        <v>0</v>
      </c>
      <c r="AI38" s="365">
        <f t="shared" si="12"/>
        <v>0</v>
      </c>
      <c r="AJ38" s="365">
        <f t="shared" si="12"/>
        <v>0</v>
      </c>
      <c r="AK38" s="326"/>
      <c r="AL38" s="356"/>
      <c r="AM38" s="362"/>
      <c r="AN38" s="302"/>
      <c r="AO38" s="302">
        <v>25</v>
      </c>
      <c r="AP38" s="76">
        <f>ROUND(H38*tab!G$55,0)</f>
        <v>0</v>
      </c>
      <c r="AQ38" s="76">
        <f>ROUND(I38*tab!I$55,0)</f>
        <v>0</v>
      </c>
      <c r="AR38" s="76">
        <f>ROUND(J38*tab!K$55,0)</f>
        <v>0</v>
      </c>
      <c r="AS38" s="76">
        <f>ROUND(K38*tab!M$55,0)</f>
        <v>0</v>
      </c>
      <c r="AT38" s="76">
        <f>ROUND(L38*tab!O$55,0)</f>
        <v>0</v>
      </c>
      <c r="AU38" s="302"/>
      <c r="AV38" s="302"/>
      <c r="AW38" s="302">
        <v>25</v>
      </c>
      <c r="AX38" s="76">
        <f>+H38*tab!F$56</f>
        <v>0</v>
      </c>
      <c r="AY38" s="76">
        <f>+I38*tab!H$56</f>
        <v>0</v>
      </c>
      <c r="AZ38" s="76">
        <f>+J38*tab!J$56</f>
        <v>0</v>
      </c>
      <c r="BA38" s="76">
        <f>+K38*tab!L$56</f>
        <v>0</v>
      </c>
      <c r="BB38" s="76">
        <f>+L38*tab!N$56</f>
        <v>0</v>
      </c>
      <c r="BC38" s="302"/>
      <c r="BD38" s="302"/>
      <c r="BE38" s="302">
        <v>25</v>
      </c>
      <c r="BF38" s="76">
        <f t="shared" si="4"/>
        <v>0</v>
      </c>
      <c r="BG38" s="76">
        <f t="shared" si="5"/>
        <v>0</v>
      </c>
      <c r="BH38" s="76">
        <f t="shared" si="6"/>
        <v>0</v>
      </c>
      <c r="BI38" s="76">
        <f t="shared" si="7"/>
        <v>0</v>
      </c>
      <c r="BJ38" s="76">
        <f t="shared" si="8"/>
        <v>0</v>
      </c>
      <c r="BK38" s="302"/>
      <c r="BL38" s="354"/>
    </row>
    <row r="39" spans="2:64" s="320" customFormat="1" ht="12.75">
      <c r="B39" s="353"/>
      <c r="C39" s="302"/>
      <c r="D39" s="302">
        <v>26</v>
      </c>
      <c r="E39" s="186"/>
      <c r="F39" s="187"/>
      <c r="G39" s="326"/>
      <c r="H39" s="187">
        <v>0</v>
      </c>
      <c r="I39" s="207">
        <f t="shared" si="9"/>
        <v>0</v>
      </c>
      <c r="J39" s="207">
        <f t="shared" si="9"/>
        <v>0</v>
      </c>
      <c r="K39" s="207">
        <f t="shared" si="9"/>
        <v>0</v>
      </c>
      <c r="L39" s="207">
        <f t="shared" si="9"/>
        <v>0</v>
      </c>
      <c r="M39" s="302"/>
      <c r="N39" s="302"/>
      <c r="O39" s="302">
        <v>26</v>
      </c>
      <c r="P39" s="364">
        <v>0</v>
      </c>
      <c r="Q39" s="365">
        <f t="shared" si="10"/>
        <v>0</v>
      </c>
      <c r="R39" s="365">
        <f t="shared" si="10"/>
        <v>0</v>
      </c>
      <c r="S39" s="365">
        <f t="shared" si="10"/>
        <v>0</v>
      </c>
      <c r="T39" s="365">
        <f t="shared" si="10"/>
        <v>0</v>
      </c>
      <c r="U39" s="302"/>
      <c r="V39" s="302"/>
      <c r="W39" s="302">
        <v>26</v>
      </c>
      <c r="X39" s="73">
        <v>0</v>
      </c>
      <c r="Y39" s="365">
        <f t="shared" si="11"/>
        <v>0</v>
      </c>
      <c r="Z39" s="365">
        <f t="shared" si="11"/>
        <v>0</v>
      </c>
      <c r="AA39" s="365">
        <f t="shared" si="11"/>
        <v>0</v>
      </c>
      <c r="AB39" s="365">
        <f t="shared" si="11"/>
        <v>0</v>
      </c>
      <c r="AC39" s="302"/>
      <c r="AD39" s="302"/>
      <c r="AE39" s="302">
        <v>26</v>
      </c>
      <c r="AF39" s="73">
        <v>0</v>
      </c>
      <c r="AG39" s="365">
        <f t="shared" si="12"/>
        <v>0</v>
      </c>
      <c r="AH39" s="365">
        <f t="shared" si="12"/>
        <v>0</v>
      </c>
      <c r="AI39" s="365">
        <f t="shared" si="12"/>
        <v>0</v>
      </c>
      <c r="AJ39" s="365">
        <f t="shared" si="12"/>
        <v>0</v>
      </c>
      <c r="AK39" s="326"/>
      <c r="AL39" s="356"/>
      <c r="AM39" s="362"/>
      <c r="AN39" s="302"/>
      <c r="AO39" s="302">
        <v>26</v>
      </c>
      <c r="AP39" s="76">
        <f>ROUND(H39*tab!G$55,0)</f>
        <v>0</v>
      </c>
      <c r="AQ39" s="76">
        <f>ROUND(I39*tab!I$55,0)</f>
        <v>0</v>
      </c>
      <c r="AR39" s="76">
        <f>ROUND(J39*tab!K$55,0)</f>
        <v>0</v>
      </c>
      <c r="AS39" s="76">
        <f>ROUND(K39*tab!M$55,0)</f>
        <v>0</v>
      </c>
      <c r="AT39" s="76">
        <f>ROUND(L39*tab!O$55,0)</f>
        <v>0</v>
      </c>
      <c r="AU39" s="302"/>
      <c r="AV39" s="302"/>
      <c r="AW39" s="302">
        <v>26</v>
      </c>
      <c r="AX39" s="76">
        <f>+H39*tab!F$56</f>
        <v>0</v>
      </c>
      <c r="AY39" s="76">
        <f>+I39*tab!H$56</f>
        <v>0</v>
      </c>
      <c r="AZ39" s="76">
        <f>+J39*tab!J$56</f>
        <v>0</v>
      </c>
      <c r="BA39" s="76">
        <f>+K39*tab!L$56</f>
        <v>0</v>
      </c>
      <c r="BB39" s="76">
        <f>+L39*tab!N$56</f>
        <v>0</v>
      </c>
      <c r="BC39" s="302"/>
      <c r="BD39" s="302"/>
      <c r="BE39" s="302">
        <v>26</v>
      </c>
      <c r="BF39" s="76">
        <f t="shared" si="4"/>
        <v>0</v>
      </c>
      <c r="BG39" s="76">
        <f t="shared" si="5"/>
        <v>0</v>
      </c>
      <c r="BH39" s="76">
        <f t="shared" si="6"/>
        <v>0</v>
      </c>
      <c r="BI39" s="76">
        <f t="shared" si="7"/>
        <v>0</v>
      </c>
      <c r="BJ39" s="76">
        <f t="shared" si="8"/>
        <v>0</v>
      </c>
      <c r="BK39" s="302"/>
      <c r="BL39" s="354"/>
    </row>
    <row r="40" spans="2:64" s="320" customFormat="1" ht="12.75">
      <c r="B40" s="353"/>
      <c r="C40" s="302"/>
      <c r="D40" s="302">
        <v>27</v>
      </c>
      <c r="E40" s="186"/>
      <c r="F40" s="187"/>
      <c r="G40" s="326"/>
      <c r="H40" s="187">
        <v>0</v>
      </c>
      <c r="I40" s="207">
        <f t="shared" si="9"/>
        <v>0</v>
      </c>
      <c r="J40" s="207">
        <f t="shared" si="9"/>
        <v>0</v>
      </c>
      <c r="K40" s="207">
        <f t="shared" si="9"/>
        <v>0</v>
      </c>
      <c r="L40" s="207">
        <f t="shared" si="9"/>
        <v>0</v>
      </c>
      <c r="M40" s="302"/>
      <c r="N40" s="302"/>
      <c r="O40" s="302">
        <v>27</v>
      </c>
      <c r="P40" s="364">
        <v>0</v>
      </c>
      <c r="Q40" s="365">
        <f t="shared" si="10"/>
        <v>0</v>
      </c>
      <c r="R40" s="365">
        <f t="shared" si="10"/>
        <v>0</v>
      </c>
      <c r="S40" s="365">
        <f t="shared" si="10"/>
        <v>0</v>
      </c>
      <c r="T40" s="365">
        <f t="shared" si="10"/>
        <v>0</v>
      </c>
      <c r="U40" s="302"/>
      <c r="V40" s="302"/>
      <c r="W40" s="302">
        <v>27</v>
      </c>
      <c r="X40" s="73">
        <v>0</v>
      </c>
      <c r="Y40" s="365">
        <f t="shared" si="11"/>
        <v>0</v>
      </c>
      <c r="Z40" s="365">
        <f t="shared" si="11"/>
        <v>0</v>
      </c>
      <c r="AA40" s="365">
        <f t="shared" si="11"/>
        <v>0</v>
      </c>
      <c r="AB40" s="365">
        <f t="shared" si="11"/>
        <v>0</v>
      </c>
      <c r="AC40" s="302"/>
      <c r="AD40" s="302"/>
      <c r="AE40" s="302">
        <v>27</v>
      </c>
      <c r="AF40" s="73">
        <v>0</v>
      </c>
      <c r="AG40" s="365">
        <f t="shared" si="12"/>
        <v>0</v>
      </c>
      <c r="AH40" s="365">
        <f t="shared" si="12"/>
        <v>0</v>
      </c>
      <c r="AI40" s="365">
        <f t="shared" si="12"/>
        <v>0</v>
      </c>
      <c r="AJ40" s="365">
        <f t="shared" si="12"/>
        <v>0</v>
      </c>
      <c r="AK40" s="326"/>
      <c r="AL40" s="356"/>
      <c r="AM40" s="362"/>
      <c r="AN40" s="302"/>
      <c r="AO40" s="302">
        <v>27</v>
      </c>
      <c r="AP40" s="76">
        <f>ROUND(H40*tab!G$55,0)</f>
        <v>0</v>
      </c>
      <c r="AQ40" s="76">
        <f>ROUND(I40*tab!I$55,0)</f>
        <v>0</v>
      </c>
      <c r="AR40" s="76">
        <f>ROUND(J40*tab!K$55,0)</f>
        <v>0</v>
      </c>
      <c r="AS40" s="76">
        <f>ROUND(K40*tab!M$55,0)</f>
        <v>0</v>
      </c>
      <c r="AT40" s="76">
        <f>ROUND(L40*tab!O$55,0)</f>
        <v>0</v>
      </c>
      <c r="AU40" s="302"/>
      <c r="AV40" s="302"/>
      <c r="AW40" s="302">
        <v>27</v>
      </c>
      <c r="AX40" s="76">
        <f>+H40*tab!F$56</f>
        <v>0</v>
      </c>
      <c r="AY40" s="76">
        <f>+I40*tab!H$56</f>
        <v>0</v>
      </c>
      <c r="AZ40" s="76">
        <f>+J40*tab!J$56</f>
        <v>0</v>
      </c>
      <c r="BA40" s="76">
        <f>+K40*tab!L$56</f>
        <v>0</v>
      </c>
      <c r="BB40" s="76">
        <f>+L40*tab!N$56</f>
        <v>0</v>
      </c>
      <c r="BC40" s="302"/>
      <c r="BD40" s="302"/>
      <c r="BE40" s="302">
        <v>27</v>
      </c>
      <c r="BF40" s="76">
        <f t="shared" si="4"/>
        <v>0</v>
      </c>
      <c r="BG40" s="76">
        <f t="shared" si="5"/>
        <v>0</v>
      </c>
      <c r="BH40" s="76">
        <f t="shared" si="6"/>
        <v>0</v>
      </c>
      <c r="BI40" s="76">
        <f t="shared" si="7"/>
        <v>0</v>
      </c>
      <c r="BJ40" s="76">
        <f t="shared" si="8"/>
        <v>0</v>
      </c>
      <c r="BK40" s="302"/>
      <c r="BL40" s="354"/>
    </row>
    <row r="41" spans="2:64" s="320" customFormat="1" ht="12.75">
      <c r="B41" s="353"/>
      <c r="C41" s="302"/>
      <c r="D41" s="302">
        <v>28</v>
      </c>
      <c r="E41" s="186"/>
      <c r="F41" s="187"/>
      <c r="G41" s="326"/>
      <c r="H41" s="187">
        <v>0</v>
      </c>
      <c r="I41" s="207">
        <f t="shared" si="9"/>
        <v>0</v>
      </c>
      <c r="J41" s="207">
        <f t="shared" si="9"/>
        <v>0</v>
      </c>
      <c r="K41" s="207">
        <f t="shared" si="9"/>
        <v>0</v>
      </c>
      <c r="L41" s="207">
        <f t="shared" si="9"/>
        <v>0</v>
      </c>
      <c r="M41" s="302"/>
      <c r="N41" s="302"/>
      <c r="O41" s="302">
        <v>28</v>
      </c>
      <c r="P41" s="364">
        <v>0</v>
      </c>
      <c r="Q41" s="365">
        <f t="shared" si="10"/>
        <v>0</v>
      </c>
      <c r="R41" s="365">
        <f t="shared" si="10"/>
        <v>0</v>
      </c>
      <c r="S41" s="365">
        <f t="shared" si="10"/>
        <v>0</v>
      </c>
      <c r="T41" s="365">
        <f t="shared" si="10"/>
        <v>0</v>
      </c>
      <c r="U41" s="302"/>
      <c r="V41" s="302"/>
      <c r="W41" s="302">
        <v>28</v>
      </c>
      <c r="X41" s="73">
        <v>0</v>
      </c>
      <c r="Y41" s="365">
        <f t="shared" si="11"/>
        <v>0</v>
      </c>
      <c r="Z41" s="365">
        <f t="shared" si="11"/>
        <v>0</v>
      </c>
      <c r="AA41" s="365">
        <f t="shared" si="11"/>
        <v>0</v>
      </c>
      <c r="AB41" s="365">
        <f t="shared" si="11"/>
        <v>0</v>
      </c>
      <c r="AC41" s="302"/>
      <c r="AD41" s="302"/>
      <c r="AE41" s="302">
        <v>28</v>
      </c>
      <c r="AF41" s="73">
        <v>0</v>
      </c>
      <c r="AG41" s="365">
        <f t="shared" si="12"/>
        <v>0</v>
      </c>
      <c r="AH41" s="365">
        <f t="shared" si="12"/>
        <v>0</v>
      </c>
      <c r="AI41" s="365">
        <f t="shared" si="12"/>
        <v>0</v>
      </c>
      <c r="AJ41" s="365">
        <f t="shared" si="12"/>
        <v>0</v>
      </c>
      <c r="AK41" s="326"/>
      <c r="AL41" s="356"/>
      <c r="AM41" s="362"/>
      <c r="AN41" s="302"/>
      <c r="AO41" s="302">
        <v>28</v>
      </c>
      <c r="AP41" s="76">
        <f>ROUND(H41*tab!G$55,0)</f>
        <v>0</v>
      </c>
      <c r="AQ41" s="76">
        <f>ROUND(I41*tab!I$55,0)</f>
        <v>0</v>
      </c>
      <c r="AR41" s="76">
        <f>ROUND(J41*tab!K$55,0)</f>
        <v>0</v>
      </c>
      <c r="AS41" s="76">
        <f>ROUND(K41*tab!M$55,0)</f>
        <v>0</v>
      </c>
      <c r="AT41" s="76">
        <f>ROUND(L41*tab!O$55,0)</f>
        <v>0</v>
      </c>
      <c r="AU41" s="302"/>
      <c r="AV41" s="302"/>
      <c r="AW41" s="302">
        <v>28</v>
      </c>
      <c r="AX41" s="76">
        <f>+H41*tab!F$56</f>
        <v>0</v>
      </c>
      <c r="AY41" s="76">
        <f>+I41*tab!H$56</f>
        <v>0</v>
      </c>
      <c r="AZ41" s="76">
        <f>+J41*tab!J$56</f>
        <v>0</v>
      </c>
      <c r="BA41" s="76">
        <f>+K41*tab!L$56</f>
        <v>0</v>
      </c>
      <c r="BB41" s="76">
        <f>+L41*tab!N$56</f>
        <v>0</v>
      </c>
      <c r="BC41" s="302"/>
      <c r="BD41" s="302"/>
      <c r="BE41" s="302">
        <v>28</v>
      </c>
      <c r="BF41" s="76">
        <f t="shared" si="4"/>
        <v>0</v>
      </c>
      <c r="BG41" s="76">
        <f t="shared" si="5"/>
        <v>0</v>
      </c>
      <c r="BH41" s="76">
        <f t="shared" si="6"/>
        <v>0</v>
      </c>
      <c r="BI41" s="76">
        <f t="shared" si="7"/>
        <v>0</v>
      </c>
      <c r="BJ41" s="76">
        <f t="shared" si="8"/>
        <v>0</v>
      </c>
      <c r="BK41" s="302"/>
      <c r="BL41" s="354"/>
    </row>
    <row r="42" spans="2:64" s="320" customFormat="1" ht="12.75">
      <c r="B42" s="353"/>
      <c r="C42" s="302"/>
      <c r="D42" s="302">
        <v>29</v>
      </c>
      <c r="E42" s="186"/>
      <c r="F42" s="187"/>
      <c r="G42" s="326"/>
      <c r="H42" s="187">
        <v>0</v>
      </c>
      <c r="I42" s="207">
        <f t="shared" si="9"/>
        <v>0</v>
      </c>
      <c r="J42" s="207">
        <f t="shared" si="9"/>
        <v>0</v>
      </c>
      <c r="K42" s="207">
        <f t="shared" si="9"/>
        <v>0</v>
      </c>
      <c r="L42" s="207">
        <f t="shared" si="9"/>
        <v>0</v>
      </c>
      <c r="M42" s="302"/>
      <c r="N42" s="302"/>
      <c r="O42" s="302">
        <v>29</v>
      </c>
      <c r="P42" s="364">
        <v>0</v>
      </c>
      <c r="Q42" s="365">
        <f t="shared" si="10"/>
        <v>0</v>
      </c>
      <c r="R42" s="365">
        <f t="shared" si="10"/>
        <v>0</v>
      </c>
      <c r="S42" s="365">
        <f t="shared" si="10"/>
        <v>0</v>
      </c>
      <c r="T42" s="365">
        <f t="shared" si="10"/>
        <v>0</v>
      </c>
      <c r="U42" s="302"/>
      <c r="V42" s="302"/>
      <c r="W42" s="302">
        <v>29</v>
      </c>
      <c r="X42" s="73">
        <v>0</v>
      </c>
      <c r="Y42" s="365">
        <f t="shared" si="11"/>
        <v>0</v>
      </c>
      <c r="Z42" s="365">
        <f t="shared" si="11"/>
        <v>0</v>
      </c>
      <c r="AA42" s="365">
        <f t="shared" si="11"/>
        <v>0</v>
      </c>
      <c r="AB42" s="365">
        <f t="shared" si="11"/>
        <v>0</v>
      </c>
      <c r="AC42" s="302"/>
      <c r="AD42" s="302"/>
      <c r="AE42" s="302">
        <v>29</v>
      </c>
      <c r="AF42" s="73">
        <v>0</v>
      </c>
      <c r="AG42" s="365">
        <f t="shared" si="12"/>
        <v>0</v>
      </c>
      <c r="AH42" s="365">
        <f t="shared" si="12"/>
        <v>0</v>
      </c>
      <c r="AI42" s="365">
        <f t="shared" si="12"/>
        <v>0</v>
      </c>
      <c r="AJ42" s="365">
        <f t="shared" si="12"/>
        <v>0</v>
      </c>
      <c r="AK42" s="326"/>
      <c r="AL42" s="356"/>
      <c r="AM42" s="362"/>
      <c r="AN42" s="302"/>
      <c r="AO42" s="302">
        <v>29</v>
      </c>
      <c r="AP42" s="76">
        <f>ROUND(H42*tab!G$55,0)</f>
        <v>0</v>
      </c>
      <c r="AQ42" s="76">
        <f>ROUND(I42*tab!I$55,0)</f>
        <v>0</v>
      </c>
      <c r="AR42" s="76">
        <f>ROUND(J42*tab!K$55,0)</f>
        <v>0</v>
      </c>
      <c r="AS42" s="76">
        <f>ROUND(K42*tab!M$55,0)</f>
        <v>0</v>
      </c>
      <c r="AT42" s="76">
        <f>ROUND(L42*tab!O$55,0)</f>
        <v>0</v>
      </c>
      <c r="AU42" s="302"/>
      <c r="AV42" s="302"/>
      <c r="AW42" s="302">
        <v>29</v>
      </c>
      <c r="AX42" s="76">
        <f>+H42*tab!F$56</f>
        <v>0</v>
      </c>
      <c r="AY42" s="76">
        <f>+I42*tab!H$56</f>
        <v>0</v>
      </c>
      <c r="AZ42" s="76">
        <f>+J42*tab!J$56</f>
        <v>0</v>
      </c>
      <c r="BA42" s="76">
        <f>+K42*tab!L$56</f>
        <v>0</v>
      </c>
      <c r="BB42" s="76">
        <f>+L42*tab!N$56</f>
        <v>0</v>
      </c>
      <c r="BC42" s="302"/>
      <c r="BD42" s="302"/>
      <c r="BE42" s="302">
        <v>29</v>
      </c>
      <c r="BF42" s="76">
        <f t="shared" si="4"/>
        <v>0</v>
      </c>
      <c r="BG42" s="76">
        <f t="shared" si="5"/>
        <v>0</v>
      </c>
      <c r="BH42" s="76">
        <f t="shared" si="6"/>
        <v>0</v>
      </c>
      <c r="BI42" s="76">
        <f t="shared" si="7"/>
        <v>0</v>
      </c>
      <c r="BJ42" s="76">
        <f t="shared" si="8"/>
        <v>0</v>
      </c>
      <c r="BK42" s="302"/>
      <c r="BL42" s="354"/>
    </row>
    <row r="43" spans="2:64" s="320" customFormat="1" ht="12.75">
      <c r="B43" s="353"/>
      <c r="C43" s="302"/>
      <c r="D43" s="302">
        <v>30</v>
      </c>
      <c r="E43" s="186"/>
      <c r="F43" s="187"/>
      <c r="G43" s="326"/>
      <c r="H43" s="187">
        <v>0</v>
      </c>
      <c r="I43" s="207">
        <f t="shared" si="9"/>
        <v>0</v>
      </c>
      <c r="J43" s="207">
        <f t="shared" si="9"/>
        <v>0</v>
      </c>
      <c r="K43" s="207">
        <f t="shared" si="9"/>
        <v>0</v>
      </c>
      <c r="L43" s="207">
        <f t="shared" si="9"/>
        <v>0</v>
      </c>
      <c r="M43" s="302"/>
      <c r="N43" s="302"/>
      <c r="O43" s="302">
        <v>30</v>
      </c>
      <c r="P43" s="364">
        <v>0</v>
      </c>
      <c r="Q43" s="365">
        <f t="shared" si="10"/>
        <v>0</v>
      </c>
      <c r="R43" s="365">
        <f t="shared" si="10"/>
        <v>0</v>
      </c>
      <c r="S43" s="365">
        <f t="shared" si="10"/>
        <v>0</v>
      </c>
      <c r="T43" s="365">
        <f t="shared" si="10"/>
        <v>0</v>
      </c>
      <c r="U43" s="302"/>
      <c r="V43" s="302"/>
      <c r="W43" s="302">
        <v>30</v>
      </c>
      <c r="X43" s="73">
        <v>0</v>
      </c>
      <c r="Y43" s="365">
        <f t="shared" si="11"/>
        <v>0</v>
      </c>
      <c r="Z43" s="365">
        <f t="shared" si="11"/>
        <v>0</v>
      </c>
      <c r="AA43" s="365">
        <f t="shared" si="11"/>
        <v>0</v>
      </c>
      <c r="AB43" s="365">
        <f t="shared" si="11"/>
        <v>0</v>
      </c>
      <c r="AC43" s="302"/>
      <c r="AD43" s="302"/>
      <c r="AE43" s="302">
        <v>30</v>
      </c>
      <c r="AF43" s="73">
        <v>0</v>
      </c>
      <c r="AG43" s="365">
        <f t="shared" si="12"/>
        <v>0</v>
      </c>
      <c r="AH43" s="365">
        <f t="shared" si="12"/>
        <v>0</v>
      </c>
      <c r="AI43" s="365">
        <f t="shared" si="12"/>
        <v>0</v>
      </c>
      <c r="AJ43" s="365">
        <f t="shared" si="12"/>
        <v>0</v>
      </c>
      <c r="AK43" s="326"/>
      <c r="AL43" s="356"/>
      <c r="AM43" s="362"/>
      <c r="AN43" s="302"/>
      <c r="AO43" s="302">
        <v>30</v>
      </c>
      <c r="AP43" s="76">
        <f>ROUND(H43*tab!G$55,0)</f>
        <v>0</v>
      </c>
      <c r="AQ43" s="76">
        <f>ROUND(I43*tab!I$55,0)</f>
        <v>0</v>
      </c>
      <c r="AR43" s="76">
        <f>ROUND(J43*tab!K$55,0)</f>
        <v>0</v>
      </c>
      <c r="AS43" s="76">
        <f>ROUND(K43*tab!M$55,0)</f>
        <v>0</v>
      </c>
      <c r="AT43" s="76">
        <f>ROUND(L43*tab!O$55,0)</f>
        <v>0</v>
      </c>
      <c r="AU43" s="302"/>
      <c r="AV43" s="302"/>
      <c r="AW43" s="302">
        <v>30</v>
      </c>
      <c r="AX43" s="76">
        <f>+H43*tab!F$56</f>
        <v>0</v>
      </c>
      <c r="AY43" s="76">
        <f>+I43*tab!H$56</f>
        <v>0</v>
      </c>
      <c r="AZ43" s="76">
        <f>+J43*tab!J$56</f>
        <v>0</v>
      </c>
      <c r="BA43" s="76">
        <f>+K43*tab!L$56</f>
        <v>0</v>
      </c>
      <c r="BB43" s="76">
        <f>+L43*tab!N$56</f>
        <v>0</v>
      </c>
      <c r="BC43" s="302"/>
      <c r="BD43" s="302"/>
      <c r="BE43" s="302">
        <v>30</v>
      </c>
      <c r="BF43" s="76">
        <f t="shared" si="4"/>
        <v>0</v>
      </c>
      <c r="BG43" s="76">
        <f t="shared" si="5"/>
        <v>0</v>
      </c>
      <c r="BH43" s="76">
        <f t="shared" si="6"/>
        <v>0</v>
      </c>
      <c r="BI43" s="76">
        <f t="shared" si="7"/>
        <v>0</v>
      </c>
      <c r="BJ43" s="76">
        <f t="shared" si="8"/>
        <v>0</v>
      </c>
      <c r="BK43" s="302"/>
      <c r="BL43" s="354"/>
    </row>
    <row r="44" spans="2:64" s="320" customFormat="1" ht="12.75">
      <c r="B44" s="353"/>
      <c r="C44" s="302"/>
      <c r="D44" s="302">
        <v>31</v>
      </c>
      <c r="E44" s="186"/>
      <c r="F44" s="187"/>
      <c r="G44" s="326"/>
      <c r="H44" s="187">
        <v>0</v>
      </c>
      <c r="I44" s="207">
        <f t="shared" si="9"/>
        <v>0</v>
      </c>
      <c r="J44" s="207">
        <f t="shared" si="9"/>
        <v>0</v>
      </c>
      <c r="K44" s="207">
        <f t="shared" si="9"/>
        <v>0</v>
      </c>
      <c r="L44" s="207">
        <f t="shared" si="9"/>
        <v>0</v>
      </c>
      <c r="M44" s="302"/>
      <c r="N44" s="302"/>
      <c r="O44" s="302">
        <v>31</v>
      </c>
      <c r="P44" s="364">
        <v>0</v>
      </c>
      <c r="Q44" s="365">
        <f t="shared" si="10"/>
        <v>0</v>
      </c>
      <c r="R44" s="365">
        <f t="shared" si="10"/>
        <v>0</v>
      </c>
      <c r="S44" s="365">
        <f t="shared" si="10"/>
        <v>0</v>
      </c>
      <c r="T44" s="365">
        <f t="shared" si="10"/>
        <v>0</v>
      </c>
      <c r="U44" s="302"/>
      <c r="V44" s="302"/>
      <c r="W44" s="302">
        <v>31</v>
      </c>
      <c r="X44" s="73">
        <v>0</v>
      </c>
      <c r="Y44" s="365">
        <f t="shared" si="11"/>
        <v>0</v>
      </c>
      <c r="Z44" s="365">
        <f t="shared" si="11"/>
        <v>0</v>
      </c>
      <c r="AA44" s="365">
        <f t="shared" si="11"/>
        <v>0</v>
      </c>
      <c r="AB44" s="365">
        <f t="shared" si="11"/>
        <v>0</v>
      </c>
      <c r="AC44" s="302"/>
      <c r="AD44" s="302"/>
      <c r="AE44" s="302">
        <v>31</v>
      </c>
      <c r="AF44" s="73">
        <v>0</v>
      </c>
      <c r="AG44" s="365">
        <f t="shared" si="12"/>
        <v>0</v>
      </c>
      <c r="AH44" s="365">
        <f t="shared" si="12"/>
        <v>0</v>
      </c>
      <c r="AI44" s="365">
        <f t="shared" si="12"/>
        <v>0</v>
      </c>
      <c r="AJ44" s="365">
        <f t="shared" si="12"/>
        <v>0</v>
      </c>
      <c r="AK44" s="326"/>
      <c r="AL44" s="356"/>
      <c r="AM44" s="362"/>
      <c r="AN44" s="302"/>
      <c r="AO44" s="302">
        <v>31</v>
      </c>
      <c r="AP44" s="76">
        <f>ROUND(H44*tab!G$55,0)</f>
        <v>0</v>
      </c>
      <c r="AQ44" s="76">
        <f>ROUND(I44*tab!I$55,0)</f>
        <v>0</v>
      </c>
      <c r="AR44" s="76">
        <f>ROUND(J44*tab!K$55,0)</f>
        <v>0</v>
      </c>
      <c r="AS44" s="76">
        <f>ROUND(K44*tab!M$55,0)</f>
        <v>0</v>
      </c>
      <c r="AT44" s="76">
        <f>ROUND(L44*tab!O$55,0)</f>
        <v>0</v>
      </c>
      <c r="AU44" s="302"/>
      <c r="AV44" s="302"/>
      <c r="AW44" s="302">
        <v>31</v>
      </c>
      <c r="AX44" s="76">
        <f>+H44*tab!F$56</f>
        <v>0</v>
      </c>
      <c r="AY44" s="76">
        <f>+I44*tab!H$56</f>
        <v>0</v>
      </c>
      <c r="AZ44" s="76">
        <f>+J44*tab!J$56</f>
        <v>0</v>
      </c>
      <c r="BA44" s="76">
        <f>+K44*tab!L$56</f>
        <v>0</v>
      </c>
      <c r="BB44" s="76">
        <f>+L44*tab!N$56</f>
        <v>0</v>
      </c>
      <c r="BC44" s="302"/>
      <c r="BD44" s="302"/>
      <c r="BE44" s="302">
        <v>31</v>
      </c>
      <c r="BF44" s="76">
        <f t="shared" si="4"/>
        <v>0</v>
      </c>
      <c r="BG44" s="76">
        <f t="shared" si="5"/>
        <v>0</v>
      </c>
      <c r="BH44" s="76">
        <f t="shared" si="6"/>
        <v>0</v>
      </c>
      <c r="BI44" s="76">
        <f t="shared" si="7"/>
        <v>0</v>
      </c>
      <c r="BJ44" s="76">
        <f t="shared" si="8"/>
        <v>0</v>
      </c>
      <c r="BK44" s="302"/>
      <c r="BL44" s="354"/>
    </row>
    <row r="45" spans="2:64" s="320" customFormat="1" ht="12.75">
      <c r="B45" s="353"/>
      <c r="C45" s="302"/>
      <c r="D45" s="302">
        <v>32</v>
      </c>
      <c r="E45" s="186"/>
      <c r="F45" s="187"/>
      <c r="G45" s="326"/>
      <c r="H45" s="187">
        <v>0</v>
      </c>
      <c r="I45" s="207">
        <f t="shared" si="9"/>
        <v>0</v>
      </c>
      <c r="J45" s="207">
        <f t="shared" si="9"/>
        <v>0</v>
      </c>
      <c r="K45" s="207">
        <f t="shared" si="9"/>
        <v>0</v>
      </c>
      <c r="L45" s="207">
        <f t="shared" si="9"/>
        <v>0</v>
      </c>
      <c r="M45" s="302"/>
      <c r="N45" s="302"/>
      <c r="O45" s="302">
        <v>32</v>
      </c>
      <c r="P45" s="364">
        <v>0</v>
      </c>
      <c r="Q45" s="365">
        <f t="shared" si="10"/>
        <v>0</v>
      </c>
      <c r="R45" s="365">
        <f t="shared" si="10"/>
        <v>0</v>
      </c>
      <c r="S45" s="365">
        <f t="shared" si="10"/>
        <v>0</v>
      </c>
      <c r="T45" s="365">
        <f t="shared" si="10"/>
        <v>0</v>
      </c>
      <c r="U45" s="302"/>
      <c r="V45" s="302"/>
      <c r="W45" s="302">
        <v>32</v>
      </c>
      <c r="X45" s="73">
        <v>0</v>
      </c>
      <c r="Y45" s="365">
        <f t="shared" si="11"/>
        <v>0</v>
      </c>
      <c r="Z45" s="365">
        <f t="shared" si="11"/>
        <v>0</v>
      </c>
      <c r="AA45" s="365">
        <f t="shared" si="11"/>
        <v>0</v>
      </c>
      <c r="AB45" s="365">
        <f t="shared" si="11"/>
        <v>0</v>
      </c>
      <c r="AC45" s="302"/>
      <c r="AD45" s="302"/>
      <c r="AE45" s="302">
        <v>32</v>
      </c>
      <c r="AF45" s="73">
        <v>0</v>
      </c>
      <c r="AG45" s="365">
        <f t="shared" si="12"/>
        <v>0</v>
      </c>
      <c r="AH45" s="365">
        <f t="shared" si="12"/>
        <v>0</v>
      </c>
      <c r="AI45" s="365">
        <f t="shared" si="12"/>
        <v>0</v>
      </c>
      <c r="AJ45" s="365">
        <f t="shared" si="12"/>
        <v>0</v>
      </c>
      <c r="AK45" s="326"/>
      <c r="AL45" s="356"/>
      <c r="AM45" s="362"/>
      <c r="AN45" s="302"/>
      <c r="AO45" s="302">
        <v>32</v>
      </c>
      <c r="AP45" s="76">
        <f>ROUND(H45*tab!G$55,0)</f>
        <v>0</v>
      </c>
      <c r="AQ45" s="76">
        <f>ROUND(I45*tab!I$55,0)</f>
        <v>0</v>
      </c>
      <c r="AR45" s="76">
        <f>ROUND(J45*tab!K$55,0)</f>
        <v>0</v>
      </c>
      <c r="AS45" s="76">
        <f>ROUND(K45*tab!M$55,0)</f>
        <v>0</v>
      </c>
      <c r="AT45" s="76">
        <f>ROUND(L45*tab!O$55,0)</f>
        <v>0</v>
      </c>
      <c r="AU45" s="302"/>
      <c r="AV45" s="302"/>
      <c r="AW45" s="302">
        <v>32</v>
      </c>
      <c r="AX45" s="76">
        <f>+H45*tab!F$56</f>
        <v>0</v>
      </c>
      <c r="AY45" s="76">
        <f>+I45*tab!H$56</f>
        <v>0</v>
      </c>
      <c r="AZ45" s="76">
        <f>+J45*tab!J$56</f>
        <v>0</v>
      </c>
      <c r="BA45" s="76">
        <f>+K45*tab!L$56</f>
        <v>0</v>
      </c>
      <c r="BB45" s="76">
        <f>+L45*tab!N$56</f>
        <v>0</v>
      </c>
      <c r="BC45" s="302"/>
      <c r="BD45" s="302"/>
      <c r="BE45" s="302">
        <v>32</v>
      </c>
      <c r="BF45" s="76">
        <f t="shared" si="4"/>
        <v>0</v>
      </c>
      <c r="BG45" s="76">
        <f t="shared" si="5"/>
        <v>0</v>
      </c>
      <c r="BH45" s="76">
        <f t="shared" si="6"/>
        <v>0</v>
      </c>
      <c r="BI45" s="76">
        <f t="shared" si="7"/>
        <v>0</v>
      </c>
      <c r="BJ45" s="76">
        <f t="shared" si="8"/>
        <v>0</v>
      </c>
      <c r="BK45" s="302"/>
      <c r="BL45" s="354"/>
    </row>
    <row r="46" spans="2:64" s="320" customFormat="1" ht="12.75">
      <c r="B46" s="353"/>
      <c r="C46" s="302"/>
      <c r="D46" s="302">
        <v>33</v>
      </c>
      <c r="E46" s="186"/>
      <c r="F46" s="187"/>
      <c r="G46" s="326"/>
      <c r="H46" s="187">
        <v>0</v>
      </c>
      <c r="I46" s="207">
        <f t="shared" si="9"/>
        <v>0</v>
      </c>
      <c r="J46" s="207">
        <f t="shared" si="9"/>
        <v>0</v>
      </c>
      <c r="K46" s="207">
        <f t="shared" si="9"/>
        <v>0</v>
      </c>
      <c r="L46" s="207">
        <f t="shared" si="9"/>
        <v>0</v>
      </c>
      <c r="M46" s="302"/>
      <c r="N46" s="302"/>
      <c r="O46" s="302">
        <v>33</v>
      </c>
      <c r="P46" s="364">
        <v>0</v>
      </c>
      <c r="Q46" s="365">
        <f t="shared" si="10"/>
        <v>0</v>
      </c>
      <c r="R46" s="365">
        <f t="shared" si="10"/>
        <v>0</v>
      </c>
      <c r="S46" s="365">
        <f t="shared" si="10"/>
        <v>0</v>
      </c>
      <c r="T46" s="365">
        <f t="shared" si="10"/>
        <v>0</v>
      </c>
      <c r="U46" s="302"/>
      <c r="V46" s="302"/>
      <c r="W46" s="302">
        <v>33</v>
      </c>
      <c r="X46" s="73">
        <v>0</v>
      </c>
      <c r="Y46" s="365">
        <f t="shared" si="11"/>
        <v>0</v>
      </c>
      <c r="Z46" s="365">
        <f t="shared" si="11"/>
        <v>0</v>
      </c>
      <c r="AA46" s="365">
        <f t="shared" si="11"/>
        <v>0</v>
      </c>
      <c r="AB46" s="365">
        <f t="shared" si="11"/>
        <v>0</v>
      </c>
      <c r="AC46" s="302"/>
      <c r="AD46" s="302"/>
      <c r="AE46" s="302">
        <v>33</v>
      </c>
      <c r="AF46" s="73">
        <v>0</v>
      </c>
      <c r="AG46" s="365">
        <f t="shared" si="12"/>
        <v>0</v>
      </c>
      <c r="AH46" s="365">
        <f t="shared" si="12"/>
        <v>0</v>
      </c>
      <c r="AI46" s="365">
        <f t="shared" si="12"/>
        <v>0</v>
      </c>
      <c r="AJ46" s="365">
        <f t="shared" si="12"/>
        <v>0</v>
      </c>
      <c r="AK46" s="326"/>
      <c r="AL46" s="356"/>
      <c r="AM46" s="362"/>
      <c r="AN46" s="302"/>
      <c r="AO46" s="302">
        <v>33</v>
      </c>
      <c r="AP46" s="76">
        <f>ROUND(H46*tab!G$55,0)</f>
        <v>0</v>
      </c>
      <c r="AQ46" s="76">
        <f>ROUND(I46*tab!I$55,0)</f>
        <v>0</v>
      </c>
      <c r="AR46" s="76">
        <f>ROUND(J46*tab!K$55,0)</f>
        <v>0</v>
      </c>
      <c r="AS46" s="76">
        <f>ROUND(K46*tab!M$55,0)</f>
        <v>0</v>
      </c>
      <c r="AT46" s="76">
        <f>ROUND(L46*tab!O$55,0)</f>
        <v>0</v>
      </c>
      <c r="AU46" s="302"/>
      <c r="AV46" s="302"/>
      <c r="AW46" s="302">
        <v>33</v>
      </c>
      <c r="AX46" s="76">
        <f>+H46*tab!F$56</f>
        <v>0</v>
      </c>
      <c r="AY46" s="76">
        <f>+I46*tab!H$56</f>
        <v>0</v>
      </c>
      <c r="AZ46" s="76">
        <f>+J46*tab!J$56</f>
        <v>0</v>
      </c>
      <c r="BA46" s="76">
        <f>+K46*tab!L$56</f>
        <v>0</v>
      </c>
      <c r="BB46" s="76">
        <f>+L46*tab!N$56</f>
        <v>0</v>
      </c>
      <c r="BC46" s="302"/>
      <c r="BD46" s="302"/>
      <c r="BE46" s="302">
        <v>33</v>
      </c>
      <c r="BF46" s="76">
        <f t="shared" si="4"/>
        <v>0</v>
      </c>
      <c r="BG46" s="76">
        <f t="shared" si="5"/>
        <v>0</v>
      </c>
      <c r="BH46" s="76">
        <f t="shared" si="6"/>
        <v>0</v>
      </c>
      <c r="BI46" s="76">
        <f t="shared" si="7"/>
        <v>0</v>
      </c>
      <c r="BJ46" s="76">
        <f t="shared" si="8"/>
        <v>0</v>
      </c>
      <c r="BK46" s="302"/>
      <c r="BL46" s="354"/>
    </row>
    <row r="47" spans="2:64" s="320" customFormat="1" ht="12.75">
      <c r="B47" s="353"/>
      <c r="C47" s="302"/>
      <c r="D47" s="302">
        <v>34</v>
      </c>
      <c r="E47" s="186"/>
      <c r="F47" s="187"/>
      <c r="G47" s="326"/>
      <c r="H47" s="187">
        <v>0</v>
      </c>
      <c r="I47" s="207">
        <f t="shared" si="9"/>
        <v>0</v>
      </c>
      <c r="J47" s="207">
        <f t="shared" si="9"/>
        <v>0</v>
      </c>
      <c r="K47" s="207">
        <f t="shared" si="9"/>
        <v>0</v>
      </c>
      <c r="L47" s="207">
        <f t="shared" si="9"/>
        <v>0</v>
      </c>
      <c r="M47" s="302"/>
      <c r="N47" s="302"/>
      <c r="O47" s="302">
        <v>34</v>
      </c>
      <c r="P47" s="364">
        <v>0</v>
      </c>
      <c r="Q47" s="365">
        <f t="shared" si="10"/>
        <v>0</v>
      </c>
      <c r="R47" s="365">
        <f t="shared" si="10"/>
        <v>0</v>
      </c>
      <c r="S47" s="365">
        <f t="shared" si="10"/>
        <v>0</v>
      </c>
      <c r="T47" s="365">
        <f t="shared" si="10"/>
        <v>0</v>
      </c>
      <c r="U47" s="302"/>
      <c r="V47" s="302"/>
      <c r="W47" s="302">
        <v>34</v>
      </c>
      <c r="X47" s="73">
        <v>0</v>
      </c>
      <c r="Y47" s="365">
        <f t="shared" si="11"/>
        <v>0</v>
      </c>
      <c r="Z47" s="365">
        <f t="shared" si="11"/>
        <v>0</v>
      </c>
      <c r="AA47" s="365">
        <f t="shared" si="11"/>
        <v>0</v>
      </c>
      <c r="AB47" s="365">
        <f t="shared" si="11"/>
        <v>0</v>
      </c>
      <c r="AC47" s="302"/>
      <c r="AD47" s="302"/>
      <c r="AE47" s="302">
        <v>34</v>
      </c>
      <c r="AF47" s="73">
        <v>0</v>
      </c>
      <c r="AG47" s="365">
        <f t="shared" si="12"/>
        <v>0</v>
      </c>
      <c r="AH47" s="365">
        <f t="shared" si="12"/>
        <v>0</v>
      </c>
      <c r="AI47" s="365">
        <f t="shared" si="12"/>
        <v>0</v>
      </c>
      <c r="AJ47" s="365">
        <f t="shared" si="12"/>
        <v>0</v>
      </c>
      <c r="AK47" s="326"/>
      <c r="AL47" s="356"/>
      <c r="AM47" s="362"/>
      <c r="AN47" s="302"/>
      <c r="AO47" s="302">
        <v>34</v>
      </c>
      <c r="AP47" s="76">
        <f>ROUND(H47*tab!G$55,0)</f>
        <v>0</v>
      </c>
      <c r="AQ47" s="76">
        <f>ROUND(I47*tab!I$55,0)</f>
        <v>0</v>
      </c>
      <c r="AR47" s="76">
        <f>ROUND(J47*tab!K$55,0)</f>
        <v>0</v>
      </c>
      <c r="AS47" s="76">
        <f>ROUND(K47*tab!M$55,0)</f>
        <v>0</v>
      </c>
      <c r="AT47" s="76">
        <f>ROUND(L47*tab!O$55,0)</f>
        <v>0</v>
      </c>
      <c r="AU47" s="302"/>
      <c r="AV47" s="302"/>
      <c r="AW47" s="302">
        <v>34</v>
      </c>
      <c r="AX47" s="76">
        <f>+H47*tab!F$56</f>
        <v>0</v>
      </c>
      <c r="AY47" s="76">
        <f>+I47*tab!H$56</f>
        <v>0</v>
      </c>
      <c r="AZ47" s="76">
        <f>+J47*tab!J$56</f>
        <v>0</v>
      </c>
      <c r="BA47" s="76">
        <f>+K47*tab!L$56</f>
        <v>0</v>
      </c>
      <c r="BB47" s="76">
        <f>+L47*tab!N$56</f>
        <v>0</v>
      </c>
      <c r="BC47" s="302"/>
      <c r="BD47" s="302"/>
      <c r="BE47" s="302">
        <v>34</v>
      </c>
      <c r="BF47" s="76">
        <f t="shared" si="4"/>
        <v>0</v>
      </c>
      <c r="BG47" s="76">
        <f t="shared" si="5"/>
        <v>0</v>
      </c>
      <c r="BH47" s="76">
        <f t="shared" si="6"/>
        <v>0</v>
      </c>
      <c r="BI47" s="76">
        <f t="shared" si="7"/>
        <v>0</v>
      </c>
      <c r="BJ47" s="76">
        <f t="shared" si="8"/>
        <v>0</v>
      </c>
      <c r="BK47" s="302"/>
      <c r="BL47" s="354"/>
    </row>
    <row r="48" spans="2:64" s="320" customFormat="1" ht="12.75">
      <c r="B48" s="353"/>
      <c r="C48" s="302"/>
      <c r="D48" s="302">
        <v>35</v>
      </c>
      <c r="E48" s="186"/>
      <c r="F48" s="187"/>
      <c r="G48" s="326"/>
      <c r="H48" s="187">
        <v>0</v>
      </c>
      <c r="I48" s="207">
        <f t="shared" si="9"/>
        <v>0</v>
      </c>
      <c r="J48" s="207">
        <f t="shared" si="9"/>
        <v>0</v>
      </c>
      <c r="K48" s="207">
        <f t="shared" si="9"/>
        <v>0</v>
      </c>
      <c r="L48" s="207">
        <f t="shared" si="9"/>
        <v>0</v>
      </c>
      <c r="M48" s="302"/>
      <c r="N48" s="302"/>
      <c r="O48" s="302">
        <v>35</v>
      </c>
      <c r="P48" s="364">
        <v>0</v>
      </c>
      <c r="Q48" s="365">
        <f t="shared" si="10"/>
        <v>0</v>
      </c>
      <c r="R48" s="365">
        <f t="shared" si="10"/>
        <v>0</v>
      </c>
      <c r="S48" s="365">
        <f t="shared" si="10"/>
        <v>0</v>
      </c>
      <c r="T48" s="365">
        <f t="shared" si="10"/>
        <v>0</v>
      </c>
      <c r="U48" s="302"/>
      <c r="V48" s="302"/>
      <c r="W48" s="302">
        <v>35</v>
      </c>
      <c r="X48" s="73">
        <v>0</v>
      </c>
      <c r="Y48" s="365">
        <f t="shared" si="11"/>
        <v>0</v>
      </c>
      <c r="Z48" s="365">
        <f t="shared" si="11"/>
        <v>0</v>
      </c>
      <c r="AA48" s="365">
        <f t="shared" si="11"/>
        <v>0</v>
      </c>
      <c r="AB48" s="365">
        <f t="shared" si="11"/>
        <v>0</v>
      </c>
      <c r="AC48" s="302"/>
      <c r="AD48" s="302"/>
      <c r="AE48" s="302">
        <v>35</v>
      </c>
      <c r="AF48" s="73">
        <v>0</v>
      </c>
      <c r="AG48" s="365">
        <f t="shared" si="12"/>
        <v>0</v>
      </c>
      <c r="AH48" s="365">
        <f t="shared" si="12"/>
        <v>0</v>
      </c>
      <c r="AI48" s="365">
        <f t="shared" si="12"/>
        <v>0</v>
      </c>
      <c r="AJ48" s="365">
        <f t="shared" si="12"/>
        <v>0</v>
      </c>
      <c r="AK48" s="326"/>
      <c r="AL48" s="356"/>
      <c r="AM48" s="362"/>
      <c r="AN48" s="302"/>
      <c r="AO48" s="302">
        <v>35</v>
      </c>
      <c r="AP48" s="76">
        <f>ROUND(H48*tab!G$55,0)</f>
        <v>0</v>
      </c>
      <c r="AQ48" s="76">
        <f>ROUND(I48*tab!I$55,0)</f>
        <v>0</v>
      </c>
      <c r="AR48" s="76">
        <f>ROUND(J48*tab!K$55,0)</f>
        <v>0</v>
      </c>
      <c r="AS48" s="76">
        <f>ROUND(K48*tab!M$55,0)</f>
        <v>0</v>
      </c>
      <c r="AT48" s="76">
        <f>ROUND(L48*tab!O$55,0)</f>
        <v>0</v>
      </c>
      <c r="AU48" s="302"/>
      <c r="AV48" s="302"/>
      <c r="AW48" s="302">
        <v>35</v>
      </c>
      <c r="AX48" s="76">
        <f>+H48*tab!F$56</f>
        <v>0</v>
      </c>
      <c r="AY48" s="76">
        <f>+I48*tab!H$56</f>
        <v>0</v>
      </c>
      <c r="AZ48" s="76">
        <f>+J48*tab!J$56</f>
        <v>0</v>
      </c>
      <c r="BA48" s="76">
        <f>+K48*tab!L$56</f>
        <v>0</v>
      </c>
      <c r="BB48" s="76">
        <f>+L48*tab!N$56</f>
        <v>0</v>
      </c>
      <c r="BC48" s="302"/>
      <c r="BD48" s="302"/>
      <c r="BE48" s="302">
        <v>35</v>
      </c>
      <c r="BF48" s="76">
        <f t="shared" si="4"/>
        <v>0</v>
      </c>
      <c r="BG48" s="76">
        <f t="shared" si="5"/>
        <v>0</v>
      </c>
      <c r="BH48" s="76">
        <f t="shared" si="6"/>
        <v>0</v>
      </c>
      <c r="BI48" s="76">
        <f t="shared" si="7"/>
        <v>0</v>
      </c>
      <c r="BJ48" s="76">
        <f t="shared" si="8"/>
        <v>0</v>
      </c>
      <c r="BK48" s="302"/>
      <c r="BL48" s="354"/>
    </row>
    <row r="49" spans="2:64" s="320" customFormat="1" ht="12.75">
      <c r="B49" s="353"/>
      <c r="C49" s="302"/>
      <c r="D49" s="302">
        <v>36</v>
      </c>
      <c r="E49" s="186"/>
      <c r="F49" s="187"/>
      <c r="G49" s="326"/>
      <c r="H49" s="187">
        <v>0</v>
      </c>
      <c r="I49" s="207">
        <f t="shared" si="9"/>
        <v>0</v>
      </c>
      <c r="J49" s="207">
        <f t="shared" si="9"/>
        <v>0</v>
      </c>
      <c r="K49" s="207">
        <f t="shared" si="9"/>
        <v>0</v>
      </c>
      <c r="L49" s="207">
        <f t="shared" si="9"/>
        <v>0</v>
      </c>
      <c r="M49" s="302"/>
      <c r="N49" s="302"/>
      <c r="O49" s="302">
        <v>36</v>
      </c>
      <c r="P49" s="364">
        <v>0</v>
      </c>
      <c r="Q49" s="365">
        <f t="shared" si="10"/>
        <v>0</v>
      </c>
      <c r="R49" s="365">
        <f t="shared" si="10"/>
        <v>0</v>
      </c>
      <c r="S49" s="365">
        <f t="shared" si="10"/>
        <v>0</v>
      </c>
      <c r="T49" s="365">
        <f t="shared" si="10"/>
        <v>0</v>
      </c>
      <c r="U49" s="302"/>
      <c r="V49" s="302"/>
      <c r="W49" s="302">
        <v>36</v>
      </c>
      <c r="X49" s="73">
        <v>0</v>
      </c>
      <c r="Y49" s="365">
        <f t="shared" si="11"/>
        <v>0</v>
      </c>
      <c r="Z49" s="365">
        <f t="shared" si="11"/>
        <v>0</v>
      </c>
      <c r="AA49" s="365">
        <f t="shared" si="11"/>
        <v>0</v>
      </c>
      <c r="AB49" s="365">
        <f t="shared" si="11"/>
        <v>0</v>
      </c>
      <c r="AC49" s="302"/>
      <c r="AD49" s="302"/>
      <c r="AE49" s="302">
        <v>36</v>
      </c>
      <c r="AF49" s="73">
        <v>0</v>
      </c>
      <c r="AG49" s="365">
        <f t="shared" si="12"/>
        <v>0</v>
      </c>
      <c r="AH49" s="365">
        <f t="shared" si="12"/>
        <v>0</v>
      </c>
      <c r="AI49" s="365">
        <f t="shared" si="12"/>
        <v>0</v>
      </c>
      <c r="AJ49" s="365">
        <f t="shared" si="12"/>
        <v>0</v>
      </c>
      <c r="AK49" s="326"/>
      <c r="AL49" s="356"/>
      <c r="AM49" s="362"/>
      <c r="AN49" s="302"/>
      <c r="AO49" s="302">
        <v>36</v>
      </c>
      <c r="AP49" s="76">
        <f>ROUND(H49*tab!G$55,0)</f>
        <v>0</v>
      </c>
      <c r="AQ49" s="76">
        <f>ROUND(I49*tab!I$55,0)</f>
        <v>0</v>
      </c>
      <c r="AR49" s="76">
        <f>ROUND(J49*tab!K$55,0)</f>
        <v>0</v>
      </c>
      <c r="AS49" s="76">
        <f>ROUND(K49*tab!M$55,0)</f>
        <v>0</v>
      </c>
      <c r="AT49" s="76">
        <f>ROUND(L49*tab!O$55,0)</f>
        <v>0</v>
      </c>
      <c r="AU49" s="302"/>
      <c r="AV49" s="302"/>
      <c r="AW49" s="302">
        <v>36</v>
      </c>
      <c r="AX49" s="76">
        <f>+H49*tab!F$56</f>
        <v>0</v>
      </c>
      <c r="AY49" s="76">
        <f>+I49*tab!H$56</f>
        <v>0</v>
      </c>
      <c r="AZ49" s="76">
        <f>+J49*tab!J$56</f>
        <v>0</v>
      </c>
      <c r="BA49" s="76">
        <f>+K49*tab!L$56</f>
        <v>0</v>
      </c>
      <c r="BB49" s="76">
        <f>+L49*tab!N$56</f>
        <v>0</v>
      </c>
      <c r="BC49" s="302"/>
      <c r="BD49" s="302"/>
      <c r="BE49" s="302">
        <v>36</v>
      </c>
      <c r="BF49" s="76">
        <f t="shared" si="4"/>
        <v>0</v>
      </c>
      <c r="BG49" s="76">
        <f t="shared" si="5"/>
        <v>0</v>
      </c>
      <c r="BH49" s="76">
        <f t="shared" si="6"/>
        <v>0</v>
      </c>
      <c r="BI49" s="76">
        <f t="shared" si="7"/>
        <v>0</v>
      </c>
      <c r="BJ49" s="76">
        <f t="shared" si="8"/>
        <v>0</v>
      </c>
      <c r="BK49" s="302"/>
      <c r="BL49" s="354"/>
    </row>
    <row r="50" spans="2:64" s="320" customFormat="1" ht="12.75">
      <c r="B50" s="353"/>
      <c r="C50" s="302"/>
      <c r="D50" s="302">
        <v>37</v>
      </c>
      <c r="E50" s="186"/>
      <c r="F50" s="187"/>
      <c r="G50" s="326"/>
      <c r="H50" s="187">
        <v>0</v>
      </c>
      <c r="I50" s="207">
        <f t="shared" si="9"/>
        <v>0</v>
      </c>
      <c r="J50" s="207">
        <f t="shared" si="9"/>
        <v>0</v>
      </c>
      <c r="K50" s="207">
        <f t="shared" si="9"/>
        <v>0</v>
      </c>
      <c r="L50" s="207">
        <f t="shared" si="9"/>
        <v>0</v>
      </c>
      <c r="M50" s="302"/>
      <c r="N50" s="302"/>
      <c r="O50" s="302">
        <v>37</v>
      </c>
      <c r="P50" s="364">
        <v>0</v>
      </c>
      <c r="Q50" s="365">
        <f t="shared" si="10"/>
        <v>0</v>
      </c>
      <c r="R50" s="365">
        <f t="shared" si="10"/>
        <v>0</v>
      </c>
      <c r="S50" s="365">
        <f t="shared" si="10"/>
        <v>0</v>
      </c>
      <c r="T50" s="365">
        <f t="shared" si="10"/>
        <v>0</v>
      </c>
      <c r="U50" s="302"/>
      <c r="V50" s="302"/>
      <c r="W50" s="302">
        <v>37</v>
      </c>
      <c r="X50" s="73">
        <v>0</v>
      </c>
      <c r="Y50" s="365">
        <f t="shared" si="11"/>
        <v>0</v>
      </c>
      <c r="Z50" s="365">
        <f t="shared" si="11"/>
        <v>0</v>
      </c>
      <c r="AA50" s="365">
        <f t="shared" si="11"/>
        <v>0</v>
      </c>
      <c r="AB50" s="365">
        <f t="shared" si="11"/>
        <v>0</v>
      </c>
      <c r="AC50" s="302"/>
      <c r="AD50" s="302"/>
      <c r="AE50" s="302">
        <v>37</v>
      </c>
      <c r="AF50" s="73">
        <v>0</v>
      </c>
      <c r="AG50" s="365">
        <f t="shared" si="12"/>
        <v>0</v>
      </c>
      <c r="AH50" s="365">
        <f t="shared" si="12"/>
        <v>0</v>
      </c>
      <c r="AI50" s="365">
        <f t="shared" si="12"/>
        <v>0</v>
      </c>
      <c r="AJ50" s="365">
        <f t="shared" si="12"/>
        <v>0</v>
      </c>
      <c r="AK50" s="326"/>
      <c r="AL50" s="356"/>
      <c r="AM50" s="362"/>
      <c r="AN50" s="302"/>
      <c r="AO50" s="302">
        <v>37</v>
      </c>
      <c r="AP50" s="76">
        <f>ROUND(H50*tab!G$55,0)</f>
        <v>0</v>
      </c>
      <c r="AQ50" s="76">
        <f>ROUND(I50*tab!I$55,0)</f>
        <v>0</v>
      </c>
      <c r="AR50" s="76">
        <f>ROUND(J50*tab!K$55,0)</f>
        <v>0</v>
      </c>
      <c r="AS50" s="76">
        <f>ROUND(K50*tab!M$55,0)</f>
        <v>0</v>
      </c>
      <c r="AT50" s="76">
        <f>ROUND(L50*tab!O$55,0)</f>
        <v>0</v>
      </c>
      <c r="AU50" s="302"/>
      <c r="AV50" s="302"/>
      <c r="AW50" s="302">
        <v>37</v>
      </c>
      <c r="AX50" s="76">
        <f>+H50*tab!F$56</f>
        <v>0</v>
      </c>
      <c r="AY50" s="76">
        <f>+I50*tab!H$56</f>
        <v>0</v>
      </c>
      <c r="AZ50" s="76">
        <f>+J50*tab!J$56</f>
        <v>0</v>
      </c>
      <c r="BA50" s="76">
        <f>+K50*tab!L$56</f>
        <v>0</v>
      </c>
      <c r="BB50" s="76">
        <f>+L50*tab!N$56</f>
        <v>0</v>
      </c>
      <c r="BC50" s="302"/>
      <c r="BD50" s="302"/>
      <c r="BE50" s="302">
        <v>37</v>
      </c>
      <c r="BF50" s="76">
        <f t="shared" si="4"/>
        <v>0</v>
      </c>
      <c r="BG50" s="76">
        <f t="shared" si="5"/>
        <v>0</v>
      </c>
      <c r="BH50" s="76">
        <f t="shared" si="6"/>
        <v>0</v>
      </c>
      <c r="BI50" s="76">
        <f t="shared" si="7"/>
        <v>0</v>
      </c>
      <c r="BJ50" s="76">
        <f t="shared" si="8"/>
        <v>0</v>
      </c>
      <c r="BK50" s="302"/>
      <c r="BL50" s="354"/>
    </row>
    <row r="51" spans="2:64" s="320" customFormat="1" ht="12.75">
      <c r="B51" s="353"/>
      <c r="C51" s="302"/>
      <c r="D51" s="302">
        <v>38</v>
      </c>
      <c r="E51" s="186"/>
      <c r="F51" s="187"/>
      <c r="G51" s="326"/>
      <c r="H51" s="187">
        <v>0</v>
      </c>
      <c r="I51" s="207">
        <f t="shared" si="9"/>
        <v>0</v>
      </c>
      <c r="J51" s="207">
        <f t="shared" si="9"/>
        <v>0</v>
      </c>
      <c r="K51" s="207">
        <f t="shared" si="9"/>
        <v>0</v>
      </c>
      <c r="L51" s="207">
        <f t="shared" si="9"/>
        <v>0</v>
      </c>
      <c r="M51" s="302"/>
      <c r="N51" s="302"/>
      <c r="O51" s="302">
        <v>38</v>
      </c>
      <c r="P51" s="364">
        <v>0</v>
      </c>
      <c r="Q51" s="365">
        <f t="shared" si="10"/>
        <v>0</v>
      </c>
      <c r="R51" s="365">
        <f t="shared" si="10"/>
        <v>0</v>
      </c>
      <c r="S51" s="365">
        <f t="shared" si="10"/>
        <v>0</v>
      </c>
      <c r="T51" s="365">
        <f t="shared" si="10"/>
        <v>0</v>
      </c>
      <c r="U51" s="302"/>
      <c r="V51" s="302"/>
      <c r="W51" s="302">
        <v>38</v>
      </c>
      <c r="X51" s="73">
        <v>0</v>
      </c>
      <c r="Y51" s="365">
        <f t="shared" si="11"/>
        <v>0</v>
      </c>
      <c r="Z51" s="365">
        <f t="shared" si="11"/>
        <v>0</v>
      </c>
      <c r="AA51" s="365">
        <f t="shared" si="11"/>
        <v>0</v>
      </c>
      <c r="AB51" s="365">
        <f t="shared" si="11"/>
        <v>0</v>
      </c>
      <c r="AC51" s="302"/>
      <c r="AD51" s="302"/>
      <c r="AE51" s="302">
        <v>38</v>
      </c>
      <c r="AF51" s="73">
        <v>0</v>
      </c>
      <c r="AG51" s="365">
        <f t="shared" si="12"/>
        <v>0</v>
      </c>
      <c r="AH51" s="365">
        <f t="shared" si="12"/>
        <v>0</v>
      </c>
      <c r="AI51" s="365">
        <f t="shared" si="12"/>
        <v>0</v>
      </c>
      <c r="AJ51" s="365">
        <f t="shared" si="12"/>
        <v>0</v>
      </c>
      <c r="AK51" s="326"/>
      <c r="AL51" s="356"/>
      <c r="AM51" s="362"/>
      <c r="AN51" s="302"/>
      <c r="AO51" s="302">
        <v>38</v>
      </c>
      <c r="AP51" s="76">
        <f>ROUND(H51*tab!G$55,0)</f>
        <v>0</v>
      </c>
      <c r="AQ51" s="76">
        <f>ROUND(I51*tab!I$55,0)</f>
        <v>0</v>
      </c>
      <c r="AR51" s="76">
        <f>ROUND(J51*tab!K$55,0)</f>
        <v>0</v>
      </c>
      <c r="AS51" s="76">
        <f>ROUND(K51*tab!M$55,0)</f>
        <v>0</v>
      </c>
      <c r="AT51" s="76">
        <f>ROUND(L51*tab!O$55,0)</f>
        <v>0</v>
      </c>
      <c r="AU51" s="302"/>
      <c r="AV51" s="302"/>
      <c r="AW51" s="302">
        <v>38</v>
      </c>
      <c r="AX51" s="76">
        <f>+H51*tab!F$56</f>
        <v>0</v>
      </c>
      <c r="AY51" s="76">
        <f>+I51*tab!H$56</f>
        <v>0</v>
      </c>
      <c r="AZ51" s="76">
        <f>+J51*tab!J$56</f>
        <v>0</v>
      </c>
      <c r="BA51" s="76">
        <f>+K51*tab!L$56</f>
        <v>0</v>
      </c>
      <c r="BB51" s="76">
        <f>+L51*tab!N$56</f>
        <v>0</v>
      </c>
      <c r="BC51" s="302"/>
      <c r="BD51" s="302"/>
      <c r="BE51" s="302">
        <v>38</v>
      </c>
      <c r="BF51" s="76">
        <f t="shared" si="4"/>
        <v>0</v>
      </c>
      <c r="BG51" s="76">
        <f t="shared" si="5"/>
        <v>0</v>
      </c>
      <c r="BH51" s="76">
        <f t="shared" si="6"/>
        <v>0</v>
      </c>
      <c r="BI51" s="76">
        <f t="shared" si="7"/>
        <v>0</v>
      </c>
      <c r="BJ51" s="76">
        <f t="shared" si="8"/>
        <v>0</v>
      </c>
      <c r="BK51" s="302"/>
      <c r="BL51" s="354"/>
    </row>
    <row r="52" spans="2:64" s="320" customFormat="1" ht="12.75">
      <c r="B52" s="353"/>
      <c r="C52" s="302"/>
      <c r="D52" s="302">
        <v>39</v>
      </c>
      <c r="E52" s="186"/>
      <c r="F52" s="187"/>
      <c r="G52" s="326"/>
      <c r="H52" s="187">
        <v>0</v>
      </c>
      <c r="I52" s="207">
        <f t="shared" si="9"/>
        <v>0</v>
      </c>
      <c r="J52" s="207">
        <f t="shared" si="9"/>
        <v>0</v>
      </c>
      <c r="K52" s="207">
        <f t="shared" si="9"/>
        <v>0</v>
      </c>
      <c r="L52" s="207">
        <f t="shared" si="9"/>
        <v>0</v>
      </c>
      <c r="M52" s="302"/>
      <c r="N52" s="302"/>
      <c r="O52" s="302">
        <v>39</v>
      </c>
      <c r="P52" s="364">
        <v>0</v>
      </c>
      <c r="Q52" s="365">
        <f t="shared" si="10"/>
        <v>0</v>
      </c>
      <c r="R52" s="365">
        <f t="shared" si="10"/>
        <v>0</v>
      </c>
      <c r="S52" s="365">
        <f t="shared" si="10"/>
        <v>0</v>
      </c>
      <c r="T52" s="365">
        <f t="shared" si="10"/>
        <v>0</v>
      </c>
      <c r="U52" s="302"/>
      <c r="V52" s="302"/>
      <c r="W52" s="302">
        <v>39</v>
      </c>
      <c r="X52" s="73">
        <v>0</v>
      </c>
      <c r="Y52" s="365">
        <f t="shared" si="11"/>
        <v>0</v>
      </c>
      <c r="Z52" s="365">
        <f t="shared" si="11"/>
        <v>0</v>
      </c>
      <c r="AA52" s="365">
        <f t="shared" si="11"/>
        <v>0</v>
      </c>
      <c r="AB52" s="365">
        <f t="shared" si="11"/>
        <v>0</v>
      </c>
      <c r="AC52" s="302"/>
      <c r="AD52" s="302"/>
      <c r="AE52" s="302">
        <v>39</v>
      </c>
      <c r="AF52" s="73">
        <v>0</v>
      </c>
      <c r="AG52" s="365">
        <f t="shared" si="12"/>
        <v>0</v>
      </c>
      <c r="AH52" s="365">
        <f t="shared" si="12"/>
        <v>0</v>
      </c>
      <c r="AI52" s="365">
        <f t="shared" si="12"/>
        <v>0</v>
      </c>
      <c r="AJ52" s="365">
        <f t="shared" si="12"/>
        <v>0</v>
      </c>
      <c r="AK52" s="326"/>
      <c r="AL52" s="356"/>
      <c r="AM52" s="362"/>
      <c r="AN52" s="302"/>
      <c r="AO52" s="302">
        <v>39</v>
      </c>
      <c r="AP52" s="76">
        <f>ROUND(H52*tab!G$55,0)</f>
        <v>0</v>
      </c>
      <c r="AQ52" s="76">
        <f>ROUND(I52*tab!I$55,0)</f>
        <v>0</v>
      </c>
      <c r="AR52" s="76">
        <f>ROUND(J52*tab!K$55,0)</f>
        <v>0</v>
      </c>
      <c r="AS52" s="76">
        <f>ROUND(K52*tab!M$55,0)</f>
        <v>0</v>
      </c>
      <c r="AT52" s="76">
        <f>ROUND(L52*tab!O$55,0)</f>
        <v>0</v>
      </c>
      <c r="AU52" s="302"/>
      <c r="AV52" s="302"/>
      <c r="AW52" s="302">
        <v>39</v>
      </c>
      <c r="AX52" s="76">
        <f>+H52*tab!F$56</f>
        <v>0</v>
      </c>
      <c r="AY52" s="76">
        <f>+I52*tab!H$56</f>
        <v>0</v>
      </c>
      <c r="AZ52" s="76">
        <f>+J52*tab!J$56</f>
        <v>0</v>
      </c>
      <c r="BA52" s="76">
        <f>+K52*tab!L$56</f>
        <v>0</v>
      </c>
      <c r="BB52" s="76">
        <f>+L52*tab!N$56</f>
        <v>0</v>
      </c>
      <c r="BC52" s="302"/>
      <c r="BD52" s="302"/>
      <c r="BE52" s="302">
        <v>39</v>
      </c>
      <c r="BF52" s="76">
        <f t="shared" si="4"/>
        <v>0</v>
      </c>
      <c r="BG52" s="76">
        <f t="shared" si="5"/>
        <v>0</v>
      </c>
      <c r="BH52" s="76">
        <f t="shared" si="6"/>
        <v>0</v>
      </c>
      <c r="BI52" s="76">
        <f t="shared" si="7"/>
        <v>0</v>
      </c>
      <c r="BJ52" s="76">
        <f t="shared" si="8"/>
        <v>0</v>
      </c>
      <c r="BK52" s="302"/>
      <c r="BL52" s="354"/>
    </row>
    <row r="53" spans="2:64" s="320" customFormat="1" ht="12.75">
      <c r="B53" s="353"/>
      <c r="C53" s="302"/>
      <c r="D53" s="302">
        <v>40</v>
      </c>
      <c r="E53" s="186"/>
      <c r="F53" s="187"/>
      <c r="G53" s="326"/>
      <c r="H53" s="187">
        <v>0</v>
      </c>
      <c r="I53" s="207">
        <f t="shared" si="9"/>
        <v>0</v>
      </c>
      <c r="J53" s="207">
        <f t="shared" si="9"/>
        <v>0</v>
      </c>
      <c r="K53" s="207">
        <f t="shared" si="9"/>
        <v>0</v>
      </c>
      <c r="L53" s="207">
        <f t="shared" si="9"/>
        <v>0</v>
      </c>
      <c r="M53" s="302"/>
      <c r="N53" s="302"/>
      <c r="O53" s="302">
        <v>40</v>
      </c>
      <c r="P53" s="364">
        <v>0</v>
      </c>
      <c r="Q53" s="365">
        <f t="shared" si="10"/>
        <v>0</v>
      </c>
      <c r="R53" s="365">
        <f t="shared" si="10"/>
        <v>0</v>
      </c>
      <c r="S53" s="365">
        <f t="shared" si="10"/>
        <v>0</v>
      </c>
      <c r="T53" s="365">
        <f t="shared" si="10"/>
        <v>0</v>
      </c>
      <c r="U53" s="302"/>
      <c r="V53" s="302"/>
      <c r="W53" s="302">
        <v>40</v>
      </c>
      <c r="X53" s="73">
        <v>0</v>
      </c>
      <c r="Y53" s="365">
        <f t="shared" si="11"/>
        <v>0</v>
      </c>
      <c r="Z53" s="365">
        <f t="shared" si="11"/>
        <v>0</v>
      </c>
      <c r="AA53" s="365">
        <f t="shared" si="11"/>
        <v>0</v>
      </c>
      <c r="AB53" s="365">
        <f t="shared" si="11"/>
        <v>0</v>
      </c>
      <c r="AC53" s="302"/>
      <c r="AD53" s="302"/>
      <c r="AE53" s="302">
        <v>40</v>
      </c>
      <c r="AF53" s="73">
        <v>0</v>
      </c>
      <c r="AG53" s="365">
        <f t="shared" si="12"/>
        <v>0</v>
      </c>
      <c r="AH53" s="365">
        <f t="shared" si="12"/>
        <v>0</v>
      </c>
      <c r="AI53" s="365">
        <f t="shared" si="12"/>
        <v>0</v>
      </c>
      <c r="AJ53" s="365">
        <f t="shared" si="12"/>
        <v>0</v>
      </c>
      <c r="AK53" s="326"/>
      <c r="AL53" s="356"/>
      <c r="AM53" s="362"/>
      <c r="AN53" s="302"/>
      <c r="AO53" s="302">
        <v>40</v>
      </c>
      <c r="AP53" s="76">
        <f>ROUND(H53*tab!G$55,0)</f>
        <v>0</v>
      </c>
      <c r="AQ53" s="76">
        <f>ROUND(I53*tab!I$55,0)</f>
        <v>0</v>
      </c>
      <c r="AR53" s="76">
        <f>ROUND(J53*tab!K$55,0)</f>
        <v>0</v>
      </c>
      <c r="AS53" s="76">
        <f>ROUND(K53*tab!M$55,0)</f>
        <v>0</v>
      </c>
      <c r="AT53" s="76">
        <f>ROUND(L53*tab!O$55,0)</f>
        <v>0</v>
      </c>
      <c r="AU53" s="302"/>
      <c r="AV53" s="302"/>
      <c r="AW53" s="302">
        <v>40</v>
      </c>
      <c r="AX53" s="76">
        <f>+H53*tab!F$56</f>
        <v>0</v>
      </c>
      <c r="AY53" s="76">
        <f>+I53*tab!H$56</f>
        <v>0</v>
      </c>
      <c r="AZ53" s="76">
        <f>+J53*tab!J$56</f>
        <v>0</v>
      </c>
      <c r="BA53" s="76">
        <f>+K53*tab!L$56</f>
        <v>0</v>
      </c>
      <c r="BB53" s="76">
        <f>+L53*tab!N$56</f>
        <v>0</v>
      </c>
      <c r="BC53" s="302"/>
      <c r="BD53" s="302"/>
      <c r="BE53" s="302">
        <v>40</v>
      </c>
      <c r="BF53" s="76">
        <f t="shared" si="4"/>
        <v>0</v>
      </c>
      <c r="BG53" s="76">
        <f t="shared" si="5"/>
        <v>0</v>
      </c>
      <c r="BH53" s="76">
        <f t="shared" si="6"/>
        <v>0</v>
      </c>
      <c r="BI53" s="76">
        <f t="shared" si="7"/>
        <v>0</v>
      </c>
      <c r="BJ53" s="76">
        <f t="shared" si="8"/>
        <v>0</v>
      </c>
      <c r="BK53" s="302"/>
      <c r="BL53" s="354"/>
    </row>
    <row r="54" spans="2:64" s="320" customFormat="1" ht="12.75">
      <c r="B54" s="353"/>
      <c r="C54" s="302"/>
      <c r="D54" s="302">
        <v>41</v>
      </c>
      <c r="E54" s="186"/>
      <c r="F54" s="187"/>
      <c r="G54" s="326"/>
      <c r="H54" s="187">
        <v>0</v>
      </c>
      <c r="I54" s="207">
        <f aca="true" t="shared" si="13" ref="I54:L64">H54</f>
        <v>0</v>
      </c>
      <c r="J54" s="207">
        <f t="shared" si="13"/>
        <v>0</v>
      </c>
      <c r="K54" s="207">
        <f t="shared" si="13"/>
        <v>0</v>
      </c>
      <c r="L54" s="207">
        <f t="shared" si="13"/>
        <v>0</v>
      </c>
      <c r="M54" s="302"/>
      <c r="N54" s="302"/>
      <c r="O54" s="302">
        <v>41</v>
      </c>
      <c r="P54" s="364">
        <v>0</v>
      </c>
      <c r="Q54" s="365">
        <f aca="true" t="shared" si="14" ref="Q54:T64">P54</f>
        <v>0</v>
      </c>
      <c r="R54" s="365">
        <f t="shared" si="14"/>
        <v>0</v>
      </c>
      <c r="S54" s="365">
        <f t="shared" si="14"/>
        <v>0</v>
      </c>
      <c r="T54" s="365">
        <f t="shared" si="14"/>
        <v>0</v>
      </c>
      <c r="U54" s="302"/>
      <c r="V54" s="302"/>
      <c r="W54" s="302">
        <v>41</v>
      </c>
      <c r="X54" s="73">
        <v>0</v>
      </c>
      <c r="Y54" s="365">
        <f aca="true" t="shared" si="15" ref="Y54:AB64">X54</f>
        <v>0</v>
      </c>
      <c r="Z54" s="365">
        <f t="shared" si="15"/>
        <v>0</v>
      </c>
      <c r="AA54" s="365">
        <f t="shared" si="15"/>
        <v>0</v>
      </c>
      <c r="AB54" s="365">
        <f t="shared" si="15"/>
        <v>0</v>
      </c>
      <c r="AC54" s="302"/>
      <c r="AD54" s="302"/>
      <c r="AE54" s="302">
        <v>41</v>
      </c>
      <c r="AF54" s="73">
        <v>0</v>
      </c>
      <c r="AG54" s="365">
        <f aca="true" t="shared" si="16" ref="AG54:AJ64">AF54</f>
        <v>0</v>
      </c>
      <c r="AH54" s="365">
        <f t="shared" si="16"/>
        <v>0</v>
      </c>
      <c r="AI54" s="365">
        <f t="shared" si="16"/>
        <v>0</v>
      </c>
      <c r="AJ54" s="365">
        <f t="shared" si="16"/>
        <v>0</v>
      </c>
      <c r="AK54" s="326"/>
      <c r="AL54" s="356"/>
      <c r="AM54" s="362"/>
      <c r="AN54" s="302"/>
      <c r="AO54" s="302">
        <v>41</v>
      </c>
      <c r="AP54" s="76">
        <f>ROUND(H54*tab!G$55,0)</f>
        <v>0</v>
      </c>
      <c r="AQ54" s="76">
        <f>ROUND(I54*tab!I$55,0)</f>
        <v>0</v>
      </c>
      <c r="AR54" s="76">
        <f>ROUND(J54*tab!K$55,0)</f>
        <v>0</v>
      </c>
      <c r="AS54" s="76">
        <f>ROUND(K54*tab!M$55,0)</f>
        <v>0</v>
      </c>
      <c r="AT54" s="76">
        <f>ROUND(L54*tab!O$55,0)</f>
        <v>0</v>
      </c>
      <c r="AU54" s="302"/>
      <c r="AV54" s="302"/>
      <c r="AW54" s="302">
        <v>41</v>
      </c>
      <c r="AX54" s="76">
        <f>+H54*tab!F$56</f>
        <v>0</v>
      </c>
      <c r="AY54" s="76">
        <f>+I54*tab!H$56</f>
        <v>0</v>
      </c>
      <c r="AZ54" s="76">
        <f>+J54*tab!J$56</f>
        <v>0</v>
      </c>
      <c r="BA54" s="76">
        <f>+K54*tab!L$56</f>
        <v>0</v>
      </c>
      <c r="BB54" s="76">
        <f>+L54*tab!N$56</f>
        <v>0</v>
      </c>
      <c r="BC54" s="302"/>
      <c r="BD54" s="302"/>
      <c r="BE54" s="302">
        <v>41</v>
      </c>
      <c r="BF54" s="76">
        <f t="shared" si="4"/>
        <v>0</v>
      </c>
      <c r="BG54" s="76">
        <f t="shared" si="5"/>
        <v>0</v>
      </c>
      <c r="BH54" s="76">
        <f t="shared" si="6"/>
        <v>0</v>
      </c>
      <c r="BI54" s="76">
        <f t="shared" si="7"/>
        <v>0</v>
      </c>
      <c r="BJ54" s="76">
        <f t="shared" si="8"/>
        <v>0</v>
      </c>
      <c r="BK54" s="302"/>
      <c r="BL54" s="354"/>
    </row>
    <row r="55" spans="2:64" s="320" customFormat="1" ht="12.75">
      <c r="B55" s="353"/>
      <c r="C55" s="302"/>
      <c r="D55" s="302">
        <v>42</v>
      </c>
      <c r="E55" s="186"/>
      <c r="F55" s="187"/>
      <c r="G55" s="326"/>
      <c r="H55" s="187">
        <v>0</v>
      </c>
      <c r="I55" s="207">
        <f t="shared" si="13"/>
        <v>0</v>
      </c>
      <c r="J55" s="207">
        <f t="shared" si="13"/>
        <v>0</v>
      </c>
      <c r="K55" s="207">
        <f t="shared" si="13"/>
        <v>0</v>
      </c>
      <c r="L55" s="207">
        <f t="shared" si="13"/>
        <v>0</v>
      </c>
      <c r="M55" s="302"/>
      <c r="N55" s="302"/>
      <c r="O55" s="302">
        <v>42</v>
      </c>
      <c r="P55" s="364">
        <v>0</v>
      </c>
      <c r="Q55" s="365">
        <f t="shared" si="14"/>
        <v>0</v>
      </c>
      <c r="R55" s="365">
        <f t="shared" si="14"/>
        <v>0</v>
      </c>
      <c r="S55" s="365">
        <f t="shared" si="14"/>
        <v>0</v>
      </c>
      <c r="T55" s="365">
        <f t="shared" si="14"/>
        <v>0</v>
      </c>
      <c r="U55" s="302"/>
      <c r="V55" s="302"/>
      <c r="W55" s="302">
        <v>42</v>
      </c>
      <c r="X55" s="73">
        <v>0</v>
      </c>
      <c r="Y55" s="365">
        <f t="shared" si="15"/>
        <v>0</v>
      </c>
      <c r="Z55" s="365">
        <f t="shared" si="15"/>
        <v>0</v>
      </c>
      <c r="AA55" s="365">
        <f t="shared" si="15"/>
        <v>0</v>
      </c>
      <c r="AB55" s="365">
        <f t="shared" si="15"/>
        <v>0</v>
      </c>
      <c r="AC55" s="302"/>
      <c r="AD55" s="302"/>
      <c r="AE55" s="302">
        <v>42</v>
      </c>
      <c r="AF55" s="73">
        <v>0</v>
      </c>
      <c r="AG55" s="365">
        <f t="shared" si="16"/>
        <v>0</v>
      </c>
      <c r="AH55" s="365">
        <f t="shared" si="16"/>
        <v>0</v>
      </c>
      <c r="AI55" s="365">
        <f t="shared" si="16"/>
        <v>0</v>
      </c>
      <c r="AJ55" s="365">
        <f t="shared" si="16"/>
        <v>0</v>
      </c>
      <c r="AK55" s="326"/>
      <c r="AL55" s="356"/>
      <c r="AM55" s="362"/>
      <c r="AN55" s="302"/>
      <c r="AO55" s="302">
        <v>42</v>
      </c>
      <c r="AP55" s="76">
        <f>ROUND(H55*tab!G$55,0)</f>
        <v>0</v>
      </c>
      <c r="AQ55" s="76">
        <f>ROUND(I55*tab!I$55,0)</f>
        <v>0</v>
      </c>
      <c r="AR55" s="76">
        <f>ROUND(J55*tab!K$55,0)</f>
        <v>0</v>
      </c>
      <c r="AS55" s="76">
        <f>ROUND(K55*tab!M$55,0)</f>
        <v>0</v>
      </c>
      <c r="AT55" s="76">
        <f>ROUND(L55*tab!O$55,0)</f>
        <v>0</v>
      </c>
      <c r="AU55" s="302"/>
      <c r="AV55" s="302"/>
      <c r="AW55" s="302">
        <v>42</v>
      </c>
      <c r="AX55" s="76">
        <f>+H55*tab!F$56</f>
        <v>0</v>
      </c>
      <c r="AY55" s="76">
        <f>+I55*tab!H$56</f>
        <v>0</v>
      </c>
      <c r="AZ55" s="76">
        <f>+J55*tab!J$56</f>
        <v>0</v>
      </c>
      <c r="BA55" s="76">
        <f>+K55*tab!L$56</f>
        <v>0</v>
      </c>
      <c r="BB55" s="76">
        <f>+L55*tab!N$56</f>
        <v>0</v>
      </c>
      <c r="BC55" s="302"/>
      <c r="BD55" s="302"/>
      <c r="BE55" s="302">
        <v>42</v>
      </c>
      <c r="BF55" s="76">
        <f t="shared" si="4"/>
        <v>0</v>
      </c>
      <c r="BG55" s="76">
        <f t="shared" si="5"/>
        <v>0</v>
      </c>
      <c r="BH55" s="76">
        <f t="shared" si="6"/>
        <v>0</v>
      </c>
      <c r="BI55" s="76">
        <f t="shared" si="7"/>
        <v>0</v>
      </c>
      <c r="BJ55" s="76">
        <f t="shared" si="8"/>
        <v>0</v>
      </c>
      <c r="BK55" s="302"/>
      <c r="BL55" s="354"/>
    </row>
    <row r="56" spans="2:64" s="320" customFormat="1" ht="12.75">
      <c r="B56" s="353"/>
      <c r="C56" s="302"/>
      <c r="D56" s="302">
        <v>43</v>
      </c>
      <c r="E56" s="186"/>
      <c r="F56" s="187"/>
      <c r="G56" s="326"/>
      <c r="H56" s="187">
        <v>0</v>
      </c>
      <c r="I56" s="207">
        <f t="shared" si="13"/>
        <v>0</v>
      </c>
      <c r="J56" s="207">
        <f t="shared" si="13"/>
        <v>0</v>
      </c>
      <c r="K56" s="207">
        <f t="shared" si="13"/>
        <v>0</v>
      </c>
      <c r="L56" s="207">
        <f t="shared" si="13"/>
        <v>0</v>
      </c>
      <c r="M56" s="302"/>
      <c r="N56" s="302"/>
      <c r="O56" s="302">
        <v>43</v>
      </c>
      <c r="P56" s="364">
        <v>0</v>
      </c>
      <c r="Q56" s="365">
        <f t="shared" si="14"/>
        <v>0</v>
      </c>
      <c r="R56" s="365">
        <f t="shared" si="14"/>
        <v>0</v>
      </c>
      <c r="S56" s="365">
        <f t="shared" si="14"/>
        <v>0</v>
      </c>
      <c r="T56" s="365">
        <f t="shared" si="14"/>
        <v>0</v>
      </c>
      <c r="U56" s="302"/>
      <c r="V56" s="302"/>
      <c r="W56" s="302">
        <v>43</v>
      </c>
      <c r="X56" s="73">
        <v>0</v>
      </c>
      <c r="Y56" s="365">
        <f t="shared" si="15"/>
        <v>0</v>
      </c>
      <c r="Z56" s="365">
        <f t="shared" si="15"/>
        <v>0</v>
      </c>
      <c r="AA56" s="365">
        <f t="shared" si="15"/>
        <v>0</v>
      </c>
      <c r="AB56" s="365">
        <f t="shared" si="15"/>
        <v>0</v>
      </c>
      <c r="AC56" s="302"/>
      <c r="AD56" s="302"/>
      <c r="AE56" s="302">
        <v>43</v>
      </c>
      <c r="AF56" s="73">
        <v>0</v>
      </c>
      <c r="AG56" s="365">
        <f t="shared" si="16"/>
        <v>0</v>
      </c>
      <c r="AH56" s="365">
        <f t="shared" si="16"/>
        <v>0</v>
      </c>
      <c r="AI56" s="365">
        <f t="shared" si="16"/>
        <v>0</v>
      </c>
      <c r="AJ56" s="365">
        <f t="shared" si="16"/>
        <v>0</v>
      </c>
      <c r="AK56" s="326"/>
      <c r="AL56" s="356"/>
      <c r="AM56" s="362"/>
      <c r="AN56" s="302"/>
      <c r="AO56" s="302">
        <v>43</v>
      </c>
      <c r="AP56" s="76">
        <f>ROUND(H56*tab!G$55,0)</f>
        <v>0</v>
      </c>
      <c r="AQ56" s="76">
        <f>ROUND(I56*tab!I$55,0)</f>
        <v>0</v>
      </c>
      <c r="AR56" s="76">
        <f>ROUND(J56*tab!K$55,0)</f>
        <v>0</v>
      </c>
      <c r="AS56" s="76">
        <f>ROUND(K56*tab!M$55,0)</f>
        <v>0</v>
      </c>
      <c r="AT56" s="76">
        <f>ROUND(L56*tab!O$55,0)</f>
        <v>0</v>
      </c>
      <c r="AU56" s="302"/>
      <c r="AV56" s="302"/>
      <c r="AW56" s="302">
        <v>43</v>
      </c>
      <c r="AX56" s="76">
        <f>+H56*tab!F$56</f>
        <v>0</v>
      </c>
      <c r="AY56" s="76">
        <f>+I56*tab!H$56</f>
        <v>0</v>
      </c>
      <c r="AZ56" s="76">
        <f>+J56*tab!J$56</f>
        <v>0</v>
      </c>
      <c r="BA56" s="76">
        <f>+K56*tab!L$56</f>
        <v>0</v>
      </c>
      <c r="BB56" s="76">
        <f>+L56*tab!N$56</f>
        <v>0</v>
      </c>
      <c r="BC56" s="302"/>
      <c r="BD56" s="302"/>
      <c r="BE56" s="302">
        <v>43</v>
      </c>
      <c r="BF56" s="76">
        <f t="shared" si="4"/>
        <v>0</v>
      </c>
      <c r="BG56" s="76">
        <f t="shared" si="5"/>
        <v>0</v>
      </c>
      <c r="BH56" s="76">
        <f t="shared" si="6"/>
        <v>0</v>
      </c>
      <c r="BI56" s="76">
        <f t="shared" si="7"/>
        <v>0</v>
      </c>
      <c r="BJ56" s="76">
        <f t="shared" si="8"/>
        <v>0</v>
      </c>
      <c r="BK56" s="302"/>
      <c r="BL56" s="354"/>
    </row>
    <row r="57" spans="2:64" s="320" customFormat="1" ht="12.75">
      <c r="B57" s="353"/>
      <c r="C57" s="302"/>
      <c r="D57" s="302">
        <v>44</v>
      </c>
      <c r="E57" s="186"/>
      <c r="F57" s="187"/>
      <c r="G57" s="326"/>
      <c r="H57" s="187">
        <v>0</v>
      </c>
      <c r="I57" s="207">
        <f t="shared" si="13"/>
        <v>0</v>
      </c>
      <c r="J57" s="207">
        <f t="shared" si="13"/>
        <v>0</v>
      </c>
      <c r="K57" s="207">
        <f t="shared" si="13"/>
        <v>0</v>
      </c>
      <c r="L57" s="207">
        <f t="shared" si="13"/>
        <v>0</v>
      </c>
      <c r="M57" s="302"/>
      <c r="N57" s="302"/>
      <c r="O57" s="302">
        <v>44</v>
      </c>
      <c r="P57" s="364">
        <v>0</v>
      </c>
      <c r="Q57" s="365">
        <f t="shared" si="14"/>
        <v>0</v>
      </c>
      <c r="R57" s="365">
        <f t="shared" si="14"/>
        <v>0</v>
      </c>
      <c r="S57" s="365">
        <f t="shared" si="14"/>
        <v>0</v>
      </c>
      <c r="T57" s="365">
        <f t="shared" si="14"/>
        <v>0</v>
      </c>
      <c r="U57" s="302"/>
      <c r="V57" s="302"/>
      <c r="W57" s="302">
        <v>44</v>
      </c>
      <c r="X57" s="73">
        <v>0</v>
      </c>
      <c r="Y57" s="365">
        <f t="shared" si="15"/>
        <v>0</v>
      </c>
      <c r="Z57" s="365">
        <f t="shared" si="15"/>
        <v>0</v>
      </c>
      <c r="AA57" s="365">
        <f t="shared" si="15"/>
        <v>0</v>
      </c>
      <c r="AB57" s="365">
        <f t="shared" si="15"/>
        <v>0</v>
      </c>
      <c r="AC57" s="302"/>
      <c r="AD57" s="302"/>
      <c r="AE57" s="302">
        <v>44</v>
      </c>
      <c r="AF57" s="73">
        <v>0</v>
      </c>
      <c r="AG57" s="365">
        <f t="shared" si="16"/>
        <v>0</v>
      </c>
      <c r="AH57" s="365">
        <f t="shared" si="16"/>
        <v>0</v>
      </c>
      <c r="AI57" s="365">
        <f t="shared" si="16"/>
        <v>0</v>
      </c>
      <c r="AJ57" s="365">
        <f t="shared" si="16"/>
        <v>0</v>
      </c>
      <c r="AK57" s="326"/>
      <c r="AL57" s="356"/>
      <c r="AM57" s="362"/>
      <c r="AN57" s="302"/>
      <c r="AO57" s="302">
        <v>44</v>
      </c>
      <c r="AP57" s="76">
        <f>ROUND(H57*tab!G$55,0)</f>
        <v>0</v>
      </c>
      <c r="AQ57" s="76">
        <f>ROUND(I57*tab!I$55,0)</f>
        <v>0</v>
      </c>
      <c r="AR57" s="76">
        <f>ROUND(J57*tab!K$55,0)</f>
        <v>0</v>
      </c>
      <c r="AS57" s="76">
        <f>ROUND(K57*tab!M$55,0)</f>
        <v>0</v>
      </c>
      <c r="AT57" s="76">
        <f>ROUND(L57*tab!O$55,0)</f>
        <v>0</v>
      </c>
      <c r="AU57" s="302"/>
      <c r="AV57" s="302"/>
      <c r="AW57" s="302">
        <v>44</v>
      </c>
      <c r="AX57" s="76">
        <f>+H57*tab!F$56</f>
        <v>0</v>
      </c>
      <c r="AY57" s="76">
        <f>+I57*tab!H$56</f>
        <v>0</v>
      </c>
      <c r="AZ57" s="76">
        <f>+J57*tab!J$56</f>
        <v>0</v>
      </c>
      <c r="BA57" s="76">
        <f>+K57*tab!L$56</f>
        <v>0</v>
      </c>
      <c r="BB57" s="76">
        <f>+L57*tab!N$56</f>
        <v>0</v>
      </c>
      <c r="BC57" s="302"/>
      <c r="BD57" s="302"/>
      <c r="BE57" s="302">
        <v>44</v>
      </c>
      <c r="BF57" s="76">
        <f t="shared" si="4"/>
        <v>0</v>
      </c>
      <c r="BG57" s="76">
        <f t="shared" si="5"/>
        <v>0</v>
      </c>
      <c r="BH57" s="76">
        <f t="shared" si="6"/>
        <v>0</v>
      </c>
      <c r="BI57" s="76">
        <f t="shared" si="7"/>
        <v>0</v>
      </c>
      <c r="BJ57" s="76">
        <f t="shared" si="8"/>
        <v>0</v>
      </c>
      <c r="BK57" s="302"/>
      <c r="BL57" s="354"/>
    </row>
    <row r="58" spans="2:64" s="320" customFormat="1" ht="12.75">
      <c r="B58" s="353"/>
      <c r="C58" s="302"/>
      <c r="D58" s="302">
        <v>45</v>
      </c>
      <c r="E58" s="186"/>
      <c r="F58" s="187"/>
      <c r="G58" s="326"/>
      <c r="H58" s="187">
        <v>0</v>
      </c>
      <c r="I58" s="207">
        <f t="shared" si="13"/>
        <v>0</v>
      </c>
      <c r="J58" s="207">
        <f t="shared" si="13"/>
        <v>0</v>
      </c>
      <c r="K58" s="207">
        <f t="shared" si="13"/>
        <v>0</v>
      </c>
      <c r="L58" s="207">
        <f t="shared" si="13"/>
        <v>0</v>
      </c>
      <c r="M58" s="302"/>
      <c r="N58" s="302"/>
      <c r="O58" s="302">
        <v>45</v>
      </c>
      <c r="P58" s="364">
        <v>0</v>
      </c>
      <c r="Q58" s="365">
        <f t="shared" si="14"/>
        <v>0</v>
      </c>
      <c r="R58" s="365">
        <f t="shared" si="14"/>
        <v>0</v>
      </c>
      <c r="S58" s="365">
        <f t="shared" si="14"/>
        <v>0</v>
      </c>
      <c r="T58" s="365">
        <f t="shared" si="14"/>
        <v>0</v>
      </c>
      <c r="U58" s="302"/>
      <c r="V58" s="302"/>
      <c r="W58" s="302">
        <v>45</v>
      </c>
      <c r="X58" s="73">
        <v>0</v>
      </c>
      <c r="Y58" s="365">
        <f t="shared" si="15"/>
        <v>0</v>
      </c>
      <c r="Z58" s="365">
        <f t="shared" si="15"/>
        <v>0</v>
      </c>
      <c r="AA58" s="365">
        <f t="shared" si="15"/>
        <v>0</v>
      </c>
      <c r="AB58" s="365">
        <f t="shared" si="15"/>
        <v>0</v>
      </c>
      <c r="AC58" s="302"/>
      <c r="AD58" s="302"/>
      <c r="AE58" s="302">
        <v>45</v>
      </c>
      <c r="AF58" s="73">
        <v>0</v>
      </c>
      <c r="AG58" s="365">
        <f t="shared" si="16"/>
        <v>0</v>
      </c>
      <c r="AH58" s="365">
        <f t="shared" si="16"/>
        <v>0</v>
      </c>
      <c r="AI58" s="365">
        <f t="shared" si="16"/>
        <v>0</v>
      </c>
      <c r="AJ58" s="365">
        <f t="shared" si="16"/>
        <v>0</v>
      </c>
      <c r="AK58" s="326"/>
      <c r="AL58" s="356"/>
      <c r="AM58" s="362"/>
      <c r="AN58" s="302"/>
      <c r="AO58" s="302">
        <v>45</v>
      </c>
      <c r="AP58" s="76">
        <f>ROUND(H58*tab!G$55,0)</f>
        <v>0</v>
      </c>
      <c r="AQ58" s="76">
        <f>ROUND(I58*tab!I$55,0)</f>
        <v>0</v>
      </c>
      <c r="AR58" s="76">
        <f>ROUND(J58*tab!K$55,0)</f>
        <v>0</v>
      </c>
      <c r="AS58" s="76">
        <f>ROUND(K58*tab!M$55,0)</f>
        <v>0</v>
      </c>
      <c r="AT58" s="76">
        <f>ROUND(L58*tab!O$55,0)</f>
        <v>0</v>
      </c>
      <c r="AU58" s="302"/>
      <c r="AV58" s="302"/>
      <c r="AW58" s="302">
        <v>45</v>
      </c>
      <c r="AX58" s="76">
        <f>+H58*tab!F$56</f>
        <v>0</v>
      </c>
      <c r="AY58" s="76">
        <f>+I58*tab!H$56</f>
        <v>0</v>
      </c>
      <c r="AZ58" s="76">
        <f>+J58*tab!J$56</f>
        <v>0</v>
      </c>
      <c r="BA58" s="76">
        <f>+K58*tab!L$56</f>
        <v>0</v>
      </c>
      <c r="BB58" s="76">
        <f>+L58*tab!N$56</f>
        <v>0</v>
      </c>
      <c r="BC58" s="302"/>
      <c r="BD58" s="302"/>
      <c r="BE58" s="302">
        <v>45</v>
      </c>
      <c r="BF58" s="76">
        <f t="shared" si="4"/>
        <v>0</v>
      </c>
      <c r="BG58" s="76">
        <f t="shared" si="5"/>
        <v>0</v>
      </c>
      <c r="BH58" s="76">
        <f t="shared" si="6"/>
        <v>0</v>
      </c>
      <c r="BI58" s="76">
        <f t="shared" si="7"/>
        <v>0</v>
      </c>
      <c r="BJ58" s="76">
        <f t="shared" si="8"/>
        <v>0</v>
      </c>
      <c r="BK58" s="302"/>
      <c r="BL58" s="354"/>
    </row>
    <row r="59" spans="2:64" s="320" customFormat="1" ht="12.75">
      <c r="B59" s="353"/>
      <c r="C59" s="302"/>
      <c r="D59" s="302">
        <v>46</v>
      </c>
      <c r="E59" s="186"/>
      <c r="F59" s="187"/>
      <c r="G59" s="326"/>
      <c r="H59" s="187">
        <v>0</v>
      </c>
      <c r="I59" s="207">
        <f t="shared" si="13"/>
        <v>0</v>
      </c>
      <c r="J59" s="207">
        <f t="shared" si="13"/>
        <v>0</v>
      </c>
      <c r="K59" s="207">
        <f t="shared" si="13"/>
        <v>0</v>
      </c>
      <c r="L59" s="207">
        <f t="shared" si="13"/>
        <v>0</v>
      </c>
      <c r="M59" s="302"/>
      <c r="N59" s="302"/>
      <c r="O59" s="302">
        <v>46</v>
      </c>
      <c r="P59" s="364">
        <v>0</v>
      </c>
      <c r="Q59" s="365">
        <f t="shared" si="14"/>
        <v>0</v>
      </c>
      <c r="R59" s="365">
        <f t="shared" si="14"/>
        <v>0</v>
      </c>
      <c r="S59" s="365">
        <f t="shared" si="14"/>
        <v>0</v>
      </c>
      <c r="T59" s="365">
        <f t="shared" si="14"/>
        <v>0</v>
      </c>
      <c r="U59" s="302"/>
      <c r="V59" s="302"/>
      <c r="W59" s="302">
        <v>46</v>
      </c>
      <c r="X59" s="73">
        <v>0</v>
      </c>
      <c r="Y59" s="365">
        <f t="shared" si="15"/>
        <v>0</v>
      </c>
      <c r="Z59" s="365">
        <f t="shared" si="15"/>
        <v>0</v>
      </c>
      <c r="AA59" s="365">
        <f t="shared" si="15"/>
        <v>0</v>
      </c>
      <c r="AB59" s="365">
        <f t="shared" si="15"/>
        <v>0</v>
      </c>
      <c r="AC59" s="302"/>
      <c r="AD59" s="302"/>
      <c r="AE59" s="302">
        <v>46</v>
      </c>
      <c r="AF59" s="73">
        <v>0</v>
      </c>
      <c r="AG59" s="365">
        <f t="shared" si="16"/>
        <v>0</v>
      </c>
      <c r="AH59" s="365">
        <f t="shared" si="16"/>
        <v>0</v>
      </c>
      <c r="AI59" s="365">
        <f t="shared" si="16"/>
        <v>0</v>
      </c>
      <c r="AJ59" s="365">
        <f t="shared" si="16"/>
        <v>0</v>
      </c>
      <c r="AK59" s="326"/>
      <c r="AL59" s="356"/>
      <c r="AM59" s="362"/>
      <c r="AN59" s="302"/>
      <c r="AO59" s="302">
        <v>46</v>
      </c>
      <c r="AP59" s="76">
        <f>ROUND(H59*tab!G$55,0)</f>
        <v>0</v>
      </c>
      <c r="AQ59" s="76">
        <f>ROUND(I59*tab!I$55,0)</f>
        <v>0</v>
      </c>
      <c r="AR59" s="76">
        <f>ROUND(J59*tab!K$55,0)</f>
        <v>0</v>
      </c>
      <c r="AS59" s="76">
        <f>ROUND(K59*tab!M$55,0)</f>
        <v>0</v>
      </c>
      <c r="AT59" s="76">
        <f>ROUND(L59*tab!O$55,0)</f>
        <v>0</v>
      </c>
      <c r="AU59" s="302"/>
      <c r="AV59" s="302"/>
      <c r="AW59" s="302">
        <v>46</v>
      </c>
      <c r="AX59" s="76">
        <f>+H59*tab!F$56</f>
        <v>0</v>
      </c>
      <c r="AY59" s="76">
        <f>+I59*tab!H$56</f>
        <v>0</v>
      </c>
      <c r="AZ59" s="76">
        <f>+J59*tab!J$56</f>
        <v>0</v>
      </c>
      <c r="BA59" s="76">
        <f>+K59*tab!L$56</f>
        <v>0</v>
      </c>
      <c r="BB59" s="76">
        <f>+L59*tab!N$56</f>
        <v>0</v>
      </c>
      <c r="BC59" s="302"/>
      <c r="BD59" s="302"/>
      <c r="BE59" s="302">
        <v>46</v>
      </c>
      <c r="BF59" s="76">
        <f t="shared" si="4"/>
        <v>0</v>
      </c>
      <c r="BG59" s="76">
        <f t="shared" si="5"/>
        <v>0</v>
      </c>
      <c r="BH59" s="76">
        <f t="shared" si="6"/>
        <v>0</v>
      </c>
      <c r="BI59" s="76">
        <f t="shared" si="7"/>
        <v>0</v>
      </c>
      <c r="BJ59" s="76">
        <f t="shared" si="8"/>
        <v>0</v>
      </c>
      <c r="BK59" s="302"/>
      <c r="BL59" s="354"/>
    </row>
    <row r="60" spans="2:64" s="320" customFormat="1" ht="12.75">
      <c r="B60" s="353"/>
      <c r="C60" s="302"/>
      <c r="D60" s="302">
        <v>47</v>
      </c>
      <c r="E60" s="186"/>
      <c r="F60" s="187"/>
      <c r="G60" s="326"/>
      <c r="H60" s="187">
        <v>0</v>
      </c>
      <c r="I60" s="207">
        <f t="shared" si="13"/>
        <v>0</v>
      </c>
      <c r="J60" s="207">
        <f t="shared" si="13"/>
        <v>0</v>
      </c>
      <c r="K60" s="207">
        <f t="shared" si="13"/>
        <v>0</v>
      </c>
      <c r="L60" s="207">
        <f t="shared" si="13"/>
        <v>0</v>
      </c>
      <c r="M60" s="302"/>
      <c r="N60" s="302"/>
      <c r="O60" s="302">
        <v>47</v>
      </c>
      <c r="P60" s="364">
        <v>0</v>
      </c>
      <c r="Q60" s="365">
        <f t="shared" si="14"/>
        <v>0</v>
      </c>
      <c r="R60" s="365">
        <f t="shared" si="14"/>
        <v>0</v>
      </c>
      <c r="S60" s="365">
        <f t="shared" si="14"/>
        <v>0</v>
      </c>
      <c r="T60" s="365">
        <f t="shared" si="14"/>
        <v>0</v>
      </c>
      <c r="U60" s="302"/>
      <c r="V60" s="302"/>
      <c r="W60" s="302">
        <v>47</v>
      </c>
      <c r="X60" s="73">
        <v>0</v>
      </c>
      <c r="Y60" s="365">
        <f t="shared" si="15"/>
        <v>0</v>
      </c>
      <c r="Z60" s="365">
        <f t="shared" si="15"/>
        <v>0</v>
      </c>
      <c r="AA60" s="365">
        <f t="shared" si="15"/>
        <v>0</v>
      </c>
      <c r="AB60" s="365">
        <f t="shared" si="15"/>
        <v>0</v>
      </c>
      <c r="AC60" s="302"/>
      <c r="AD60" s="302"/>
      <c r="AE60" s="302">
        <v>47</v>
      </c>
      <c r="AF60" s="73">
        <v>0</v>
      </c>
      <c r="AG60" s="365">
        <f t="shared" si="16"/>
        <v>0</v>
      </c>
      <c r="AH60" s="365">
        <f t="shared" si="16"/>
        <v>0</v>
      </c>
      <c r="AI60" s="365">
        <f t="shared" si="16"/>
        <v>0</v>
      </c>
      <c r="AJ60" s="365">
        <f t="shared" si="16"/>
        <v>0</v>
      </c>
      <c r="AK60" s="326"/>
      <c r="AL60" s="356"/>
      <c r="AM60" s="362"/>
      <c r="AN60" s="302"/>
      <c r="AO60" s="302">
        <v>47</v>
      </c>
      <c r="AP60" s="76">
        <f>ROUND(H60*tab!G$55,0)</f>
        <v>0</v>
      </c>
      <c r="AQ60" s="76">
        <f>ROUND(I60*tab!I$55,0)</f>
        <v>0</v>
      </c>
      <c r="AR60" s="76">
        <f>ROUND(J60*tab!K$55,0)</f>
        <v>0</v>
      </c>
      <c r="AS60" s="76">
        <f>ROUND(K60*tab!M$55,0)</f>
        <v>0</v>
      </c>
      <c r="AT60" s="76">
        <f>ROUND(L60*tab!O$55,0)</f>
        <v>0</v>
      </c>
      <c r="AU60" s="302"/>
      <c r="AV60" s="302"/>
      <c r="AW60" s="302">
        <v>47</v>
      </c>
      <c r="AX60" s="76">
        <f>+H60*tab!F$56</f>
        <v>0</v>
      </c>
      <c r="AY60" s="76">
        <f>+I60*tab!H$56</f>
        <v>0</v>
      </c>
      <c r="AZ60" s="76">
        <f>+J60*tab!J$56</f>
        <v>0</v>
      </c>
      <c r="BA60" s="76">
        <f>+K60*tab!L$56</f>
        <v>0</v>
      </c>
      <c r="BB60" s="76">
        <f>+L60*tab!N$56</f>
        <v>0</v>
      </c>
      <c r="BC60" s="302"/>
      <c r="BD60" s="302"/>
      <c r="BE60" s="302">
        <v>47</v>
      </c>
      <c r="BF60" s="76">
        <f t="shared" si="4"/>
        <v>0</v>
      </c>
      <c r="BG60" s="76">
        <f t="shared" si="5"/>
        <v>0</v>
      </c>
      <c r="BH60" s="76">
        <f t="shared" si="6"/>
        <v>0</v>
      </c>
      <c r="BI60" s="76">
        <f t="shared" si="7"/>
        <v>0</v>
      </c>
      <c r="BJ60" s="76">
        <f t="shared" si="8"/>
        <v>0</v>
      </c>
      <c r="BK60" s="302"/>
      <c r="BL60" s="354"/>
    </row>
    <row r="61" spans="2:64" s="320" customFormat="1" ht="12.75">
      <c r="B61" s="353"/>
      <c r="C61" s="302"/>
      <c r="D61" s="302">
        <v>48</v>
      </c>
      <c r="E61" s="186"/>
      <c r="F61" s="187"/>
      <c r="G61" s="326"/>
      <c r="H61" s="187">
        <v>0</v>
      </c>
      <c r="I61" s="207">
        <f t="shared" si="13"/>
        <v>0</v>
      </c>
      <c r="J61" s="207">
        <f t="shared" si="13"/>
        <v>0</v>
      </c>
      <c r="K61" s="207">
        <f t="shared" si="13"/>
        <v>0</v>
      </c>
      <c r="L61" s="207">
        <f t="shared" si="13"/>
        <v>0</v>
      </c>
      <c r="M61" s="302"/>
      <c r="N61" s="302"/>
      <c r="O61" s="302">
        <v>48</v>
      </c>
      <c r="P61" s="364">
        <v>0</v>
      </c>
      <c r="Q61" s="365">
        <f t="shared" si="14"/>
        <v>0</v>
      </c>
      <c r="R61" s="365">
        <f t="shared" si="14"/>
        <v>0</v>
      </c>
      <c r="S61" s="365">
        <f t="shared" si="14"/>
        <v>0</v>
      </c>
      <c r="T61" s="365">
        <f t="shared" si="14"/>
        <v>0</v>
      </c>
      <c r="U61" s="302"/>
      <c r="V61" s="302"/>
      <c r="W61" s="302">
        <v>48</v>
      </c>
      <c r="X61" s="73">
        <v>0</v>
      </c>
      <c r="Y61" s="365">
        <f t="shared" si="15"/>
        <v>0</v>
      </c>
      <c r="Z61" s="365">
        <f t="shared" si="15"/>
        <v>0</v>
      </c>
      <c r="AA61" s="365">
        <f t="shared" si="15"/>
        <v>0</v>
      </c>
      <c r="AB61" s="365">
        <f t="shared" si="15"/>
        <v>0</v>
      </c>
      <c r="AC61" s="302"/>
      <c r="AD61" s="302"/>
      <c r="AE61" s="302">
        <v>48</v>
      </c>
      <c r="AF61" s="73">
        <v>0</v>
      </c>
      <c r="AG61" s="365">
        <f t="shared" si="16"/>
        <v>0</v>
      </c>
      <c r="AH61" s="365">
        <f t="shared" si="16"/>
        <v>0</v>
      </c>
      <c r="AI61" s="365">
        <f t="shared" si="16"/>
        <v>0</v>
      </c>
      <c r="AJ61" s="365">
        <f t="shared" si="16"/>
        <v>0</v>
      </c>
      <c r="AK61" s="326"/>
      <c r="AL61" s="356"/>
      <c r="AM61" s="362"/>
      <c r="AN61" s="302"/>
      <c r="AO61" s="302">
        <v>48</v>
      </c>
      <c r="AP61" s="76">
        <f>ROUND(H61*tab!G$55,0)</f>
        <v>0</v>
      </c>
      <c r="AQ61" s="76">
        <f>ROUND(I61*tab!I$55,0)</f>
        <v>0</v>
      </c>
      <c r="AR61" s="76">
        <f>ROUND(J61*tab!K$55,0)</f>
        <v>0</v>
      </c>
      <c r="AS61" s="76">
        <f>ROUND(K61*tab!M$55,0)</f>
        <v>0</v>
      </c>
      <c r="AT61" s="76">
        <f>ROUND(L61*tab!O$55,0)</f>
        <v>0</v>
      </c>
      <c r="AU61" s="302"/>
      <c r="AV61" s="302"/>
      <c r="AW61" s="302">
        <v>48</v>
      </c>
      <c r="AX61" s="76">
        <f>+H61*tab!F$56</f>
        <v>0</v>
      </c>
      <c r="AY61" s="76">
        <f>+I61*tab!H$56</f>
        <v>0</v>
      </c>
      <c r="AZ61" s="76">
        <f>+J61*tab!J$56</f>
        <v>0</v>
      </c>
      <c r="BA61" s="76">
        <f>+K61*tab!L$56</f>
        <v>0</v>
      </c>
      <c r="BB61" s="76">
        <f>+L61*tab!N$56</f>
        <v>0</v>
      </c>
      <c r="BC61" s="302"/>
      <c r="BD61" s="302"/>
      <c r="BE61" s="302">
        <v>48</v>
      </c>
      <c r="BF61" s="76">
        <f t="shared" si="4"/>
        <v>0</v>
      </c>
      <c r="BG61" s="76">
        <f t="shared" si="5"/>
        <v>0</v>
      </c>
      <c r="BH61" s="76">
        <f t="shared" si="6"/>
        <v>0</v>
      </c>
      <c r="BI61" s="76">
        <f t="shared" si="7"/>
        <v>0</v>
      </c>
      <c r="BJ61" s="76">
        <f t="shared" si="8"/>
        <v>0</v>
      </c>
      <c r="BK61" s="302"/>
      <c r="BL61" s="354"/>
    </row>
    <row r="62" spans="2:64" s="320" customFormat="1" ht="12.75">
      <c r="B62" s="353"/>
      <c r="C62" s="302"/>
      <c r="D62" s="302">
        <v>49</v>
      </c>
      <c r="E62" s="186"/>
      <c r="F62" s="187"/>
      <c r="G62" s="326"/>
      <c r="H62" s="187">
        <v>0</v>
      </c>
      <c r="I62" s="207">
        <f t="shared" si="13"/>
        <v>0</v>
      </c>
      <c r="J62" s="207">
        <f t="shared" si="13"/>
        <v>0</v>
      </c>
      <c r="K62" s="207">
        <f t="shared" si="13"/>
        <v>0</v>
      </c>
      <c r="L62" s="207">
        <f t="shared" si="13"/>
        <v>0</v>
      </c>
      <c r="M62" s="302"/>
      <c r="N62" s="302"/>
      <c r="O62" s="302">
        <v>49</v>
      </c>
      <c r="P62" s="364">
        <v>0</v>
      </c>
      <c r="Q62" s="365">
        <f t="shared" si="14"/>
        <v>0</v>
      </c>
      <c r="R62" s="365">
        <f t="shared" si="14"/>
        <v>0</v>
      </c>
      <c r="S62" s="365">
        <f t="shared" si="14"/>
        <v>0</v>
      </c>
      <c r="T62" s="365">
        <f t="shared" si="14"/>
        <v>0</v>
      </c>
      <c r="U62" s="302"/>
      <c r="V62" s="302"/>
      <c r="W62" s="302">
        <v>49</v>
      </c>
      <c r="X62" s="73">
        <v>0</v>
      </c>
      <c r="Y62" s="365">
        <f t="shared" si="15"/>
        <v>0</v>
      </c>
      <c r="Z62" s="365">
        <f t="shared" si="15"/>
        <v>0</v>
      </c>
      <c r="AA62" s="365">
        <f t="shared" si="15"/>
        <v>0</v>
      </c>
      <c r="AB62" s="365">
        <f t="shared" si="15"/>
        <v>0</v>
      </c>
      <c r="AC62" s="302"/>
      <c r="AD62" s="302"/>
      <c r="AE62" s="302">
        <v>49</v>
      </c>
      <c r="AF62" s="73">
        <v>0</v>
      </c>
      <c r="AG62" s="365">
        <f t="shared" si="16"/>
        <v>0</v>
      </c>
      <c r="AH62" s="365">
        <f t="shared" si="16"/>
        <v>0</v>
      </c>
      <c r="AI62" s="365">
        <f t="shared" si="16"/>
        <v>0</v>
      </c>
      <c r="AJ62" s="365">
        <f t="shared" si="16"/>
        <v>0</v>
      </c>
      <c r="AK62" s="326"/>
      <c r="AL62" s="356"/>
      <c r="AM62" s="362"/>
      <c r="AN62" s="302"/>
      <c r="AO62" s="302">
        <v>49</v>
      </c>
      <c r="AP62" s="76">
        <f>ROUND(H62*tab!G$55,0)</f>
        <v>0</v>
      </c>
      <c r="AQ62" s="76">
        <f>ROUND(I62*tab!I$55,0)</f>
        <v>0</v>
      </c>
      <c r="AR62" s="76">
        <f>ROUND(J62*tab!K$55,0)</f>
        <v>0</v>
      </c>
      <c r="AS62" s="76">
        <f>ROUND(K62*tab!M$55,0)</f>
        <v>0</v>
      </c>
      <c r="AT62" s="76">
        <f>ROUND(L62*tab!O$55,0)</f>
        <v>0</v>
      </c>
      <c r="AU62" s="302"/>
      <c r="AV62" s="302"/>
      <c r="AW62" s="302">
        <v>49</v>
      </c>
      <c r="AX62" s="76">
        <f>+H62*tab!F$56</f>
        <v>0</v>
      </c>
      <c r="AY62" s="76">
        <f>+I62*tab!H$56</f>
        <v>0</v>
      </c>
      <c r="AZ62" s="76">
        <f>+J62*tab!J$56</f>
        <v>0</v>
      </c>
      <c r="BA62" s="76">
        <f>+K62*tab!L$56</f>
        <v>0</v>
      </c>
      <c r="BB62" s="76">
        <f>+L62*tab!N$56</f>
        <v>0</v>
      </c>
      <c r="BC62" s="302"/>
      <c r="BD62" s="302"/>
      <c r="BE62" s="302">
        <v>49</v>
      </c>
      <c r="BF62" s="76">
        <f t="shared" si="4"/>
        <v>0</v>
      </c>
      <c r="BG62" s="76">
        <f t="shared" si="5"/>
        <v>0</v>
      </c>
      <c r="BH62" s="76">
        <f t="shared" si="6"/>
        <v>0</v>
      </c>
      <c r="BI62" s="76">
        <f t="shared" si="7"/>
        <v>0</v>
      </c>
      <c r="BJ62" s="76">
        <f t="shared" si="8"/>
        <v>0</v>
      </c>
      <c r="BK62" s="302"/>
      <c r="BL62" s="354"/>
    </row>
    <row r="63" spans="2:64" s="320" customFormat="1" ht="12.75">
      <c r="B63" s="353"/>
      <c r="C63" s="302"/>
      <c r="D63" s="302">
        <v>50</v>
      </c>
      <c r="E63" s="186"/>
      <c r="F63" s="187"/>
      <c r="G63" s="326"/>
      <c r="H63" s="187">
        <v>0</v>
      </c>
      <c r="I63" s="207">
        <f t="shared" si="13"/>
        <v>0</v>
      </c>
      <c r="J63" s="207">
        <f t="shared" si="13"/>
        <v>0</v>
      </c>
      <c r="K63" s="207">
        <f t="shared" si="13"/>
        <v>0</v>
      </c>
      <c r="L63" s="207">
        <f t="shared" si="13"/>
        <v>0</v>
      </c>
      <c r="M63" s="302"/>
      <c r="N63" s="302"/>
      <c r="O63" s="302">
        <v>50</v>
      </c>
      <c r="P63" s="364">
        <v>0</v>
      </c>
      <c r="Q63" s="365">
        <f t="shared" si="14"/>
        <v>0</v>
      </c>
      <c r="R63" s="365">
        <f t="shared" si="14"/>
        <v>0</v>
      </c>
      <c r="S63" s="365">
        <f t="shared" si="14"/>
        <v>0</v>
      </c>
      <c r="T63" s="365">
        <f t="shared" si="14"/>
        <v>0</v>
      </c>
      <c r="U63" s="302"/>
      <c r="V63" s="302"/>
      <c r="W63" s="302">
        <v>50</v>
      </c>
      <c r="X63" s="73">
        <v>0</v>
      </c>
      <c r="Y63" s="365">
        <f t="shared" si="15"/>
        <v>0</v>
      </c>
      <c r="Z63" s="365">
        <f t="shared" si="15"/>
        <v>0</v>
      </c>
      <c r="AA63" s="365">
        <f t="shared" si="15"/>
        <v>0</v>
      </c>
      <c r="AB63" s="365">
        <f t="shared" si="15"/>
        <v>0</v>
      </c>
      <c r="AC63" s="302"/>
      <c r="AD63" s="302"/>
      <c r="AE63" s="302">
        <v>50</v>
      </c>
      <c r="AF63" s="73">
        <v>0</v>
      </c>
      <c r="AG63" s="365">
        <f t="shared" si="16"/>
        <v>0</v>
      </c>
      <c r="AH63" s="365">
        <f t="shared" si="16"/>
        <v>0</v>
      </c>
      <c r="AI63" s="365">
        <f t="shared" si="16"/>
        <v>0</v>
      </c>
      <c r="AJ63" s="365">
        <f t="shared" si="16"/>
        <v>0</v>
      </c>
      <c r="AK63" s="326"/>
      <c r="AL63" s="356"/>
      <c r="AM63" s="362"/>
      <c r="AN63" s="302"/>
      <c r="AO63" s="302">
        <v>50</v>
      </c>
      <c r="AP63" s="76">
        <f>ROUND(H63*tab!G$55,0)</f>
        <v>0</v>
      </c>
      <c r="AQ63" s="76">
        <f>ROUND(I63*tab!I$55,0)</f>
        <v>0</v>
      </c>
      <c r="AR63" s="76">
        <f>ROUND(J63*tab!K$55,0)</f>
        <v>0</v>
      </c>
      <c r="AS63" s="76">
        <f>ROUND(K63*tab!M$55,0)</f>
        <v>0</v>
      </c>
      <c r="AT63" s="76">
        <f>ROUND(L63*tab!O$55,0)</f>
        <v>0</v>
      </c>
      <c r="AU63" s="302"/>
      <c r="AV63" s="302"/>
      <c r="AW63" s="302">
        <v>50</v>
      </c>
      <c r="AX63" s="76">
        <f>+H63*tab!F$56</f>
        <v>0</v>
      </c>
      <c r="AY63" s="76">
        <f>+I63*tab!H$56</f>
        <v>0</v>
      </c>
      <c r="AZ63" s="76">
        <f>+J63*tab!J$56</f>
        <v>0</v>
      </c>
      <c r="BA63" s="76">
        <f>+K63*tab!L$56</f>
        <v>0</v>
      </c>
      <c r="BB63" s="76">
        <f>+L63*tab!N$56</f>
        <v>0</v>
      </c>
      <c r="BC63" s="302"/>
      <c r="BD63" s="302"/>
      <c r="BE63" s="302">
        <v>50</v>
      </c>
      <c r="BF63" s="76">
        <f t="shared" si="4"/>
        <v>0</v>
      </c>
      <c r="BG63" s="76">
        <f t="shared" si="5"/>
        <v>0</v>
      </c>
      <c r="BH63" s="76">
        <f t="shared" si="6"/>
        <v>0</v>
      </c>
      <c r="BI63" s="76">
        <f t="shared" si="7"/>
        <v>0</v>
      </c>
      <c r="BJ63" s="76">
        <f t="shared" si="8"/>
        <v>0</v>
      </c>
      <c r="BK63" s="302"/>
      <c r="BL63" s="354"/>
    </row>
    <row r="64" spans="2:64" s="320" customFormat="1" ht="12.75">
      <c r="B64" s="353"/>
      <c r="C64" s="302"/>
      <c r="D64" s="302">
        <v>51</v>
      </c>
      <c r="E64" s="186"/>
      <c r="F64" s="187"/>
      <c r="G64" s="326"/>
      <c r="H64" s="187">
        <v>0</v>
      </c>
      <c r="I64" s="207">
        <f t="shared" si="13"/>
        <v>0</v>
      </c>
      <c r="J64" s="207">
        <f t="shared" si="13"/>
        <v>0</v>
      </c>
      <c r="K64" s="207">
        <f t="shared" si="13"/>
        <v>0</v>
      </c>
      <c r="L64" s="207">
        <f t="shared" si="13"/>
        <v>0</v>
      </c>
      <c r="M64" s="302"/>
      <c r="N64" s="302"/>
      <c r="O64" s="302">
        <v>51</v>
      </c>
      <c r="P64" s="364">
        <v>0</v>
      </c>
      <c r="Q64" s="365">
        <f t="shared" si="14"/>
        <v>0</v>
      </c>
      <c r="R64" s="365">
        <f t="shared" si="14"/>
        <v>0</v>
      </c>
      <c r="S64" s="365">
        <f t="shared" si="14"/>
        <v>0</v>
      </c>
      <c r="T64" s="365">
        <f t="shared" si="14"/>
        <v>0</v>
      </c>
      <c r="U64" s="302"/>
      <c r="V64" s="302"/>
      <c r="W64" s="302">
        <v>51</v>
      </c>
      <c r="X64" s="73">
        <v>0</v>
      </c>
      <c r="Y64" s="365">
        <f t="shared" si="15"/>
        <v>0</v>
      </c>
      <c r="Z64" s="365">
        <f t="shared" si="15"/>
        <v>0</v>
      </c>
      <c r="AA64" s="365">
        <f t="shared" si="15"/>
        <v>0</v>
      </c>
      <c r="AB64" s="365">
        <f t="shared" si="15"/>
        <v>0</v>
      </c>
      <c r="AC64" s="302"/>
      <c r="AD64" s="302"/>
      <c r="AE64" s="302">
        <v>51</v>
      </c>
      <c r="AF64" s="73">
        <v>0</v>
      </c>
      <c r="AG64" s="365">
        <f t="shared" si="16"/>
        <v>0</v>
      </c>
      <c r="AH64" s="365">
        <f t="shared" si="16"/>
        <v>0</v>
      </c>
      <c r="AI64" s="365">
        <f t="shared" si="16"/>
        <v>0</v>
      </c>
      <c r="AJ64" s="365">
        <f t="shared" si="16"/>
        <v>0</v>
      </c>
      <c r="AK64" s="326"/>
      <c r="AL64" s="356"/>
      <c r="AM64" s="362"/>
      <c r="AN64" s="302"/>
      <c r="AO64" s="302">
        <v>51</v>
      </c>
      <c r="AP64" s="76">
        <f>ROUND(H64*tab!G$55,0)</f>
        <v>0</v>
      </c>
      <c r="AQ64" s="76">
        <f>ROUND(I64*tab!I$55,0)</f>
        <v>0</v>
      </c>
      <c r="AR64" s="76">
        <f>ROUND(J64*tab!K$55,0)</f>
        <v>0</v>
      </c>
      <c r="AS64" s="76">
        <f>ROUND(K64*tab!M$55,0)</f>
        <v>0</v>
      </c>
      <c r="AT64" s="76">
        <f>ROUND(L64*tab!O$55,0)</f>
        <v>0</v>
      </c>
      <c r="AU64" s="302"/>
      <c r="AV64" s="302"/>
      <c r="AW64" s="302">
        <v>51</v>
      </c>
      <c r="AX64" s="76">
        <f>+H64*tab!F$56</f>
        <v>0</v>
      </c>
      <c r="AY64" s="76">
        <f>+I64*tab!H$56</f>
        <v>0</v>
      </c>
      <c r="AZ64" s="76">
        <f>+J64*tab!J$56</f>
        <v>0</v>
      </c>
      <c r="BA64" s="76">
        <f>+K64*tab!L$56</f>
        <v>0</v>
      </c>
      <c r="BB64" s="76">
        <f>+L64*tab!N$56</f>
        <v>0</v>
      </c>
      <c r="BC64" s="302"/>
      <c r="BD64" s="302"/>
      <c r="BE64" s="302">
        <v>51</v>
      </c>
      <c r="BF64" s="76">
        <f t="shared" si="4"/>
        <v>0</v>
      </c>
      <c r="BG64" s="76">
        <f t="shared" si="5"/>
        <v>0</v>
      </c>
      <c r="BH64" s="76">
        <f t="shared" si="6"/>
        <v>0</v>
      </c>
      <c r="BI64" s="76">
        <f t="shared" si="7"/>
        <v>0</v>
      </c>
      <c r="BJ64" s="76">
        <f t="shared" si="8"/>
        <v>0</v>
      </c>
      <c r="BK64" s="302"/>
      <c r="BL64" s="354"/>
    </row>
    <row r="65" spans="2:64" s="320" customFormat="1" ht="12.75">
      <c r="B65" s="353"/>
      <c r="C65" s="302"/>
      <c r="D65" s="302">
        <v>52</v>
      </c>
      <c r="E65" s="186"/>
      <c r="F65" s="187"/>
      <c r="G65" s="326"/>
      <c r="H65" s="187">
        <v>0</v>
      </c>
      <c r="I65" s="207">
        <f aca="true" t="shared" si="17" ref="I65:L66">H65</f>
        <v>0</v>
      </c>
      <c r="J65" s="207">
        <f t="shared" si="17"/>
        <v>0</v>
      </c>
      <c r="K65" s="207">
        <f t="shared" si="17"/>
        <v>0</v>
      </c>
      <c r="L65" s="207">
        <f t="shared" si="17"/>
        <v>0</v>
      </c>
      <c r="M65" s="302"/>
      <c r="N65" s="302"/>
      <c r="O65" s="302">
        <v>52</v>
      </c>
      <c r="P65" s="364">
        <v>0</v>
      </c>
      <c r="Q65" s="365">
        <f aca="true" t="shared" si="18" ref="Q65:T66">P65</f>
        <v>0</v>
      </c>
      <c r="R65" s="365">
        <f t="shared" si="18"/>
        <v>0</v>
      </c>
      <c r="S65" s="365">
        <f t="shared" si="18"/>
        <v>0</v>
      </c>
      <c r="T65" s="365">
        <f t="shared" si="18"/>
        <v>0</v>
      </c>
      <c r="U65" s="302"/>
      <c r="V65" s="302"/>
      <c r="W65" s="302">
        <v>52</v>
      </c>
      <c r="X65" s="73">
        <v>0</v>
      </c>
      <c r="Y65" s="365">
        <f aca="true" t="shared" si="19" ref="Y65:AB66">X65</f>
        <v>0</v>
      </c>
      <c r="Z65" s="365">
        <f t="shared" si="19"/>
        <v>0</v>
      </c>
      <c r="AA65" s="365">
        <f t="shared" si="19"/>
        <v>0</v>
      </c>
      <c r="AB65" s="365">
        <f t="shared" si="19"/>
        <v>0</v>
      </c>
      <c r="AC65" s="302"/>
      <c r="AD65" s="302"/>
      <c r="AE65" s="302">
        <v>52</v>
      </c>
      <c r="AF65" s="73">
        <v>0</v>
      </c>
      <c r="AG65" s="365">
        <f aca="true" t="shared" si="20" ref="AG65:AJ66">AF65</f>
        <v>0</v>
      </c>
      <c r="AH65" s="365">
        <f t="shared" si="20"/>
        <v>0</v>
      </c>
      <c r="AI65" s="365">
        <f t="shared" si="20"/>
        <v>0</v>
      </c>
      <c r="AJ65" s="365">
        <f t="shared" si="20"/>
        <v>0</v>
      </c>
      <c r="AK65" s="326"/>
      <c r="AL65" s="356"/>
      <c r="AM65" s="362"/>
      <c r="AN65" s="302"/>
      <c r="AO65" s="302">
        <v>52</v>
      </c>
      <c r="AP65" s="76">
        <f>ROUND(H65*tab!G$55,0)</f>
        <v>0</v>
      </c>
      <c r="AQ65" s="76">
        <f>ROUND(I65*tab!I$55,0)</f>
        <v>0</v>
      </c>
      <c r="AR65" s="76">
        <f>ROUND(J65*tab!K$55,0)</f>
        <v>0</v>
      </c>
      <c r="AS65" s="76">
        <f>ROUND(K65*tab!M$55,0)</f>
        <v>0</v>
      </c>
      <c r="AT65" s="76">
        <f>ROUND(L65*tab!O$55,0)</f>
        <v>0</v>
      </c>
      <c r="AU65" s="302"/>
      <c r="AV65" s="302"/>
      <c r="AW65" s="302">
        <v>52</v>
      </c>
      <c r="AX65" s="76">
        <f>+H65*tab!F$56</f>
        <v>0</v>
      </c>
      <c r="AY65" s="76">
        <f>+I65*tab!H$56</f>
        <v>0</v>
      </c>
      <c r="AZ65" s="76">
        <f>+J65*tab!J$56</f>
        <v>0</v>
      </c>
      <c r="BA65" s="76">
        <f>+K65*tab!L$56</f>
        <v>0</v>
      </c>
      <c r="BB65" s="76">
        <f>+L65*tab!N$56</f>
        <v>0</v>
      </c>
      <c r="BC65" s="302"/>
      <c r="BD65" s="302"/>
      <c r="BE65" s="302">
        <v>52</v>
      </c>
      <c r="BF65" s="76">
        <f t="shared" si="4"/>
        <v>0</v>
      </c>
      <c r="BG65" s="76">
        <f t="shared" si="5"/>
        <v>0</v>
      </c>
      <c r="BH65" s="76">
        <f t="shared" si="6"/>
        <v>0</v>
      </c>
      <c r="BI65" s="76">
        <f t="shared" si="7"/>
        <v>0</v>
      </c>
      <c r="BJ65" s="76">
        <f t="shared" si="8"/>
        <v>0</v>
      </c>
      <c r="BK65" s="302"/>
      <c r="BL65" s="354"/>
    </row>
    <row r="66" spans="2:64" s="320" customFormat="1" ht="12.75">
      <c r="B66" s="353"/>
      <c r="C66" s="302"/>
      <c r="D66" s="302">
        <v>53</v>
      </c>
      <c r="E66" s="186"/>
      <c r="F66" s="187"/>
      <c r="G66" s="326"/>
      <c r="H66" s="187">
        <v>0</v>
      </c>
      <c r="I66" s="207">
        <f t="shared" si="17"/>
        <v>0</v>
      </c>
      <c r="J66" s="207">
        <f t="shared" si="17"/>
        <v>0</v>
      </c>
      <c r="K66" s="207">
        <f t="shared" si="17"/>
        <v>0</v>
      </c>
      <c r="L66" s="207">
        <f t="shared" si="17"/>
        <v>0</v>
      </c>
      <c r="M66" s="302"/>
      <c r="N66" s="302"/>
      <c r="O66" s="302">
        <v>53</v>
      </c>
      <c r="P66" s="364">
        <v>0</v>
      </c>
      <c r="Q66" s="365">
        <f t="shared" si="18"/>
        <v>0</v>
      </c>
      <c r="R66" s="365">
        <f t="shared" si="18"/>
        <v>0</v>
      </c>
      <c r="S66" s="365">
        <f t="shared" si="18"/>
        <v>0</v>
      </c>
      <c r="T66" s="365">
        <f t="shared" si="18"/>
        <v>0</v>
      </c>
      <c r="U66" s="302"/>
      <c r="V66" s="302"/>
      <c r="W66" s="302">
        <v>53</v>
      </c>
      <c r="X66" s="73">
        <v>0</v>
      </c>
      <c r="Y66" s="365">
        <f t="shared" si="19"/>
        <v>0</v>
      </c>
      <c r="Z66" s="365">
        <f t="shared" si="19"/>
        <v>0</v>
      </c>
      <c r="AA66" s="365">
        <f t="shared" si="19"/>
        <v>0</v>
      </c>
      <c r="AB66" s="365">
        <f t="shared" si="19"/>
        <v>0</v>
      </c>
      <c r="AC66" s="302"/>
      <c r="AD66" s="302"/>
      <c r="AE66" s="302">
        <v>53</v>
      </c>
      <c r="AF66" s="73">
        <v>0</v>
      </c>
      <c r="AG66" s="365">
        <f t="shared" si="20"/>
        <v>0</v>
      </c>
      <c r="AH66" s="365">
        <f t="shared" si="20"/>
        <v>0</v>
      </c>
      <c r="AI66" s="365">
        <f t="shared" si="20"/>
        <v>0</v>
      </c>
      <c r="AJ66" s="365">
        <f t="shared" si="20"/>
        <v>0</v>
      </c>
      <c r="AK66" s="326"/>
      <c r="AL66" s="356"/>
      <c r="AM66" s="362"/>
      <c r="AN66" s="302"/>
      <c r="AO66" s="302">
        <v>53</v>
      </c>
      <c r="AP66" s="76">
        <f>ROUND(H66*tab!G$55,0)</f>
        <v>0</v>
      </c>
      <c r="AQ66" s="76">
        <f>ROUND(I66*tab!I$55,0)</f>
        <v>0</v>
      </c>
      <c r="AR66" s="76">
        <f>ROUND(J66*tab!K$55,0)</f>
        <v>0</v>
      </c>
      <c r="AS66" s="76">
        <f>ROUND(K66*tab!M$55,0)</f>
        <v>0</v>
      </c>
      <c r="AT66" s="76">
        <f>ROUND(L66*tab!O$55,0)</f>
        <v>0</v>
      </c>
      <c r="AU66" s="302"/>
      <c r="AV66" s="302"/>
      <c r="AW66" s="302">
        <v>53</v>
      </c>
      <c r="AX66" s="76">
        <f>+H66*tab!F$56</f>
        <v>0</v>
      </c>
      <c r="AY66" s="76">
        <f>+I66*tab!H$56</f>
        <v>0</v>
      </c>
      <c r="AZ66" s="76">
        <f>+J66*tab!J$56</f>
        <v>0</v>
      </c>
      <c r="BA66" s="76">
        <f>+K66*tab!L$56</f>
        <v>0</v>
      </c>
      <c r="BB66" s="76">
        <f>+L66*tab!N$56</f>
        <v>0</v>
      </c>
      <c r="BC66" s="302"/>
      <c r="BD66" s="302"/>
      <c r="BE66" s="302">
        <v>53</v>
      </c>
      <c r="BF66" s="76">
        <f t="shared" si="4"/>
        <v>0</v>
      </c>
      <c r="BG66" s="76">
        <f t="shared" si="5"/>
        <v>0</v>
      </c>
      <c r="BH66" s="76">
        <f t="shared" si="6"/>
        <v>0</v>
      </c>
      <c r="BI66" s="76">
        <f t="shared" si="7"/>
        <v>0</v>
      </c>
      <c r="BJ66" s="76">
        <f t="shared" si="8"/>
        <v>0</v>
      </c>
      <c r="BK66" s="302"/>
      <c r="BL66" s="354"/>
    </row>
    <row r="67" spans="2:64" s="320" customFormat="1" ht="12.75">
      <c r="B67" s="353"/>
      <c r="C67" s="302"/>
      <c r="D67" s="302">
        <v>54</v>
      </c>
      <c r="E67" s="186"/>
      <c r="F67" s="187"/>
      <c r="G67" s="326"/>
      <c r="H67" s="187">
        <v>0</v>
      </c>
      <c r="I67" s="207">
        <f aca="true" t="shared" si="21" ref="I67:L88">H67</f>
        <v>0</v>
      </c>
      <c r="J67" s="207">
        <f t="shared" si="21"/>
        <v>0</v>
      </c>
      <c r="K67" s="207">
        <f t="shared" si="21"/>
        <v>0</v>
      </c>
      <c r="L67" s="207">
        <f t="shared" si="21"/>
        <v>0</v>
      </c>
      <c r="M67" s="302"/>
      <c r="N67" s="302"/>
      <c r="O67" s="302">
        <v>54</v>
      </c>
      <c r="P67" s="364">
        <v>0</v>
      </c>
      <c r="Q67" s="365">
        <f aca="true" t="shared" si="22" ref="Q67:T88">P67</f>
        <v>0</v>
      </c>
      <c r="R67" s="365">
        <f t="shared" si="22"/>
        <v>0</v>
      </c>
      <c r="S67" s="365">
        <f t="shared" si="22"/>
        <v>0</v>
      </c>
      <c r="T67" s="365">
        <f t="shared" si="22"/>
        <v>0</v>
      </c>
      <c r="U67" s="302"/>
      <c r="V67" s="302"/>
      <c r="W67" s="302">
        <v>54</v>
      </c>
      <c r="X67" s="73">
        <v>0</v>
      </c>
      <c r="Y67" s="365">
        <f aca="true" t="shared" si="23" ref="Y67:AB88">X67</f>
        <v>0</v>
      </c>
      <c r="Z67" s="365">
        <f t="shared" si="23"/>
        <v>0</v>
      </c>
      <c r="AA67" s="365">
        <f t="shared" si="23"/>
        <v>0</v>
      </c>
      <c r="AB67" s="365">
        <f t="shared" si="23"/>
        <v>0</v>
      </c>
      <c r="AC67" s="302"/>
      <c r="AD67" s="302"/>
      <c r="AE67" s="302">
        <v>54</v>
      </c>
      <c r="AF67" s="73">
        <v>0</v>
      </c>
      <c r="AG67" s="365">
        <f aca="true" t="shared" si="24" ref="AG67:AJ88">AF67</f>
        <v>0</v>
      </c>
      <c r="AH67" s="365">
        <f t="shared" si="24"/>
        <v>0</v>
      </c>
      <c r="AI67" s="365">
        <f t="shared" si="24"/>
        <v>0</v>
      </c>
      <c r="AJ67" s="365">
        <f t="shared" si="24"/>
        <v>0</v>
      </c>
      <c r="AK67" s="326"/>
      <c r="AL67" s="356"/>
      <c r="AM67" s="362"/>
      <c r="AN67" s="302"/>
      <c r="AO67" s="302">
        <v>54</v>
      </c>
      <c r="AP67" s="76">
        <f>ROUND(H67*tab!G$55,0)</f>
        <v>0</v>
      </c>
      <c r="AQ67" s="76">
        <f>ROUND(I67*tab!I$55,0)</f>
        <v>0</v>
      </c>
      <c r="AR67" s="76">
        <f>ROUND(J67*tab!K$55,0)</f>
        <v>0</v>
      </c>
      <c r="AS67" s="76">
        <f>ROUND(K67*tab!M$55,0)</f>
        <v>0</v>
      </c>
      <c r="AT67" s="76">
        <f>ROUND(L67*tab!O$55,0)</f>
        <v>0</v>
      </c>
      <c r="AU67" s="302"/>
      <c r="AV67" s="302"/>
      <c r="AW67" s="302">
        <v>54</v>
      </c>
      <c r="AX67" s="76">
        <f>+H67*tab!F$56</f>
        <v>0</v>
      </c>
      <c r="AY67" s="76">
        <f>+I67*tab!H$56</f>
        <v>0</v>
      </c>
      <c r="AZ67" s="76">
        <f>+J67*tab!J$56</f>
        <v>0</v>
      </c>
      <c r="BA67" s="76">
        <f>+K67*tab!L$56</f>
        <v>0</v>
      </c>
      <c r="BB67" s="76">
        <f>+L67*tab!N$56</f>
        <v>0</v>
      </c>
      <c r="BC67" s="302"/>
      <c r="BD67" s="302"/>
      <c r="BE67" s="302">
        <v>54</v>
      </c>
      <c r="BF67" s="76">
        <f t="shared" si="4"/>
        <v>0</v>
      </c>
      <c r="BG67" s="76">
        <f t="shared" si="5"/>
        <v>0</v>
      </c>
      <c r="BH67" s="76">
        <f t="shared" si="6"/>
        <v>0</v>
      </c>
      <c r="BI67" s="76">
        <f t="shared" si="7"/>
        <v>0</v>
      </c>
      <c r="BJ67" s="76">
        <f t="shared" si="8"/>
        <v>0</v>
      </c>
      <c r="BK67" s="302"/>
      <c r="BL67" s="354"/>
    </row>
    <row r="68" spans="2:64" s="320" customFormat="1" ht="12.75">
      <c r="B68" s="353"/>
      <c r="C68" s="302"/>
      <c r="D68" s="302">
        <v>55</v>
      </c>
      <c r="E68" s="186"/>
      <c r="F68" s="187"/>
      <c r="G68" s="326"/>
      <c r="H68" s="187">
        <v>0</v>
      </c>
      <c r="I68" s="207">
        <f t="shared" si="21"/>
        <v>0</v>
      </c>
      <c r="J68" s="207">
        <f t="shared" si="21"/>
        <v>0</v>
      </c>
      <c r="K68" s="207">
        <f t="shared" si="21"/>
        <v>0</v>
      </c>
      <c r="L68" s="207">
        <f t="shared" si="21"/>
        <v>0</v>
      </c>
      <c r="M68" s="302"/>
      <c r="N68" s="302"/>
      <c r="O68" s="302">
        <v>55</v>
      </c>
      <c r="P68" s="364">
        <v>0</v>
      </c>
      <c r="Q68" s="365">
        <f t="shared" si="22"/>
        <v>0</v>
      </c>
      <c r="R68" s="365">
        <f t="shared" si="22"/>
        <v>0</v>
      </c>
      <c r="S68" s="365">
        <f t="shared" si="22"/>
        <v>0</v>
      </c>
      <c r="T68" s="365">
        <f t="shared" si="22"/>
        <v>0</v>
      </c>
      <c r="U68" s="302"/>
      <c r="V68" s="302"/>
      <c r="W68" s="302">
        <v>55</v>
      </c>
      <c r="X68" s="73">
        <v>0</v>
      </c>
      <c r="Y68" s="365">
        <f t="shared" si="23"/>
        <v>0</v>
      </c>
      <c r="Z68" s="365">
        <f t="shared" si="23"/>
        <v>0</v>
      </c>
      <c r="AA68" s="365">
        <f t="shared" si="23"/>
        <v>0</v>
      </c>
      <c r="AB68" s="365">
        <f t="shared" si="23"/>
        <v>0</v>
      </c>
      <c r="AC68" s="302"/>
      <c r="AD68" s="302"/>
      <c r="AE68" s="302">
        <v>55</v>
      </c>
      <c r="AF68" s="73">
        <v>0</v>
      </c>
      <c r="AG68" s="365">
        <f t="shared" si="24"/>
        <v>0</v>
      </c>
      <c r="AH68" s="365">
        <f t="shared" si="24"/>
        <v>0</v>
      </c>
      <c r="AI68" s="365">
        <f t="shared" si="24"/>
        <v>0</v>
      </c>
      <c r="AJ68" s="365">
        <f t="shared" si="24"/>
        <v>0</v>
      </c>
      <c r="AK68" s="326"/>
      <c r="AL68" s="356"/>
      <c r="AM68" s="362"/>
      <c r="AN68" s="302"/>
      <c r="AO68" s="302">
        <v>55</v>
      </c>
      <c r="AP68" s="76">
        <f>ROUND(H68*tab!G$55,0)</f>
        <v>0</v>
      </c>
      <c r="AQ68" s="76">
        <f>ROUND(I68*tab!I$55,0)</f>
        <v>0</v>
      </c>
      <c r="AR68" s="76">
        <f>ROUND(J68*tab!K$55,0)</f>
        <v>0</v>
      </c>
      <c r="AS68" s="76">
        <f>ROUND(K68*tab!M$55,0)</f>
        <v>0</v>
      </c>
      <c r="AT68" s="76">
        <f>ROUND(L68*tab!O$55,0)</f>
        <v>0</v>
      </c>
      <c r="AU68" s="302"/>
      <c r="AV68" s="302"/>
      <c r="AW68" s="302">
        <v>55</v>
      </c>
      <c r="AX68" s="76">
        <f>+H68*tab!F$56</f>
        <v>0</v>
      </c>
      <c r="AY68" s="76">
        <f>+I68*tab!H$56</f>
        <v>0</v>
      </c>
      <c r="AZ68" s="76">
        <f>+J68*tab!J$56</f>
        <v>0</v>
      </c>
      <c r="BA68" s="76">
        <f>+K68*tab!L$56</f>
        <v>0</v>
      </c>
      <c r="BB68" s="76">
        <f>+L68*tab!N$56</f>
        <v>0</v>
      </c>
      <c r="BC68" s="302"/>
      <c r="BD68" s="302"/>
      <c r="BE68" s="302">
        <v>55</v>
      </c>
      <c r="BF68" s="76">
        <f t="shared" si="4"/>
        <v>0</v>
      </c>
      <c r="BG68" s="76">
        <f t="shared" si="5"/>
        <v>0</v>
      </c>
      <c r="BH68" s="76">
        <f t="shared" si="6"/>
        <v>0</v>
      </c>
      <c r="BI68" s="76">
        <f t="shared" si="7"/>
        <v>0</v>
      </c>
      <c r="BJ68" s="76">
        <f t="shared" si="8"/>
        <v>0</v>
      </c>
      <c r="BK68" s="302"/>
      <c r="BL68" s="354"/>
    </row>
    <row r="69" spans="2:64" s="320" customFormat="1" ht="12.75">
      <c r="B69" s="353"/>
      <c r="C69" s="302"/>
      <c r="D69" s="302">
        <v>56</v>
      </c>
      <c r="E69" s="186"/>
      <c r="F69" s="187"/>
      <c r="G69" s="326"/>
      <c r="H69" s="187">
        <v>0</v>
      </c>
      <c r="I69" s="207">
        <f t="shared" si="21"/>
        <v>0</v>
      </c>
      <c r="J69" s="207">
        <f t="shared" si="21"/>
        <v>0</v>
      </c>
      <c r="K69" s="207">
        <f t="shared" si="21"/>
        <v>0</v>
      </c>
      <c r="L69" s="207">
        <f t="shared" si="21"/>
        <v>0</v>
      </c>
      <c r="M69" s="302"/>
      <c r="N69" s="302"/>
      <c r="O69" s="302">
        <v>56</v>
      </c>
      <c r="P69" s="364">
        <v>0</v>
      </c>
      <c r="Q69" s="365">
        <f t="shared" si="22"/>
        <v>0</v>
      </c>
      <c r="R69" s="365">
        <f t="shared" si="22"/>
        <v>0</v>
      </c>
      <c r="S69" s="365">
        <f t="shared" si="22"/>
        <v>0</v>
      </c>
      <c r="T69" s="365">
        <f t="shared" si="22"/>
        <v>0</v>
      </c>
      <c r="U69" s="302"/>
      <c r="V69" s="302"/>
      <c r="W69" s="302">
        <v>56</v>
      </c>
      <c r="X69" s="73">
        <v>0</v>
      </c>
      <c r="Y69" s="365">
        <f t="shared" si="23"/>
        <v>0</v>
      </c>
      <c r="Z69" s="365">
        <f t="shared" si="23"/>
        <v>0</v>
      </c>
      <c r="AA69" s="365">
        <f t="shared" si="23"/>
        <v>0</v>
      </c>
      <c r="AB69" s="365">
        <f t="shared" si="23"/>
        <v>0</v>
      </c>
      <c r="AC69" s="302"/>
      <c r="AD69" s="302"/>
      <c r="AE69" s="302">
        <v>56</v>
      </c>
      <c r="AF69" s="73">
        <v>0</v>
      </c>
      <c r="AG69" s="365">
        <f t="shared" si="24"/>
        <v>0</v>
      </c>
      <c r="AH69" s="365">
        <f t="shared" si="24"/>
        <v>0</v>
      </c>
      <c r="AI69" s="365">
        <f t="shared" si="24"/>
        <v>0</v>
      </c>
      <c r="AJ69" s="365">
        <f t="shared" si="24"/>
        <v>0</v>
      </c>
      <c r="AK69" s="326"/>
      <c r="AL69" s="356"/>
      <c r="AM69" s="362"/>
      <c r="AN69" s="302"/>
      <c r="AO69" s="302">
        <v>56</v>
      </c>
      <c r="AP69" s="76">
        <f>ROUND(H69*tab!G$55,0)</f>
        <v>0</v>
      </c>
      <c r="AQ69" s="76">
        <f>ROUND(I69*tab!I$55,0)</f>
        <v>0</v>
      </c>
      <c r="AR69" s="76">
        <f>ROUND(J69*tab!K$55,0)</f>
        <v>0</v>
      </c>
      <c r="AS69" s="76">
        <f>ROUND(K69*tab!M$55,0)</f>
        <v>0</v>
      </c>
      <c r="AT69" s="76">
        <f>ROUND(L69*tab!O$55,0)</f>
        <v>0</v>
      </c>
      <c r="AU69" s="302"/>
      <c r="AV69" s="302"/>
      <c r="AW69" s="302">
        <v>56</v>
      </c>
      <c r="AX69" s="76">
        <f>+H69*tab!F$56</f>
        <v>0</v>
      </c>
      <c r="AY69" s="76">
        <f>+I69*tab!H$56</f>
        <v>0</v>
      </c>
      <c r="AZ69" s="76">
        <f>+J69*tab!J$56</f>
        <v>0</v>
      </c>
      <c r="BA69" s="76">
        <f>+K69*tab!L$56</f>
        <v>0</v>
      </c>
      <c r="BB69" s="76">
        <f>+L69*tab!N$56</f>
        <v>0</v>
      </c>
      <c r="BC69" s="302"/>
      <c r="BD69" s="302"/>
      <c r="BE69" s="302">
        <v>56</v>
      </c>
      <c r="BF69" s="76">
        <f t="shared" si="4"/>
        <v>0</v>
      </c>
      <c r="BG69" s="76">
        <f t="shared" si="5"/>
        <v>0</v>
      </c>
      <c r="BH69" s="76">
        <f t="shared" si="6"/>
        <v>0</v>
      </c>
      <c r="BI69" s="76">
        <f t="shared" si="7"/>
        <v>0</v>
      </c>
      <c r="BJ69" s="76">
        <f t="shared" si="8"/>
        <v>0</v>
      </c>
      <c r="BK69" s="302"/>
      <c r="BL69" s="354"/>
    </row>
    <row r="70" spans="2:64" s="320" customFormat="1" ht="12.75">
      <c r="B70" s="353"/>
      <c r="C70" s="302"/>
      <c r="D70" s="302">
        <v>57</v>
      </c>
      <c r="E70" s="186"/>
      <c r="F70" s="187"/>
      <c r="G70" s="326"/>
      <c r="H70" s="187">
        <v>0</v>
      </c>
      <c r="I70" s="207">
        <f t="shared" si="21"/>
        <v>0</v>
      </c>
      <c r="J70" s="207">
        <f t="shared" si="21"/>
        <v>0</v>
      </c>
      <c r="K70" s="207">
        <f t="shared" si="21"/>
        <v>0</v>
      </c>
      <c r="L70" s="207">
        <f t="shared" si="21"/>
        <v>0</v>
      </c>
      <c r="M70" s="302"/>
      <c r="N70" s="302"/>
      <c r="O70" s="302">
        <v>57</v>
      </c>
      <c r="P70" s="364">
        <v>0</v>
      </c>
      <c r="Q70" s="365">
        <f t="shared" si="22"/>
        <v>0</v>
      </c>
      <c r="R70" s="365">
        <f t="shared" si="22"/>
        <v>0</v>
      </c>
      <c r="S70" s="365">
        <f t="shared" si="22"/>
        <v>0</v>
      </c>
      <c r="T70" s="365">
        <f t="shared" si="22"/>
        <v>0</v>
      </c>
      <c r="U70" s="302"/>
      <c r="V70" s="302"/>
      <c r="W70" s="302">
        <v>57</v>
      </c>
      <c r="X70" s="73">
        <v>0</v>
      </c>
      <c r="Y70" s="365">
        <f t="shared" si="23"/>
        <v>0</v>
      </c>
      <c r="Z70" s="365">
        <f t="shared" si="23"/>
        <v>0</v>
      </c>
      <c r="AA70" s="365">
        <f t="shared" si="23"/>
        <v>0</v>
      </c>
      <c r="AB70" s="365">
        <f t="shared" si="23"/>
        <v>0</v>
      </c>
      <c r="AC70" s="302"/>
      <c r="AD70" s="302"/>
      <c r="AE70" s="302">
        <v>57</v>
      </c>
      <c r="AF70" s="73">
        <v>0</v>
      </c>
      <c r="AG70" s="365">
        <f t="shared" si="24"/>
        <v>0</v>
      </c>
      <c r="AH70" s="365">
        <f t="shared" si="24"/>
        <v>0</v>
      </c>
      <c r="AI70" s="365">
        <f t="shared" si="24"/>
        <v>0</v>
      </c>
      <c r="AJ70" s="365">
        <f t="shared" si="24"/>
        <v>0</v>
      </c>
      <c r="AK70" s="326"/>
      <c r="AL70" s="356"/>
      <c r="AM70" s="362"/>
      <c r="AN70" s="302"/>
      <c r="AO70" s="302">
        <v>57</v>
      </c>
      <c r="AP70" s="76">
        <f>ROUND(H70*tab!G$55,0)</f>
        <v>0</v>
      </c>
      <c r="AQ70" s="76">
        <f>ROUND(I70*tab!I$55,0)</f>
        <v>0</v>
      </c>
      <c r="AR70" s="76">
        <f>ROUND(J70*tab!K$55,0)</f>
        <v>0</v>
      </c>
      <c r="AS70" s="76">
        <f>ROUND(K70*tab!M$55,0)</f>
        <v>0</v>
      </c>
      <c r="AT70" s="76">
        <f>ROUND(L70*tab!O$55,0)</f>
        <v>0</v>
      </c>
      <c r="AU70" s="302"/>
      <c r="AV70" s="302"/>
      <c r="AW70" s="302">
        <v>57</v>
      </c>
      <c r="AX70" s="76">
        <f>+H70*tab!F$56</f>
        <v>0</v>
      </c>
      <c r="AY70" s="76">
        <f>+I70*tab!H$56</f>
        <v>0</v>
      </c>
      <c r="AZ70" s="76">
        <f>+J70*tab!J$56</f>
        <v>0</v>
      </c>
      <c r="BA70" s="76">
        <f>+K70*tab!L$56</f>
        <v>0</v>
      </c>
      <c r="BB70" s="76">
        <f>+L70*tab!N$56</f>
        <v>0</v>
      </c>
      <c r="BC70" s="302"/>
      <c r="BD70" s="302"/>
      <c r="BE70" s="302">
        <v>57</v>
      </c>
      <c r="BF70" s="76">
        <f t="shared" si="4"/>
        <v>0</v>
      </c>
      <c r="BG70" s="76">
        <f t="shared" si="5"/>
        <v>0</v>
      </c>
      <c r="BH70" s="76">
        <f t="shared" si="6"/>
        <v>0</v>
      </c>
      <c r="BI70" s="76">
        <f t="shared" si="7"/>
        <v>0</v>
      </c>
      <c r="BJ70" s="76">
        <f t="shared" si="8"/>
        <v>0</v>
      </c>
      <c r="BK70" s="302"/>
      <c r="BL70" s="354"/>
    </row>
    <row r="71" spans="2:64" s="320" customFormat="1" ht="12.75">
      <c r="B71" s="353"/>
      <c r="C71" s="302"/>
      <c r="D71" s="302">
        <v>58</v>
      </c>
      <c r="E71" s="186"/>
      <c r="F71" s="187"/>
      <c r="G71" s="326"/>
      <c r="H71" s="187">
        <v>0</v>
      </c>
      <c r="I71" s="207">
        <f t="shared" si="21"/>
        <v>0</v>
      </c>
      <c r="J71" s="207">
        <f t="shared" si="21"/>
        <v>0</v>
      </c>
      <c r="K71" s="207">
        <f t="shared" si="21"/>
        <v>0</v>
      </c>
      <c r="L71" s="207">
        <f t="shared" si="21"/>
        <v>0</v>
      </c>
      <c r="M71" s="302"/>
      <c r="N71" s="302"/>
      <c r="O71" s="302">
        <v>58</v>
      </c>
      <c r="P71" s="364">
        <v>0</v>
      </c>
      <c r="Q71" s="365">
        <f t="shared" si="22"/>
        <v>0</v>
      </c>
      <c r="R71" s="365">
        <f t="shared" si="22"/>
        <v>0</v>
      </c>
      <c r="S71" s="365">
        <f t="shared" si="22"/>
        <v>0</v>
      </c>
      <c r="T71" s="365">
        <f t="shared" si="22"/>
        <v>0</v>
      </c>
      <c r="U71" s="302"/>
      <c r="V71" s="302"/>
      <c r="W71" s="302">
        <v>58</v>
      </c>
      <c r="X71" s="73">
        <v>0</v>
      </c>
      <c r="Y71" s="365">
        <f t="shared" si="23"/>
        <v>0</v>
      </c>
      <c r="Z71" s="365">
        <f t="shared" si="23"/>
        <v>0</v>
      </c>
      <c r="AA71" s="365">
        <f t="shared" si="23"/>
        <v>0</v>
      </c>
      <c r="AB71" s="365">
        <f t="shared" si="23"/>
        <v>0</v>
      </c>
      <c r="AC71" s="302"/>
      <c r="AD71" s="302"/>
      <c r="AE71" s="302">
        <v>58</v>
      </c>
      <c r="AF71" s="73">
        <v>0</v>
      </c>
      <c r="AG71" s="365">
        <f t="shared" si="24"/>
        <v>0</v>
      </c>
      <c r="AH71" s="365">
        <f t="shared" si="24"/>
        <v>0</v>
      </c>
      <c r="AI71" s="365">
        <f t="shared" si="24"/>
        <v>0</v>
      </c>
      <c r="AJ71" s="365">
        <f t="shared" si="24"/>
        <v>0</v>
      </c>
      <c r="AK71" s="326"/>
      <c r="AL71" s="356"/>
      <c r="AM71" s="362"/>
      <c r="AN71" s="302"/>
      <c r="AO71" s="302">
        <v>58</v>
      </c>
      <c r="AP71" s="76">
        <f>ROUND(H71*tab!G$55,0)</f>
        <v>0</v>
      </c>
      <c r="AQ71" s="76">
        <f>ROUND(I71*tab!I$55,0)</f>
        <v>0</v>
      </c>
      <c r="AR71" s="76">
        <f>ROUND(J71*tab!K$55,0)</f>
        <v>0</v>
      </c>
      <c r="AS71" s="76">
        <f>ROUND(K71*tab!M$55,0)</f>
        <v>0</v>
      </c>
      <c r="AT71" s="76">
        <f>ROUND(L71*tab!O$55,0)</f>
        <v>0</v>
      </c>
      <c r="AU71" s="302"/>
      <c r="AV71" s="302"/>
      <c r="AW71" s="302">
        <v>58</v>
      </c>
      <c r="AX71" s="76">
        <f>+H71*tab!F$56</f>
        <v>0</v>
      </c>
      <c r="AY71" s="76">
        <f>+I71*tab!H$56</f>
        <v>0</v>
      </c>
      <c r="AZ71" s="76">
        <f>+J71*tab!J$56</f>
        <v>0</v>
      </c>
      <c r="BA71" s="76">
        <f>+K71*tab!L$56</f>
        <v>0</v>
      </c>
      <c r="BB71" s="76">
        <f>+L71*tab!N$56</f>
        <v>0</v>
      </c>
      <c r="BC71" s="302"/>
      <c r="BD71" s="302"/>
      <c r="BE71" s="302">
        <v>58</v>
      </c>
      <c r="BF71" s="76">
        <f t="shared" si="4"/>
        <v>0</v>
      </c>
      <c r="BG71" s="76">
        <f t="shared" si="5"/>
        <v>0</v>
      </c>
      <c r="BH71" s="76">
        <f t="shared" si="6"/>
        <v>0</v>
      </c>
      <c r="BI71" s="76">
        <f t="shared" si="7"/>
        <v>0</v>
      </c>
      <c r="BJ71" s="76">
        <f t="shared" si="8"/>
        <v>0</v>
      </c>
      <c r="BK71" s="302"/>
      <c r="BL71" s="354"/>
    </row>
    <row r="72" spans="2:64" s="320" customFormat="1" ht="12.75">
      <c r="B72" s="353"/>
      <c r="C72" s="302"/>
      <c r="D72" s="302">
        <v>59</v>
      </c>
      <c r="E72" s="186"/>
      <c r="F72" s="187"/>
      <c r="G72" s="326"/>
      <c r="H72" s="187">
        <v>0</v>
      </c>
      <c r="I72" s="207">
        <f t="shared" si="21"/>
        <v>0</v>
      </c>
      <c r="J72" s="207">
        <f t="shared" si="21"/>
        <v>0</v>
      </c>
      <c r="K72" s="207">
        <f t="shared" si="21"/>
        <v>0</v>
      </c>
      <c r="L72" s="207">
        <f t="shared" si="21"/>
        <v>0</v>
      </c>
      <c r="M72" s="302"/>
      <c r="N72" s="302"/>
      <c r="O72" s="302">
        <v>59</v>
      </c>
      <c r="P72" s="364">
        <v>0</v>
      </c>
      <c r="Q72" s="365">
        <f t="shared" si="22"/>
        <v>0</v>
      </c>
      <c r="R72" s="365">
        <f t="shared" si="22"/>
        <v>0</v>
      </c>
      <c r="S72" s="365">
        <f t="shared" si="22"/>
        <v>0</v>
      </c>
      <c r="T72" s="365">
        <f t="shared" si="22"/>
        <v>0</v>
      </c>
      <c r="U72" s="302"/>
      <c r="V72" s="302"/>
      <c r="W72" s="302">
        <v>59</v>
      </c>
      <c r="X72" s="73">
        <v>0</v>
      </c>
      <c r="Y72" s="365">
        <f t="shared" si="23"/>
        <v>0</v>
      </c>
      <c r="Z72" s="365">
        <f t="shared" si="23"/>
        <v>0</v>
      </c>
      <c r="AA72" s="365">
        <f t="shared" si="23"/>
        <v>0</v>
      </c>
      <c r="AB72" s="365">
        <f t="shared" si="23"/>
        <v>0</v>
      </c>
      <c r="AC72" s="302"/>
      <c r="AD72" s="302"/>
      <c r="AE72" s="302">
        <v>59</v>
      </c>
      <c r="AF72" s="73">
        <v>0</v>
      </c>
      <c r="AG72" s="365">
        <f t="shared" si="24"/>
        <v>0</v>
      </c>
      <c r="AH72" s="365">
        <f t="shared" si="24"/>
        <v>0</v>
      </c>
      <c r="AI72" s="365">
        <f t="shared" si="24"/>
        <v>0</v>
      </c>
      <c r="AJ72" s="365">
        <f t="shared" si="24"/>
        <v>0</v>
      </c>
      <c r="AK72" s="326"/>
      <c r="AL72" s="356"/>
      <c r="AM72" s="362"/>
      <c r="AN72" s="302"/>
      <c r="AO72" s="302">
        <v>59</v>
      </c>
      <c r="AP72" s="76">
        <f>ROUND(H72*tab!G$55,0)</f>
        <v>0</v>
      </c>
      <c r="AQ72" s="76">
        <f>ROUND(I72*tab!I$55,0)</f>
        <v>0</v>
      </c>
      <c r="AR72" s="76">
        <f>ROUND(J72*tab!K$55,0)</f>
        <v>0</v>
      </c>
      <c r="AS72" s="76">
        <f>ROUND(K72*tab!M$55,0)</f>
        <v>0</v>
      </c>
      <c r="AT72" s="76">
        <f>ROUND(L72*tab!O$55,0)</f>
        <v>0</v>
      </c>
      <c r="AU72" s="302"/>
      <c r="AV72" s="302"/>
      <c r="AW72" s="302">
        <v>59</v>
      </c>
      <c r="AX72" s="76">
        <f>+H72*tab!F$56</f>
        <v>0</v>
      </c>
      <c r="AY72" s="76">
        <f>+I72*tab!H$56</f>
        <v>0</v>
      </c>
      <c r="AZ72" s="76">
        <f>+J72*tab!J$56</f>
        <v>0</v>
      </c>
      <c r="BA72" s="76">
        <f>+K72*tab!L$56</f>
        <v>0</v>
      </c>
      <c r="BB72" s="76">
        <f>+L72*tab!N$56</f>
        <v>0</v>
      </c>
      <c r="BC72" s="302"/>
      <c r="BD72" s="302"/>
      <c r="BE72" s="302">
        <v>59</v>
      </c>
      <c r="BF72" s="76">
        <f t="shared" si="4"/>
        <v>0</v>
      </c>
      <c r="BG72" s="76">
        <f t="shared" si="5"/>
        <v>0</v>
      </c>
      <c r="BH72" s="76">
        <f t="shared" si="6"/>
        <v>0</v>
      </c>
      <c r="BI72" s="76">
        <f t="shared" si="7"/>
        <v>0</v>
      </c>
      <c r="BJ72" s="76">
        <f t="shared" si="8"/>
        <v>0</v>
      </c>
      <c r="BK72" s="302"/>
      <c r="BL72" s="354"/>
    </row>
    <row r="73" spans="2:64" s="325" customFormat="1" ht="12.75">
      <c r="B73" s="362"/>
      <c r="C73" s="302"/>
      <c r="D73" s="302">
        <v>60</v>
      </c>
      <c r="E73" s="186"/>
      <c r="F73" s="187"/>
      <c r="G73" s="326"/>
      <c r="H73" s="187">
        <v>0</v>
      </c>
      <c r="I73" s="207">
        <f t="shared" si="21"/>
        <v>0</v>
      </c>
      <c r="J73" s="207">
        <f t="shared" si="21"/>
        <v>0</v>
      </c>
      <c r="K73" s="207">
        <f t="shared" si="21"/>
        <v>0</v>
      </c>
      <c r="L73" s="207">
        <f t="shared" si="21"/>
        <v>0</v>
      </c>
      <c r="M73" s="302"/>
      <c r="N73" s="302"/>
      <c r="O73" s="302">
        <v>60</v>
      </c>
      <c r="P73" s="364">
        <v>0</v>
      </c>
      <c r="Q73" s="365">
        <f t="shared" si="22"/>
        <v>0</v>
      </c>
      <c r="R73" s="365">
        <f t="shared" si="22"/>
        <v>0</v>
      </c>
      <c r="S73" s="365">
        <f t="shared" si="22"/>
        <v>0</v>
      </c>
      <c r="T73" s="365">
        <f t="shared" si="22"/>
        <v>0</v>
      </c>
      <c r="U73" s="302"/>
      <c r="V73" s="302"/>
      <c r="W73" s="302">
        <v>60</v>
      </c>
      <c r="X73" s="73">
        <v>0</v>
      </c>
      <c r="Y73" s="365">
        <f t="shared" si="23"/>
        <v>0</v>
      </c>
      <c r="Z73" s="365">
        <f t="shared" si="23"/>
        <v>0</v>
      </c>
      <c r="AA73" s="365">
        <f t="shared" si="23"/>
        <v>0</v>
      </c>
      <c r="AB73" s="365">
        <f t="shared" si="23"/>
        <v>0</v>
      </c>
      <c r="AC73" s="302"/>
      <c r="AD73" s="302"/>
      <c r="AE73" s="302">
        <v>60</v>
      </c>
      <c r="AF73" s="73">
        <v>0</v>
      </c>
      <c r="AG73" s="365">
        <f t="shared" si="24"/>
        <v>0</v>
      </c>
      <c r="AH73" s="365">
        <f t="shared" si="24"/>
        <v>0</v>
      </c>
      <c r="AI73" s="365">
        <f t="shared" si="24"/>
        <v>0</v>
      </c>
      <c r="AJ73" s="365">
        <f t="shared" si="24"/>
        <v>0</v>
      </c>
      <c r="AK73" s="326"/>
      <c r="AL73" s="356"/>
      <c r="AM73" s="362"/>
      <c r="AN73" s="302"/>
      <c r="AO73" s="302">
        <v>60</v>
      </c>
      <c r="AP73" s="76">
        <f>ROUND(H73*tab!G$55,0)</f>
        <v>0</v>
      </c>
      <c r="AQ73" s="76">
        <f>ROUND(I73*tab!I$55,0)</f>
        <v>0</v>
      </c>
      <c r="AR73" s="76">
        <f>ROUND(J73*tab!K$55,0)</f>
        <v>0</v>
      </c>
      <c r="AS73" s="76">
        <f>ROUND(K73*tab!M$55,0)</f>
        <v>0</v>
      </c>
      <c r="AT73" s="76">
        <f>ROUND(L73*tab!O$55,0)</f>
        <v>0</v>
      </c>
      <c r="AU73" s="302"/>
      <c r="AV73" s="302"/>
      <c r="AW73" s="302">
        <v>60</v>
      </c>
      <c r="AX73" s="76">
        <f>+H73*tab!F$56</f>
        <v>0</v>
      </c>
      <c r="AY73" s="76">
        <f>+I73*tab!H$56</f>
        <v>0</v>
      </c>
      <c r="AZ73" s="76">
        <f>+J73*tab!J$56</f>
        <v>0</v>
      </c>
      <c r="BA73" s="76">
        <f>+K73*tab!L$56</f>
        <v>0</v>
      </c>
      <c r="BB73" s="76">
        <f>+L73*tab!N$56</f>
        <v>0</v>
      </c>
      <c r="BC73" s="302"/>
      <c r="BD73" s="302"/>
      <c r="BE73" s="302">
        <v>60</v>
      </c>
      <c r="BF73" s="76">
        <f t="shared" si="4"/>
        <v>0</v>
      </c>
      <c r="BG73" s="76">
        <f t="shared" si="5"/>
        <v>0</v>
      </c>
      <c r="BH73" s="76">
        <f t="shared" si="6"/>
        <v>0</v>
      </c>
      <c r="BI73" s="76">
        <f t="shared" si="7"/>
        <v>0</v>
      </c>
      <c r="BJ73" s="76">
        <f t="shared" si="8"/>
        <v>0</v>
      </c>
      <c r="BK73" s="302"/>
      <c r="BL73" s="363"/>
    </row>
    <row r="74" spans="2:64" s="325" customFormat="1" ht="12.75">
      <c r="B74" s="362"/>
      <c r="C74" s="302"/>
      <c r="D74" s="302">
        <v>61</v>
      </c>
      <c r="E74" s="186"/>
      <c r="F74" s="187"/>
      <c r="G74" s="326"/>
      <c r="H74" s="187">
        <v>0</v>
      </c>
      <c r="I74" s="207">
        <f t="shared" si="21"/>
        <v>0</v>
      </c>
      <c r="J74" s="207">
        <f t="shared" si="21"/>
        <v>0</v>
      </c>
      <c r="K74" s="207">
        <f t="shared" si="21"/>
        <v>0</v>
      </c>
      <c r="L74" s="207">
        <f t="shared" si="21"/>
        <v>0</v>
      </c>
      <c r="M74" s="302"/>
      <c r="N74" s="302"/>
      <c r="O74" s="302">
        <v>61</v>
      </c>
      <c r="P74" s="364">
        <v>0</v>
      </c>
      <c r="Q74" s="365">
        <f t="shared" si="22"/>
        <v>0</v>
      </c>
      <c r="R74" s="365">
        <f t="shared" si="22"/>
        <v>0</v>
      </c>
      <c r="S74" s="365">
        <f t="shared" si="22"/>
        <v>0</v>
      </c>
      <c r="T74" s="365">
        <f t="shared" si="22"/>
        <v>0</v>
      </c>
      <c r="U74" s="302"/>
      <c r="V74" s="302"/>
      <c r="W74" s="302">
        <v>61</v>
      </c>
      <c r="X74" s="73">
        <v>0</v>
      </c>
      <c r="Y74" s="365">
        <f t="shared" si="23"/>
        <v>0</v>
      </c>
      <c r="Z74" s="365">
        <f t="shared" si="23"/>
        <v>0</v>
      </c>
      <c r="AA74" s="365">
        <f t="shared" si="23"/>
        <v>0</v>
      </c>
      <c r="AB74" s="365">
        <f t="shared" si="23"/>
        <v>0</v>
      </c>
      <c r="AC74" s="302"/>
      <c r="AD74" s="302"/>
      <c r="AE74" s="302">
        <v>61</v>
      </c>
      <c r="AF74" s="73">
        <v>0</v>
      </c>
      <c r="AG74" s="365">
        <f t="shared" si="24"/>
        <v>0</v>
      </c>
      <c r="AH74" s="365">
        <f t="shared" si="24"/>
        <v>0</v>
      </c>
      <c r="AI74" s="365">
        <f t="shared" si="24"/>
        <v>0</v>
      </c>
      <c r="AJ74" s="365">
        <f t="shared" si="24"/>
        <v>0</v>
      </c>
      <c r="AK74" s="326"/>
      <c r="AL74" s="356"/>
      <c r="AM74" s="362"/>
      <c r="AN74" s="302"/>
      <c r="AO74" s="302">
        <v>61</v>
      </c>
      <c r="AP74" s="76">
        <f>ROUND(H74*tab!G$55,0)</f>
        <v>0</v>
      </c>
      <c r="AQ74" s="76">
        <f>ROUND(I74*tab!I$55,0)</f>
        <v>0</v>
      </c>
      <c r="AR74" s="76">
        <f>ROUND(J74*tab!K$55,0)</f>
        <v>0</v>
      </c>
      <c r="AS74" s="76">
        <f>ROUND(K74*tab!M$55,0)</f>
        <v>0</v>
      </c>
      <c r="AT74" s="76">
        <f>ROUND(L74*tab!O$55,0)</f>
        <v>0</v>
      </c>
      <c r="AU74" s="302"/>
      <c r="AV74" s="302"/>
      <c r="AW74" s="302">
        <v>61</v>
      </c>
      <c r="AX74" s="76">
        <f>+H74*tab!F$56</f>
        <v>0</v>
      </c>
      <c r="AY74" s="76">
        <f>+I74*tab!H$56</f>
        <v>0</v>
      </c>
      <c r="AZ74" s="76">
        <f>+J74*tab!J$56</f>
        <v>0</v>
      </c>
      <c r="BA74" s="76">
        <f>+K74*tab!L$56</f>
        <v>0</v>
      </c>
      <c r="BB74" s="76">
        <f>+L74*tab!N$56</f>
        <v>0</v>
      </c>
      <c r="BC74" s="302"/>
      <c r="BD74" s="302"/>
      <c r="BE74" s="302">
        <v>61</v>
      </c>
      <c r="BF74" s="76">
        <f t="shared" si="4"/>
        <v>0</v>
      </c>
      <c r="BG74" s="76">
        <f t="shared" si="5"/>
        <v>0</v>
      </c>
      <c r="BH74" s="76">
        <f t="shared" si="6"/>
        <v>0</v>
      </c>
      <c r="BI74" s="76">
        <f t="shared" si="7"/>
        <v>0</v>
      </c>
      <c r="BJ74" s="76">
        <f t="shared" si="8"/>
        <v>0</v>
      </c>
      <c r="BK74" s="302"/>
      <c r="BL74" s="363"/>
    </row>
    <row r="75" spans="2:64" s="325" customFormat="1" ht="12.75">
      <c r="B75" s="362"/>
      <c r="C75" s="302"/>
      <c r="D75" s="302">
        <v>62</v>
      </c>
      <c r="E75" s="186"/>
      <c r="F75" s="187"/>
      <c r="G75" s="326"/>
      <c r="H75" s="187">
        <v>0</v>
      </c>
      <c r="I75" s="207">
        <f t="shared" si="21"/>
        <v>0</v>
      </c>
      <c r="J75" s="207">
        <f t="shared" si="21"/>
        <v>0</v>
      </c>
      <c r="K75" s="207">
        <f t="shared" si="21"/>
        <v>0</v>
      </c>
      <c r="L75" s="207">
        <f t="shared" si="21"/>
        <v>0</v>
      </c>
      <c r="M75" s="302"/>
      <c r="N75" s="302"/>
      <c r="O75" s="302">
        <v>62</v>
      </c>
      <c r="P75" s="364">
        <v>0</v>
      </c>
      <c r="Q75" s="365">
        <f t="shared" si="22"/>
        <v>0</v>
      </c>
      <c r="R75" s="365">
        <f t="shared" si="22"/>
        <v>0</v>
      </c>
      <c r="S75" s="365">
        <f t="shared" si="22"/>
        <v>0</v>
      </c>
      <c r="T75" s="365">
        <f t="shared" si="22"/>
        <v>0</v>
      </c>
      <c r="U75" s="302"/>
      <c r="V75" s="302"/>
      <c r="W75" s="302">
        <v>62</v>
      </c>
      <c r="X75" s="73">
        <v>0</v>
      </c>
      <c r="Y75" s="365">
        <f t="shared" si="23"/>
        <v>0</v>
      </c>
      <c r="Z75" s="365">
        <f t="shared" si="23"/>
        <v>0</v>
      </c>
      <c r="AA75" s="365">
        <f t="shared" si="23"/>
        <v>0</v>
      </c>
      <c r="AB75" s="365">
        <f t="shared" si="23"/>
        <v>0</v>
      </c>
      <c r="AC75" s="302"/>
      <c r="AD75" s="302"/>
      <c r="AE75" s="302">
        <v>62</v>
      </c>
      <c r="AF75" s="73">
        <v>0</v>
      </c>
      <c r="AG75" s="365">
        <f t="shared" si="24"/>
        <v>0</v>
      </c>
      <c r="AH75" s="365">
        <f t="shared" si="24"/>
        <v>0</v>
      </c>
      <c r="AI75" s="365">
        <f t="shared" si="24"/>
        <v>0</v>
      </c>
      <c r="AJ75" s="365">
        <f t="shared" si="24"/>
        <v>0</v>
      </c>
      <c r="AK75" s="326"/>
      <c r="AL75" s="356"/>
      <c r="AM75" s="362"/>
      <c r="AN75" s="302"/>
      <c r="AO75" s="302">
        <v>62</v>
      </c>
      <c r="AP75" s="76">
        <f>ROUND(H75*tab!G$55,0)</f>
        <v>0</v>
      </c>
      <c r="AQ75" s="76">
        <f>ROUND(I75*tab!I$55,0)</f>
        <v>0</v>
      </c>
      <c r="AR75" s="76">
        <f>ROUND(J75*tab!K$55,0)</f>
        <v>0</v>
      </c>
      <c r="AS75" s="76">
        <f>ROUND(K75*tab!M$55,0)</f>
        <v>0</v>
      </c>
      <c r="AT75" s="76">
        <f>ROUND(L75*tab!O$55,0)</f>
        <v>0</v>
      </c>
      <c r="AU75" s="302"/>
      <c r="AV75" s="302"/>
      <c r="AW75" s="302">
        <v>62</v>
      </c>
      <c r="AX75" s="76">
        <f>+H75*tab!F$56</f>
        <v>0</v>
      </c>
      <c r="AY75" s="76">
        <f>+I75*tab!H$56</f>
        <v>0</v>
      </c>
      <c r="AZ75" s="76">
        <f>+J75*tab!J$56</f>
        <v>0</v>
      </c>
      <c r="BA75" s="76">
        <f>+K75*tab!L$56</f>
        <v>0</v>
      </c>
      <c r="BB75" s="76">
        <f>+L75*tab!N$56</f>
        <v>0</v>
      </c>
      <c r="BC75" s="302"/>
      <c r="BD75" s="302"/>
      <c r="BE75" s="302">
        <v>62</v>
      </c>
      <c r="BF75" s="76">
        <f t="shared" si="4"/>
        <v>0</v>
      </c>
      <c r="BG75" s="76">
        <f t="shared" si="5"/>
        <v>0</v>
      </c>
      <c r="BH75" s="76">
        <f t="shared" si="6"/>
        <v>0</v>
      </c>
      <c r="BI75" s="76">
        <f t="shared" si="7"/>
        <v>0</v>
      </c>
      <c r="BJ75" s="76">
        <f t="shared" si="8"/>
        <v>0</v>
      </c>
      <c r="BK75" s="302"/>
      <c r="BL75" s="363"/>
    </row>
    <row r="76" spans="2:64" s="325" customFormat="1" ht="12.75">
      <c r="B76" s="362"/>
      <c r="C76" s="302"/>
      <c r="D76" s="302">
        <v>63</v>
      </c>
      <c r="E76" s="186"/>
      <c r="F76" s="187"/>
      <c r="G76" s="326"/>
      <c r="H76" s="187">
        <v>0</v>
      </c>
      <c r="I76" s="207">
        <f t="shared" si="21"/>
        <v>0</v>
      </c>
      <c r="J76" s="207">
        <f t="shared" si="21"/>
        <v>0</v>
      </c>
      <c r="K76" s="207">
        <f t="shared" si="21"/>
        <v>0</v>
      </c>
      <c r="L76" s="207">
        <f t="shared" si="21"/>
        <v>0</v>
      </c>
      <c r="M76" s="302"/>
      <c r="N76" s="302"/>
      <c r="O76" s="302">
        <v>63</v>
      </c>
      <c r="P76" s="364">
        <v>0</v>
      </c>
      <c r="Q76" s="365">
        <f t="shared" si="22"/>
        <v>0</v>
      </c>
      <c r="R76" s="365">
        <f t="shared" si="22"/>
        <v>0</v>
      </c>
      <c r="S76" s="365">
        <f t="shared" si="22"/>
        <v>0</v>
      </c>
      <c r="T76" s="365">
        <f t="shared" si="22"/>
        <v>0</v>
      </c>
      <c r="U76" s="302"/>
      <c r="V76" s="302"/>
      <c r="W76" s="302">
        <v>63</v>
      </c>
      <c r="X76" s="73">
        <v>0</v>
      </c>
      <c r="Y76" s="365">
        <f t="shared" si="23"/>
        <v>0</v>
      </c>
      <c r="Z76" s="365">
        <f t="shared" si="23"/>
        <v>0</v>
      </c>
      <c r="AA76" s="365">
        <f t="shared" si="23"/>
        <v>0</v>
      </c>
      <c r="AB76" s="365">
        <f t="shared" si="23"/>
        <v>0</v>
      </c>
      <c r="AC76" s="302"/>
      <c r="AD76" s="302"/>
      <c r="AE76" s="302">
        <v>63</v>
      </c>
      <c r="AF76" s="73">
        <v>0</v>
      </c>
      <c r="AG76" s="365">
        <f t="shared" si="24"/>
        <v>0</v>
      </c>
      <c r="AH76" s="365">
        <f t="shared" si="24"/>
        <v>0</v>
      </c>
      <c r="AI76" s="365">
        <f t="shared" si="24"/>
        <v>0</v>
      </c>
      <c r="AJ76" s="365">
        <f t="shared" si="24"/>
        <v>0</v>
      </c>
      <c r="AK76" s="326"/>
      <c r="AL76" s="356"/>
      <c r="AM76" s="362"/>
      <c r="AN76" s="302"/>
      <c r="AO76" s="302">
        <v>63</v>
      </c>
      <c r="AP76" s="76">
        <f>ROUND(H76*tab!G$55,0)</f>
        <v>0</v>
      </c>
      <c r="AQ76" s="76">
        <f>ROUND(I76*tab!I$55,0)</f>
        <v>0</v>
      </c>
      <c r="AR76" s="76">
        <f>ROUND(J76*tab!K$55,0)</f>
        <v>0</v>
      </c>
      <c r="AS76" s="76">
        <f>ROUND(K76*tab!M$55,0)</f>
        <v>0</v>
      </c>
      <c r="AT76" s="76">
        <f>ROUND(L76*tab!O$55,0)</f>
        <v>0</v>
      </c>
      <c r="AU76" s="302"/>
      <c r="AV76" s="302"/>
      <c r="AW76" s="302">
        <v>63</v>
      </c>
      <c r="AX76" s="76">
        <f>+H76*tab!F$56</f>
        <v>0</v>
      </c>
      <c r="AY76" s="76">
        <f>+I76*tab!H$56</f>
        <v>0</v>
      </c>
      <c r="AZ76" s="76">
        <f>+J76*tab!J$56</f>
        <v>0</v>
      </c>
      <c r="BA76" s="76">
        <f>+K76*tab!L$56</f>
        <v>0</v>
      </c>
      <c r="BB76" s="76">
        <f>+L76*tab!N$56</f>
        <v>0</v>
      </c>
      <c r="BC76" s="302"/>
      <c r="BD76" s="302"/>
      <c r="BE76" s="302">
        <v>63</v>
      </c>
      <c r="BF76" s="76">
        <f t="shared" si="4"/>
        <v>0</v>
      </c>
      <c r="BG76" s="76">
        <f t="shared" si="5"/>
        <v>0</v>
      </c>
      <c r="BH76" s="76">
        <f t="shared" si="6"/>
        <v>0</v>
      </c>
      <c r="BI76" s="76">
        <f t="shared" si="7"/>
        <v>0</v>
      </c>
      <c r="BJ76" s="76">
        <f t="shared" si="8"/>
        <v>0</v>
      </c>
      <c r="BK76" s="302"/>
      <c r="BL76" s="363"/>
    </row>
    <row r="77" spans="2:64" s="325" customFormat="1" ht="12.75">
      <c r="B77" s="362"/>
      <c r="C77" s="302"/>
      <c r="D77" s="302">
        <v>64</v>
      </c>
      <c r="E77" s="186"/>
      <c r="F77" s="187"/>
      <c r="G77" s="326"/>
      <c r="H77" s="187">
        <v>0</v>
      </c>
      <c r="I77" s="207">
        <f t="shared" si="21"/>
        <v>0</v>
      </c>
      <c r="J77" s="207">
        <f t="shared" si="21"/>
        <v>0</v>
      </c>
      <c r="K77" s="207">
        <f t="shared" si="21"/>
        <v>0</v>
      </c>
      <c r="L77" s="207">
        <f t="shared" si="21"/>
        <v>0</v>
      </c>
      <c r="M77" s="302"/>
      <c r="N77" s="302"/>
      <c r="O77" s="302">
        <v>64</v>
      </c>
      <c r="P77" s="364">
        <v>0</v>
      </c>
      <c r="Q77" s="365">
        <f t="shared" si="22"/>
        <v>0</v>
      </c>
      <c r="R77" s="365">
        <f t="shared" si="22"/>
        <v>0</v>
      </c>
      <c r="S77" s="365">
        <f t="shared" si="22"/>
        <v>0</v>
      </c>
      <c r="T77" s="365">
        <f t="shared" si="22"/>
        <v>0</v>
      </c>
      <c r="U77" s="302"/>
      <c r="V77" s="302"/>
      <c r="W77" s="302">
        <v>64</v>
      </c>
      <c r="X77" s="73">
        <v>0</v>
      </c>
      <c r="Y77" s="365">
        <f t="shared" si="23"/>
        <v>0</v>
      </c>
      <c r="Z77" s="365">
        <f t="shared" si="23"/>
        <v>0</v>
      </c>
      <c r="AA77" s="365">
        <f t="shared" si="23"/>
        <v>0</v>
      </c>
      <c r="AB77" s="365">
        <f t="shared" si="23"/>
        <v>0</v>
      </c>
      <c r="AC77" s="302"/>
      <c r="AD77" s="302"/>
      <c r="AE77" s="302">
        <v>64</v>
      </c>
      <c r="AF77" s="73">
        <v>0</v>
      </c>
      <c r="AG77" s="365">
        <f t="shared" si="24"/>
        <v>0</v>
      </c>
      <c r="AH77" s="365">
        <f t="shared" si="24"/>
        <v>0</v>
      </c>
      <c r="AI77" s="365">
        <f t="shared" si="24"/>
        <v>0</v>
      </c>
      <c r="AJ77" s="365">
        <f t="shared" si="24"/>
        <v>0</v>
      </c>
      <c r="AK77" s="326"/>
      <c r="AL77" s="356"/>
      <c r="AM77" s="362"/>
      <c r="AN77" s="302"/>
      <c r="AO77" s="302">
        <v>64</v>
      </c>
      <c r="AP77" s="76">
        <f>ROUND(H77*tab!G$55,0)</f>
        <v>0</v>
      </c>
      <c r="AQ77" s="76">
        <f>ROUND(I77*tab!I$55,0)</f>
        <v>0</v>
      </c>
      <c r="AR77" s="76">
        <f>ROUND(J77*tab!K$55,0)</f>
        <v>0</v>
      </c>
      <c r="AS77" s="76">
        <f>ROUND(K77*tab!M$55,0)</f>
        <v>0</v>
      </c>
      <c r="AT77" s="76">
        <f>ROUND(L77*tab!O$55,0)</f>
        <v>0</v>
      </c>
      <c r="AU77" s="302"/>
      <c r="AV77" s="302"/>
      <c r="AW77" s="302">
        <v>64</v>
      </c>
      <c r="AX77" s="76">
        <f>+H77*tab!F$56</f>
        <v>0</v>
      </c>
      <c r="AY77" s="76">
        <f>+I77*tab!H$56</f>
        <v>0</v>
      </c>
      <c r="AZ77" s="76">
        <f>+J77*tab!J$56</f>
        <v>0</v>
      </c>
      <c r="BA77" s="76">
        <f>+K77*tab!L$56</f>
        <v>0</v>
      </c>
      <c r="BB77" s="76">
        <f>+L77*tab!N$56</f>
        <v>0</v>
      </c>
      <c r="BC77" s="302"/>
      <c r="BD77" s="302"/>
      <c r="BE77" s="302">
        <v>64</v>
      </c>
      <c r="BF77" s="76">
        <f t="shared" si="4"/>
        <v>0</v>
      </c>
      <c r="BG77" s="76">
        <f t="shared" si="5"/>
        <v>0</v>
      </c>
      <c r="BH77" s="76">
        <f t="shared" si="6"/>
        <v>0</v>
      </c>
      <c r="BI77" s="76">
        <f t="shared" si="7"/>
        <v>0</v>
      </c>
      <c r="BJ77" s="76">
        <f t="shared" si="8"/>
        <v>0</v>
      </c>
      <c r="BK77" s="302"/>
      <c r="BL77" s="363"/>
    </row>
    <row r="78" spans="2:64" s="325" customFormat="1" ht="12.75">
      <c r="B78" s="362"/>
      <c r="C78" s="302"/>
      <c r="D78" s="302">
        <v>65</v>
      </c>
      <c r="E78" s="186"/>
      <c r="F78" s="187"/>
      <c r="G78" s="326"/>
      <c r="H78" s="187">
        <v>0</v>
      </c>
      <c r="I78" s="207">
        <f t="shared" si="21"/>
        <v>0</v>
      </c>
      <c r="J78" s="207">
        <f t="shared" si="21"/>
        <v>0</v>
      </c>
      <c r="K78" s="207">
        <f t="shared" si="21"/>
        <v>0</v>
      </c>
      <c r="L78" s="207">
        <f t="shared" si="21"/>
        <v>0</v>
      </c>
      <c r="M78" s="302"/>
      <c r="N78" s="302"/>
      <c r="O78" s="302">
        <v>65</v>
      </c>
      <c r="P78" s="364">
        <v>0</v>
      </c>
      <c r="Q78" s="365">
        <f t="shared" si="22"/>
        <v>0</v>
      </c>
      <c r="R78" s="365">
        <f t="shared" si="22"/>
        <v>0</v>
      </c>
      <c r="S78" s="365">
        <f t="shared" si="22"/>
        <v>0</v>
      </c>
      <c r="T78" s="365">
        <f t="shared" si="22"/>
        <v>0</v>
      </c>
      <c r="U78" s="302"/>
      <c r="V78" s="302"/>
      <c r="W78" s="302">
        <v>65</v>
      </c>
      <c r="X78" s="73">
        <v>0</v>
      </c>
      <c r="Y78" s="365">
        <f t="shared" si="23"/>
        <v>0</v>
      </c>
      <c r="Z78" s="365">
        <f t="shared" si="23"/>
        <v>0</v>
      </c>
      <c r="AA78" s="365">
        <f t="shared" si="23"/>
        <v>0</v>
      </c>
      <c r="AB78" s="365">
        <f t="shared" si="23"/>
        <v>0</v>
      </c>
      <c r="AC78" s="302"/>
      <c r="AD78" s="302"/>
      <c r="AE78" s="302">
        <v>65</v>
      </c>
      <c r="AF78" s="73">
        <v>0</v>
      </c>
      <c r="AG78" s="365">
        <f t="shared" si="24"/>
        <v>0</v>
      </c>
      <c r="AH78" s="365">
        <f t="shared" si="24"/>
        <v>0</v>
      </c>
      <c r="AI78" s="365">
        <f t="shared" si="24"/>
        <v>0</v>
      </c>
      <c r="AJ78" s="365">
        <f t="shared" si="24"/>
        <v>0</v>
      </c>
      <c r="AK78" s="326"/>
      <c r="AL78" s="356"/>
      <c r="AM78" s="362"/>
      <c r="AN78" s="302"/>
      <c r="AO78" s="302">
        <v>65</v>
      </c>
      <c r="AP78" s="76">
        <f>ROUND(H78*tab!G$55,0)</f>
        <v>0</v>
      </c>
      <c r="AQ78" s="76">
        <f>ROUND(I78*tab!I$55,0)</f>
        <v>0</v>
      </c>
      <c r="AR78" s="76">
        <f>ROUND(J78*tab!K$55,0)</f>
        <v>0</v>
      </c>
      <c r="AS78" s="76">
        <f>ROUND(K78*tab!M$55,0)</f>
        <v>0</v>
      </c>
      <c r="AT78" s="76">
        <f>ROUND(L78*tab!O$55,0)</f>
        <v>0</v>
      </c>
      <c r="AU78" s="302"/>
      <c r="AV78" s="302"/>
      <c r="AW78" s="302">
        <v>65</v>
      </c>
      <c r="AX78" s="76">
        <f>+H78*tab!F$56</f>
        <v>0</v>
      </c>
      <c r="AY78" s="76">
        <f>+I78*tab!H$56</f>
        <v>0</v>
      </c>
      <c r="AZ78" s="76">
        <f>+J78*tab!J$56</f>
        <v>0</v>
      </c>
      <c r="BA78" s="76">
        <f>+K78*tab!L$56</f>
        <v>0</v>
      </c>
      <c r="BB78" s="76">
        <f>+L78*tab!N$56</f>
        <v>0</v>
      </c>
      <c r="BC78" s="302"/>
      <c r="BD78" s="302"/>
      <c r="BE78" s="302">
        <v>65</v>
      </c>
      <c r="BF78" s="76">
        <f t="shared" si="4"/>
        <v>0</v>
      </c>
      <c r="BG78" s="76">
        <f t="shared" si="5"/>
        <v>0</v>
      </c>
      <c r="BH78" s="76">
        <f t="shared" si="6"/>
        <v>0</v>
      </c>
      <c r="BI78" s="76">
        <f t="shared" si="7"/>
        <v>0</v>
      </c>
      <c r="BJ78" s="76">
        <f t="shared" si="8"/>
        <v>0</v>
      </c>
      <c r="BK78" s="302"/>
      <c r="BL78" s="363"/>
    </row>
    <row r="79" spans="2:64" s="325" customFormat="1" ht="12.75">
      <c r="B79" s="362"/>
      <c r="C79" s="302"/>
      <c r="D79" s="302">
        <v>66</v>
      </c>
      <c r="E79" s="186"/>
      <c r="F79" s="187"/>
      <c r="G79" s="326"/>
      <c r="H79" s="187">
        <v>0</v>
      </c>
      <c r="I79" s="207">
        <f t="shared" si="21"/>
        <v>0</v>
      </c>
      <c r="J79" s="207">
        <f t="shared" si="21"/>
        <v>0</v>
      </c>
      <c r="K79" s="207">
        <f t="shared" si="21"/>
        <v>0</v>
      </c>
      <c r="L79" s="207">
        <f t="shared" si="21"/>
        <v>0</v>
      </c>
      <c r="M79" s="302"/>
      <c r="N79" s="302"/>
      <c r="O79" s="302">
        <v>66</v>
      </c>
      <c r="P79" s="364">
        <v>0</v>
      </c>
      <c r="Q79" s="365">
        <f t="shared" si="22"/>
        <v>0</v>
      </c>
      <c r="R79" s="365">
        <f t="shared" si="22"/>
        <v>0</v>
      </c>
      <c r="S79" s="365">
        <f t="shared" si="22"/>
        <v>0</v>
      </c>
      <c r="T79" s="365">
        <f t="shared" si="22"/>
        <v>0</v>
      </c>
      <c r="U79" s="302"/>
      <c r="V79" s="302"/>
      <c r="W79" s="302">
        <v>66</v>
      </c>
      <c r="X79" s="73">
        <v>0</v>
      </c>
      <c r="Y79" s="365">
        <f t="shared" si="23"/>
        <v>0</v>
      </c>
      <c r="Z79" s="365">
        <f t="shared" si="23"/>
        <v>0</v>
      </c>
      <c r="AA79" s="365">
        <f t="shared" si="23"/>
        <v>0</v>
      </c>
      <c r="AB79" s="365">
        <f t="shared" si="23"/>
        <v>0</v>
      </c>
      <c r="AC79" s="302"/>
      <c r="AD79" s="302"/>
      <c r="AE79" s="302">
        <v>66</v>
      </c>
      <c r="AF79" s="73">
        <v>0</v>
      </c>
      <c r="AG79" s="365">
        <f t="shared" si="24"/>
        <v>0</v>
      </c>
      <c r="AH79" s="365">
        <f t="shared" si="24"/>
        <v>0</v>
      </c>
      <c r="AI79" s="365">
        <f t="shared" si="24"/>
        <v>0</v>
      </c>
      <c r="AJ79" s="365">
        <f t="shared" si="24"/>
        <v>0</v>
      </c>
      <c r="AK79" s="326"/>
      <c r="AL79" s="356"/>
      <c r="AM79" s="362"/>
      <c r="AN79" s="302"/>
      <c r="AO79" s="302">
        <v>66</v>
      </c>
      <c r="AP79" s="76">
        <f>ROUND(H79*tab!G$55,0)</f>
        <v>0</v>
      </c>
      <c r="AQ79" s="76">
        <f>ROUND(I79*tab!I$55,0)</f>
        <v>0</v>
      </c>
      <c r="AR79" s="76">
        <f>ROUND(J79*tab!K$55,0)</f>
        <v>0</v>
      </c>
      <c r="AS79" s="76">
        <f>ROUND(K79*tab!M$55,0)</f>
        <v>0</v>
      </c>
      <c r="AT79" s="76">
        <f>ROUND(L79*tab!O$55,0)</f>
        <v>0</v>
      </c>
      <c r="AU79" s="302"/>
      <c r="AV79" s="302"/>
      <c r="AW79" s="302">
        <v>66</v>
      </c>
      <c r="AX79" s="76">
        <f>+H79*tab!F$56</f>
        <v>0</v>
      </c>
      <c r="AY79" s="76">
        <f>+I79*tab!H$56</f>
        <v>0</v>
      </c>
      <c r="AZ79" s="76">
        <f>+J79*tab!J$56</f>
        <v>0</v>
      </c>
      <c r="BA79" s="76">
        <f>+K79*tab!L$56</f>
        <v>0</v>
      </c>
      <c r="BB79" s="76">
        <f>+L79*tab!N$56</f>
        <v>0</v>
      </c>
      <c r="BC79" s="302"/>
      <c r="BD79" s="302"/>
      <c r="BE79" s="302">
        <v>66</v>
      </c>
      <c r="BF79" s="76">
        <f aca="true" t="shared" si="25" ref="BF79:BF88">5/12*AX79+7/12*AY79</f>
        <v>0</v>
      </c>
      <c r="BG79" s="76">
        <f aca="true" t="shared" si="26" ref="BG79:BG88">5/12*AY79+7/12*AZ79</f>
        <v>0</v>
      </c>
      <c r="BH79" s="76">
        <f aca="true" t="shared" si="27" ref="BH79:BH88">5/12*AZ79+7/12*BA79</f>
        <v>0</v>
      </c>
      <c r="BI79" s="76">
        <f aca="true" t="shared" si="28" ref="BI79:BI88">5/12*BA79+7/12*BB79</f>
        <v>0</v>
      </c>
      <c r="BJ79" s="76">
        <f aca="true" t="shared" si="29" ref="BJ79:BJ88">BB79</f>
        <v>0</v>
      </c>
      <c r="BK79" s="302"/>
      <c r="BL79" s="363"/>
    </row>
    <row r="80" spans="2:64" s="325" customFormat="1" ht="12.75">
      <c r="B80" s="362"/>
      <c r="C80" s="302"/>
      <c r="D80" s="302">
        <v>67</v>
      </c>
      <c r="E80" s="186"/>
      <c r="F80" s="187"/>
      <c r="G80" s="326"/>
      <c r="H80" s="187">
        <v>0</v>
      </c>
      <c r="I80" s="207">
        <f t="shared" si="21"/>
        <v>0</v>
      </c>
      <c r="J80" s="207">
        <f t="shared" si="21"/>
        <v>0</v>
      </c>
      <c r="K80" s="207">
        <f t="shared" si="21"/>
        <v>0</v>
      </c>
      <c r="L80" s="207">
        <f t="shared" si="21"/>
        <v>0</v>
      </c>
      <c r="M80" s="302"/>
      <c r="N80" s="302"/>
      <c r="O80" s="302">
        <v>67</v>
      </c>
      <c r="P80" s="364">
        <v>0</v>
      </c>
      <c r="Q80" s="365">
        <f t="shared" si="22"/>
        <v>0</v>
      </c>
      <c r="R80" s="365">
        <f t="shared" si="22"/>
        <v>0</v>
      </c>
      <c r="S80" s="365">
        <f t="shared" si="22"/>
        <v>0</v>
      </c>
      <c r="T80" s="365">
        <f t="shared" si="22"/>
        <v>0</v>
      </c>
      <c r="U80" s="302"/>
      <c r="V80" s="302"/>
      <c r="W80" s="302">
        <v>67</v>
      </c>
      <c r="X80" s="73">
        <v>0</v>
      </c>
      <c r="Y80" s="365">
        <f t="shared" si="23"/>
        <v>0</v>
      </c>
      <c r="Z80" s="365">
        <f t="shared" si="23"/>
        <v>0</v>
      </c>
      <c r="AA80" s="365">
        <f t="shared" si="23"/>
        <v>0</v>
      </c>
      <c r="AB80" s="365">
        <f t="shared" si="23"/>
        <v>0</v>
      </c>
      <c r="AC80" s="302"/>
      <c r="AD80" s="302"/>
      <c r="AE80" s="302">
        <v>67</v>
      </c>
      <c r="AF80" s="73">
        <v>0</v>
      </c>
      <c r="AG80" s="365">
        <f t="shared" si="24"/>
        <v>0</v>
      </c>
      <c r="AH80" s="365">
        <f t="shared" si="24"/>
        <v>0</v>
      </c>
      <c r="AI80" s="365">
        <f t="shared" si="24"/>
        <v>0</v>
      </c>
      <c r="AJ80" s="365">
        <f t="shared" si="24"/>
        <v>0</v>
      </c>
      <c r="AK80" s="326"/>
      <c r="AL80" s="356"/>
      <c r="AM80" s="362"/>
      <c r="AN80" s="302"/>
      <c r="AO80" s="302">
        <v>67</v>
      </c>
      <c r="AP80" s="76">
        <f>ROUND(H80*tab!G$55,0)</f>
        <v>0</v>
      </c>
      <c r="AQ80" s="76">
        <f>ROUND(I80*tab!I$55,0)</f>
        <v>0</v>
      </c>
      <c r="AR80" s="76">
        <f>ROUND(J80*tab!K$55,0)</f>
        <v>0</v>
      </c>
      <c r="AS80" s="76">
        <f>ROUND(K80*tab!M$55,0)</f>
        <v>0</v>
      </c>
      <c r="AT80" s="76">
        <f>ROUND(L80*tab!O$55,0)</f>
        <v>0</v>
      </c>
      <c r="AU80" s="302"/>
      <c r="AV80" s="302"/>
      <c r="AW80" s="302">
        <v>67</v>
      </c>
      <c r="AX80" s="76">
        <f>+H80*tab!F$56</f>
        <v>0</v>
      </c>
      <c r="AY80" s="76">
        <f>+I80*tab!H$56</f>
        <v>0</v>
      </c>
      <c r="AZ80" s="76">
        <f>+J80*tab!J$56</f>
        <v>0</v>
      </c>
      <c r="BA80" s="76">
        <f>+K80*tab!L$56</f>
        <v>0</v>
      </c>
      <c r="BB80" s="76">
        <f>+L80*tab!N$56</f>
        <v>0</v>
      </c>
      <c r="BC80" s="302"/>
      <c r="BD80" s="302"/>
      <c r="BE80" s="302">
        <v>67</v>
      </c>
      <c r="BF80" s="76">
        <f t="shared" si="25"/>
        <v>0</v>
      </c>
      <c r="BG80" s="76">
        <f t="shared" si="26"/>
        <v>0</v>
      </c>
      <c r="BH80" s="76">
        <f t="shared" si="27"/>
        <v>0</v>
      </c>
      <c r="BI80" s="76">
        <f t="shared" si="28"/>
        <v>0</v>
      </c>
      <c r="BJ80" s="76">
        <f t="shared" si="29"/>
        <v>0</v>
      </c>
      <c r="BK80" s="302"/>
      <c r="BL80" s="363"/>
    </row>
    <row r="81" spans="2:64" s="325" customFormat="1" ht="12.75">
      <c r="B81" s="362"/>
      <c r="C81" s="302"/>
      <c r="D81" s="302">
        <v>68</v>
      </c>
      <c r="E81" s="186"/>
      <c r="F81" s="187"/>
      <c r="G81" s="326"/>
      <c r="H81" s="187">
        <v>0</v>
      </c>
      <c r="I81" s="207">
        <f t="shared" si="21"/>
        <v>0</v>
      </c>
      <c r="J81" s="207">
        <f t="shared" si="21"/>
        <v>0</v>
      </c>
      <c r="K81" s="207">
        <f t="shared" si="21"/>
        <v>0</v>
      </c>
      <c r="L81" s="207">
        <f t="shared" si="21"/>
        <v>0</v>
      </c>
      <c r="M81" s="302"/>
      <c r="N81" s="302"/>
      <c r="O81" s="302">
        <v>68</v>
      </c>
      <c r="P81" s="364">
        <v>0</v>
      </c>
      <c r="Q81" s="365">
        <f t="shared" si="22"/>
        <v>0</v>
      </c>
      <c r="R81" s="365">
        <f t="shared" si="22"/>
        <v>0</v>
      </c>
      <c r="S81" s="365">
        <f t="shared" si="22"/>
        <v>0</v>
      </c>
      <c r="T81" s="365">
        <f t="shared" si="22"/>
        <v>0</v>
      </c>
      <c r="U81" s="302"/>
      <c r="V81" s="302"/>
      <c r="W81" s="302">
        <v>68</v>
      </c>
      <c r="X81" s="73">
        <v>0</v>
      </c>
      <c r="Y81" s="365">
        <f t="shared" si="23"/>
        <v>0</v>
      </c>
      <c r="Z81" s="365">
        <f t="shared" si="23"/>
        <v>0</v>
      </c>
      <c r="AA81" s="365">
        <f t="shared" si="23"/>
        <v>0</v>
      </c>
      <c r="AB81" s="365">
        <f t="shared" si="23"/>
        <v>0</v>
      </c>
      <c r="AC81" s="302"/>
      <c r="AD81" s="302"/>
      <c r="AE81" s="302">
        <v>68</v>
      </c>
      <c r="AF81" s="73">
        <v>0</v>
      </c>
      <c r="AG81" s="365">
        <f t="shared" si="24"/>
        <v>0</v>
      </c>
      <c r="AH81" s="365">
        <f t="shared" si="24"/>
        <v>0</v>
      </c>
      <c r="AI81" s="365">
        <f t="shared" si="24"/>
        <v>0</v>
      </c>
      <c r="AJ81" s="365">
        <f t="shared" si="24"/>
        <v>0</v>
      </c>
      <c r="AK81" s="326"/>
      <c r="AL81" s="356"/>
      <c r="AM81" s="362"/>
      <c r="AN81" s="302"/>
      <c r="AO81" s="302">
        <v>68</v>
      </c>
      <c r="AP81" s="76">
        <f>ROUND(H81*tab!G$55,0)</f>
        <v>0</v>
      </c>
      <c r="AQ81" s="76">
        <f>ROUND(I81*tab!I$55,0)</f>
        <v>0</v>
      </c>
      <c r="AR81" s="76">
        <f>ROUND(J81*tab!K$55,0)</f>
        <v>0</v>
      </c>
      <c r="AS81" s="76">
        <f>ROUND(K81*tab!M$55,0)</f>
        <v>0</v>
      </c>
      <c r="AT81" s="76">
        <f>ROUND(L81*tab!O$55,0)</f>
        <v>0</v>
      </c>
      <c r="AU81" s="302"/>
      <c r="AV81" s="302"/>
      <c r="AW81" s="302">
        <v>68</v>
      </c>
      <c r="AX81" s="76">
        <f>+H81*tab!F$56</f>
        <v>0</v>
      </c>
      <c r="AY81" s="76">
        <f>+I81*tab!H$56</f>
        <v>0</v>
      </c>
      <c r="AZ81" s="76">
        <f>+J81*tab!J$56</f>
        <v>0</v>
      </c>
      <c r="BA81" s="76">
        <f>+K81*tab!L$56</f>
        <v>0</v>
      </c>
      <c r="BB81" s="76">
        <f>+L81*tab!N$56</f>
        <v>0</v>
      </c>
      <c r="BC81" s="302"/>
      <c r="BD81" s="302"/>
      <c r="BE81" s="302">
        <v>68</v>
      </c>
      <c r="BF81" s="76">
        <f t="shared" si="25"/>
        <v>0</v>
      </c>
      <c r="BG81" s="76">
        <f t="shared" si="26"/>
        <v>0</v>
      </c>
      <c r="BH81" s="76">
        <f t="shared" si="27"/>
        <v>0</v>
      </c>
      <c r="BI81" s="76">
        <f t="shared" si="28"/>
        <v>0</v>
      </c>
      <c r="BJ81" s="76">
        <f t="shared" si="29"/>
        <v>0</v>
      </c>
      <c r="BK81" s="302"/>
      <c r="BL81" s="363"/>
    </row>
    <row r="82" spans="2:64" s="325" customFormat="1" ht="12.75">
      <c r="B82" s="362"/>
      <c r="C82" s="302"/>
      <c r="D82" s="302">
        <v>69</v>
      </c>
      <c r="E82" s="186"/>
      <c r="F82" s="187"/>
      <c r="G82" s="326"/>
      <c r="H82" s="187">
        <v>0</v>
      </c>
      <c r="I82" s="207">
        <f t="shared" si="21"/>
        <v>0</v>
      </c>
      <c r="J82" s="207">
        <f t="shared" si="21"/>
        <v>0</v>
      </c>
      <c r="K82" s="207">
        <f t="shared" si="21"/>
        <v>0</v>
      </c>
      <c r="L82" s="207">
        <f t="shared" si="21"/>
        <v>0</v>
      </c>
      <c r="M82" s="302"/>
      <c r="N82" s="302"/>
      <c r="O82" s="302">
        <v>69</v>
      </c>
      <c r="P82" s="364">
        <v>0</v>
      </c>
      <c r="Q82" s="365">
        <f t="shared" si="22"/>
        <v>0</v>
      </c>
      <c r="R82" s="365">
        <f t="shared" si="22"/>
        <v>0</v>
      </c>
      <c r="S82" s="365">
        <f t="shared" si="22"/>
        <v>0</v>
      </c>
      <c r="T82" s="365">
        <f t="shared" si="22"/>
        <v>0</v>
      </c>
      <c r="U82" s="302"/>
      <c r="V82" s="302"/>
      <c r="W82" s="302">
        <v>69</v>
      </c>
      <c r="X82" s="73">
        <v>0</v>
      </c>
      <c r="Y82" s="365">
        <f t="shared" si="23"/>
        <v>0</v>
      </c>
      <c r="Z82" s="365">
        <f t="shared" si="23"/>
        <v>0</v>
      </c>
      <c r="AA82" s="365">
        <f t="shared" si="23"/>
        <v>0</v>
      </c>
      <c r="AB82" s="365">
        <f t="shared" si="23"/>
        <v>0</v>
      </c>
      <c r="AC82" s="302"/>
      <c r="AD82" s="302"/>
      <c r="AE82" s="302">
        <v>69</v>
      </c>
      <c r="AF82" s="73">
        <v>0</v>
      </c>
      <c r="AG82" s="365">
        <f t="shared" si="24"/>
        <v>0</v>
      </c>
      <c r="AH82" s="365">
        <f t="shared" si="24"/>
        <v>0</v>
      </c>
      <c r="AI82" s="365">
        <f t="shared" si="24"/>
        <v>0</v>
      </c>
      <c r="AJ82" s="365">
        <f t="shared" si="24"/>
        <v>0</v>
      </c>
      <c r="AK82" s="326"/>
      <c r="AL82" s="356"/>
      <c r="AM82" s="362"/>
      <c r="AN82" s="302"/>
      <c r="AO82" s="302">
        <v>69</v>
      </c>
      <c r="AP82" s="76">
        <f>ROUND(H82*tab!G$55,0)</f>
        <v>0</v>
      </c>
      <c r="AQ82" s="76">
        <f>ROUND(I82*tab!I$55,0)</f>
        <v>0</v>
      </c>
      <c r="AR82" s="76">
        <f>ROUND(J82*tab!K$55,0)</f>
        <v>0</v>
      </c>
      <c r="AS82" s="76">
        <f>ROUND(K82*tab!M$55,0)</f>
        <v>0</v>
      </c>
      <c r="AT82" s="76">
        <f>ROUND(L82*tab!O$55,0)</f>
        <v>0</v>
      </c>
      <c r="AU82" s="302"/>
      <c r="AV82" s="302"/>
      <c r="AW82" s="302">
        <v>69</v>
      </c>
      <c r="AX82" s="76">
        <f>+H82*tab!F$56</f>
        <v>0</v>
      </c>
      <c r="AY82" s="76">
        <f>+I82*tab!H$56</f>
        <v>0</v>
      </c>
      <c r="AZ82" s="76">
        <f>+J82*tab!J$56</f>
        <v>0</v>
      </c>
      <c r="BA82" s="76">
        <f>+K82*tab!L$56</f>
        <v>0</v>
      </c>
      <c r="BB82" s="76">
        <f>+L82*tab!N$56</f>
        <v>0</v>
      </c>
      <c r="BC82" s="302"/>
      <c r="BD82" s="302"/>
      <c r="BE82" s="302">
        <v>69</v>
      </c>
      <c r="BF82" s="76">
        <f t="shared" si="25"/>
        <v>0</v>
      </c>
      <c r="BG82" s="76">
        <f t="shared" si="26"/>
        <v>0</v>
      </c>
      <c r="BH82" s="76">
        <f t="shared" si="27"/>
        <v>0</v>
      </c>
      <c r="BI82" s="76">
        <f t="shared" si="28"/>
        <v>0</v>
      </c>
      <c r="BJ82" s="76">
        <f t="shared" si="29"/>
        <v>0</v>
      </c>
      <c r="BK82" s="302"/>
      <c r="BL82" s="363"/>
    </row>
    <row r="83" spans="2:64" s="325" customFormat="1" ht="12.75">
      <c r="B83" s="362"/>
      <c r="C83" s="302"/>
      <c r="D83" s="302">
        <v>70</v>
      </c>
      <c r="E83" s="186"/>
      <c r="F83" s="187"/>
      <c r="G83" s="326"/>
      <c r="H83" s="187">
        <v>0</v>
      </c>
      <c r="I83" s="207">
        <f t="shared" si="21"/>
        <v>0</v>
      </c>
      <c r="J83" s="207">
        <f t="shared" si="21"/>
        <v>0</v>
      </c>
      <c r="K83" s="207">
        <f t="shared" si="21"/>
        <v>0</v>
      </c>
      <c r="L83" s="207">
        <f t="shared" si="21"/>
        <v>0</v>
      </c>
      <c r="M83" s="302"/>
      <c r="N83" s="302"/>
      <c r="O83" s="302">
        <v>70</v>
      </c>
      <c r="P83" s="364">
        <v>0</v>
      </c>
      <c r="Q83" s="365">
        <f t="shared" si="22"/>
        <v>0</v>
      </c>
      <c r="R83" s="365">
        <f t="shared" si="22"/>
        <v>0</v>
      </c>
      <c r="S83" s="365">
        <f t="shared" si="22"/>
        <v>0</v>
      </c>
      <c r="T83" s="365">
        <f t="shared" si="22"/>
        <v>0</v>
      </c>
      <c r="U83" s="302"/>
      <c r="V83" s="302"/>
      <c r="W83" s="302">
        <v>70</v>
      </c>
      <c r="X83" s="73">
        <v>0</v>
      </c>
      <c r="Y83" s="365">
        <f t="shared" si="23"/>
        <v>0</v>
      </c>
      <c r="Z83" s="365">
        <f t="shared" si="23"/>
        <v>0</v>
      </c>
      <c r="AA83" s="365">
        <f t="shared" si="23"/>
        <v>0</v>
      </c>
      <c r="AB83" s="365">
        <f t="shared" si="23"/>
        <v>0</v>
      </c>
      <c r="AC83" s="302"/>
      <c r="AD83" s="302"/>
      <c r="AE83" s="302">
        <v>70</v>
      </c>
      <c r="AF83" s="73">
        <v>0</v>
      </c>
      <c r="AG83" s="365">
        <f t="shared" si="24"/>
        <v>0</v>
      </c>
      <c r="AH83" s="365">
        <f t="shared" si="24"/>
        <v>0</v>
      </c>
      <c r="AI83" s="365">
        <f t="shared" si="24"/>
        <v>0</v>
      </c>
      <c r="AJ83" s="365">
        <f t="shared" si="24"/>
        <v>0</v>
      </c>
      <c r="AK83" s="326"/>
      <c r="AL83" s="356"/>
      <c r="AM83" s="362"/>
      <c r="AN83" s="302"/>
      <c r="AO83" s="302">
        <v>70</v>
      </c>
      <c r="AP83" s="76">
        <f>ROUND(H83*tab!G$55,0)</f>
        <v>0</v>
      </c>
      <c r="AQ83" s="76">
        <f>ROUND(I83*tab!I$55,0)</f>
        <v>0</v>
      </c>
      <c r="AR83" s="76">
        <f>ROUND(J83*tab!K$55,0)</f>
        <v>0</v>
      </c>
      <c r="AS83" s="76">
        <f>ROUND(K83*tab!M$55,0)</f>
        <v>0</v>
      </c>
      <c r="AT83" s="76">
        <f>ROUND(L83*tab!O$55,0)</f>
        <v>0</v>
      </c>
      <c r="AU83" s="302"/>
      <c r="AV83" s="302"/>
      <c r="AW83" s="302">
        <v>70</v>
      </c>
      <c r="AX83" s="76">
        <f>+H83*tab!F$56</f>
        <v>0</v>
      </c>
      <c r="AY83" s="76">
        <f>+I83*tab!H$56</f>
        <v>0</v>
      </c>
      <c r="AZ83" s="76">
        <f>+J83*tab!J$56</f>
        <v>0</v>
      </c>
      <c r="BA83" s="76">
        <f>+K83*tab!L$56</f>
        <v>0</v>
      </c>
      <c r="BB83" s="76">
        <f>+L83*tab!N$56</f>
        <v>0</v>
      </c>
      <c r="BC83" s="302"/>
      <c r="BD83" s="302"/>
      <c r="BE83" s="302">
        <v>70</v>
      </c>
      <c r="BF83" s="76">
        <f t="shared" si="25"/>
        <v>0</v>
      </c>
      <c r="BG83" s="76">
        <f t="shared" si="26"/>
        <v>0</v>
      </c>
      <c r="BH83" s="76">
        <f t="shared" si="27"/>
        <v>0</v>
      </c>
      <c r="BI83" s="76">
        <f t="shared" si="28"/>
        <v>0</v>
      </c>
      <c r="BJ83" s="76">
        <f t="shared" si="29"/>
        <v>0</v>
      </c>
      <c r="BK83" s="302"/>
      <c r="BL83" s="363"/>
    </row>
    <row r="84" spans="2:64" s="325" customFormat="1" ht="12.75">
      <c r="B84" s="362"/>
      <c r="C84" s="302"/>
      <c r="D84" s="302">
        <v>71</v>
      </c>
      <c r="E84" s="186"/>
      <c r="F84" s="187"/>
      <c r="G84" s="326"/>
      <c r="H84" s="187">
        <v>0</v>
      </c>
      <c r="I84" s="207">
        <f t="shared" si="21"/>
        <v>0</v>
      </c>
      <c r="J84" s="207">
        <f t="shared" si="21"/>
        <v>0</v>
      </c>
      <c r="K84" s="207">
        <f t="shared" si="21"/>
        <v>0</v>
      </c>
      <c r="L84" s="207">
        <f t="shared" si="21"/>
        <v>0</v>
      </c>
      <c r="M84" s="302"/>
      <c r="N84" s="302"/>
      <c r="O84" s="302">
        <v>71</v>
      </c>
      <c r="P84" s="364">
        <v>0</v>
      </c>
      <c r="Q84" s="365">
        <f t="shared" si="22"/>
        <v>0</v>
      </c>
      <c r="R84" s="365">
        <f t="shared" si="22"/>
        <v>0</v>
      </c>
      <c r="S84" s="365">
        <f t="shared" si="22"/>
        <v>0</v>
      </c>
      <c r="T84" s="365">
        <f t="shared" si="22"/>
        <v>0</v>
      </c>
      <c r="U84" s="302"/>
      <c r="V84" s="302"/>
      <c r="W84" s="302">
        <v>71</v>
      </c>
      <c r="X84" s="73">
        <v>0</v>
      </c>
      <c r="Y84" s="365">
        <f t="shared" si="23"/>
        <v>0</v>
      </c>
      <c r="Z84" s="365">
        <f t="shared" si="23"/>
        <v>0</v>
      </c>
      <c r="AA84" s="365">
        <f t="shared" si="23"/>
        <v>0</v>
      </c>
      <c r="AB84" s="365">
        <f t="shared" si="23"/>
        <v>0</v>
      </c>
      <c r="AC84" s="302"/>
      <c r="AD84" s="302"/>
      <c r="AE84" s="302">
        <v>71</v>
      </c>
      <c r="AF84" s="73">
        <v>0</v>
      </c>
      <c r="AG84" s="365">
        <f t="shared" si="24"/>
        <v>0</v>
      </c>
      <c r="AH84" s="365">
        <f t="shared" si="24"/>
        <v>0</v>
      </c>
      <c r="AI84" s="365">
        <f t="shared" si="24"/>
        <v>0</v>
      </c>
      <c r="AJ84" s="365">
        <f t="shared" si="24"/>
        <v>0</v>
      </c>
      <c r="AK84" s="326"/>
      <c r="AL84" s="356"/>
      <c r="AM84" s="362"/>
      <c r="AN84" s="302"/>
      <c r="AO84" s="302">
        <v>71</v>
      </c>
      <c r="AP84" s="76">
        <f>ROUND(H84*tab!G$55,0)</f>
        <v>0</v>
      </c>
      <c r="AQ84" s="76">
        <f>ROUND(I84*tab!I$55,0)</f>
        <v>0</v>
      </c>
      <c r="AR84" s="76">
        <f>ROUND(J84*tab!K$55,0)</f>
        <v>0</v>
      </c>
      <c r="AS84" s="76">
        <f>ROUND(K84*tab!M$55,0)</f>
        <v>0</v>
      </c>
      <c r="AT84" s="76">
        <f>ROUND(L84*tab!O$55,0)</f>
        <v>0</v>
      </c>
      <c r="AU84" s="302"/>
      <c r="AV84" s="302"/>
      <c r="AW84" s="302">
        <v>71</v>
      </c>
      <c r="AX84" s="76">
        <f>+H84*tab!F$56</f>
        <v>0</v>
      </c>
      <c r="AY84" s="76">
        <f>+I84*tab!H$56</f>
        <v>0</v>
      </c>
      <c r="AZ84" s="76">
        <f>+J84*tab!J$56</f>
        <v>0</v>
      </c>
      <c r="BA84" s="76">
        <f>+K84*tab!L$56</f>
        <v>0</v>
      </c>
      <c r="BB84" s="76">
        <f>+L84*tab!N$56</f>
        <v>0</v>
      </c>
      <c r="BC84" s="302"/>
      <c r="BD84" s="302"/>
      <c r="BE84" s="302">
        <v>71</v>
      </c>
      <c r="BF84" s="76">
        <f t="shared" si="25"/>
        <v>0</v>
      </c>
      <c r="BG84" s="76">
        <f t="shared" si="26"/>
        <v>0</v>
      </c>
      <c r="BH84" s="76">
        <f t="shared" si="27"/>
        <v>0</v>
      </c>
      <c r="BI84" s="76">
        <f t="shared" si="28"/>
        <v>0</v>
      </c>
      <c r="BJ84" s="76">
        <f t="shared" si="29"/>
        <v>0</v>
      </c>
      <c r="BK84" s="302"/>
      <c r="BL84" s="363"/>
    </row>
    <row r="85" spans="2:64" s="320" customFormat="1" ht="12.75">
      <c r="B85" s="353"/>
      <c r="C85" s="302"/>
      <c r="D85" s="302">
        <v>72</v>
      </c>
      <c r="E85" s="186"/>
      <c r="F85" s="187"/>
      <c r="G85" s="326"/>
      <c r="H85" s="187">
        <v>0</v>
      </c>
      <c r="I85" s="207">
        <f t="shared" si="21"/>
        <v>0</v>
      </c>
      <c r="J85" s="207">
        <f t="shared" si="21"/>
        <v>0</v>
      </c>
      <c r="K85" s="207">
        <f t="shared" si="21"/>
        <v>0</v>
      </c>
      <c r="L85" s="207">
        <f t="shared" si="21"/>
        <v>0</v>
      </c>
      <c r="M85" s="302"/>
      <c r="N85" s="302"/>
      <c r="O85" s="302">
        <v>72</v>
      </c>
      <c r="P85" s="364">
        <v>0</v>
      </c>
      <c r="Q85" s="365">
        <f t="shared" si="22"/>
        <v>0</v>
      </c>
      <c r="R85" s="365">
        <f t="shared" si="22"/>
        <v>0</v>
      </c>
      <c r="S85" s="365">
        <f t="shared" si="22"/>
        <v>0</v>
      </c>
      <c r="T85" s="365">
        <f t="shared" si="22"/>
        <v>0</v>
      </c>
      <c r="U85" s="302"/>
      <c r="V85" s="302"/>
      <c r="W85" s="302">
        <v>72</v>
      </c>
      <c r="X85" s="73">
        <v>0</v>
      </c>
      <c r="Y85" s="365">
        <f t="shared" si="23"/>
        <v>0</v>
      </c>
      <c r="Z85" s="365">
        <f t="shared" si="23"/>
        <v>0</v>
      </c>
      <c r="AA85" s="365">
        <f t="shared" si="23"/>
        <v>0</v>
      </c>
      <c r="AB85" s="365">
        <f t="shared" si="23"/>
        <v>0</v>
      </c>
      <c r="AC85" s="302"/>
      <c r="AD85" s="302"/>
      <c r="AE85" s="302">
        <v>72</v>
      </c>
      <c r="AF85" s="73">
        <v>0</v>
      </c>
      <c r="AG85" s="365">
        <f t="shared" si="24"/>
        <v>0</v>
      </c>
      <c r="AH85" s="365">
        <f t="shared" si="24"/>
        <v>0</v>
      </c>
      <c r="AI85" s="365">
        <f t="shared" si="24"/>
        <v>0</v>
      </c>
      <c r="AJ85" s="365">
        <f t="shared" si="24"/>
        <v>0</v>
      </c>
      <c r="AK85" s="326"/>
      <c r="AL85" s="356"/>
      <c r="AM85" s="362"/>
      <c r="AN85" s="302"/>
      <c r="AO85" s="302">
        <v>72</v>
      </c>
      <c r="AP85" s="76">
        <f>ROUND(H85*tab!G$55,0)</f>
        <v>0</v>
      </c>
      <c r="AQ85" s="76">
        <f>ROUND(I85*tab!I$55,0)</f>
        <v>0</v>
      </c>
      <c r="AR85" s="76">
        <f>ROUND(J85*tab!K$55,0)</f>
        <v>0</v>
      </c>
      <c r="AS85" s="76">
        <f>ROUND(K85*tab!M$55,0)</f>
        <v>0</v>
      </c>
      <c r="AT85" s="76">
        <f>ROUND(L85*tab!O$55,0)</f>
        <v>0</v>
      </c>
      <c r="AU85" s="302"/>
      <c r="AV85" s="302"/>
      <c r="AW85" s="302">
        <v>72</v>
      </c>
      <c r="AX85" s="76">
        <f>+H85*tab!F$56</f>
        <v>0</v>
      </c>
      <c r="AY85" s="76">
        <f>+I85*tab!H$56</f>
        <v>0</v>
      </c>
      <c r="AZ85" s="76">
        <f>+J85*tab!J$56</f>
        <v>0</v>
      </c>
      <c r="BA85" s="76">
        <f>+K85*tab!L$56</f>
        <v>0</v>
      </c>
      <c r="BB85" s="76">
        <f>+L85*tab!N$56</f>
        <v>0</v>
      </c>
      <c r="BC85" s="302"/>
      <c r="BD85" s="302"/>
      <c r="BE85" s="302">
        <v>72</v>
      </c>
      <c r="BF85" s="76">
        <f t="shared" si="25"/>
        <v>0</v>
      </c>
      <c r="BG85" s="76">
        <f t="shared" si="26"/>
        <v>0</v>
      </c>
      <c r="BH85" s="76">
        <f t="shared" si="27"/>
        <v>0</v>
      </c>
      <c r="BI85" s="76">
        <f t="shared" si="28"/>
        <v>0</v>
      </c>
      <c r="BJ85" s="76">
        <f t="shared" si="29"/>
        <v>0</v>
      </c>
      <c r="BK85" s="302"/>
      <c r="BL85" s="354"/>
    </row>
    <row r="86" spans="2:64" s="320" customFormat="1" ht="12.75">
      <c r="B86" s="353"/>
      <c r="C86" s="302"/>
      <c r="D86" s="302">
        <v>73</v>
      </c>
      <c r="E86" s="186"/>
      <c r="F86" s="187"/>
      <c r="G86" s="326"/>
      <c r="H86" s="187">
        <v>0</v>
      </c>
      <c r="I86" s="207">
        <f t="shared" si="21"/>
        <v>0</v>
      </c>
      <c r="J86" s="207">
        <f t="shared" si="21"/>
        <v>0</v>
      </c>
      <c r="K86" s="207">
        <f t="shared" si="21"/>
        <v>0</v>
      </c>
      <c r="L86" s="207">
        <f t="shared" si="21"/>
        <v>0</v>
      </c>
      <c r="M86" s="302"/>
      <c r="N86" s="302"/>
      <c r="O86" s="302">
        <v>73</v>
      </c>
      <c r="P86" s="364">
        <v>0</v>
      </c>
      <c r="Q86" s="365">
        <f t="shared" si="22"/>
        <v>0</v>
      </c>
      <c r="R86" s="365">
        <f t="shared" si="22"/>
        <v>0</v>
      </c>
      <c r="S86" s="365">
        <f t="shared" si="22"/>
        <v>0</v>
      </c>
      <c r="T86" s="365">
        <f t="shared" si="22"/>
        <v>0</v>
      </c>
      <c r="U86" s="302"/>
      <c r="V86" s="302"/>
      <c r="W86" s="302">
        <v>73</v>
      </c>
      <c r="X86" s="73">
        <v>0</v>
      </c>
      <c r="Y86" s="365">
        <f t="shared" si="23"/>
        <v>0</v>
      </c>
      <c r="Z86" s="365">
        <f t="shared" si="23"/>
        <v>0</v>
      </c>
      <c r="AA86" s="365">
        <f t="shared" si="23"/>
        <v>0</v>
      </c>
      <c r="AB86" s="365">
        <f t="shared" si="23"/>
        <v>0</v>
      </c>
      <c r="AC86" s="302"/>
      <c r="AD86" s="302"/>
      <c r="AE86" s="302">
        <v>73</v>
      </c>
      <c r="AF86" s="73">
        <v>0</v>
      </c>
      <c r="AG86" s="365">
        <f t="shared" si="24"/>
        <v>0</v>
      </c>
      <c r="AH86" s="365">
        <f t="shared" si="24"/>
        <v>0</v>
      </c>
      <c r="AI86" s="365">
        <f t="shared" si="24"/>
        <v>0</v>
      </c>
      <c r="AJ86" s="365">
        <f t="shared" si="24"/>
        <v>0</v>
      </c>
      <c r="AK86" s="326"/>
      <c r="AL86" s="356"/>
      <c r="AM86" s="362"/>
      <c r="AN86" s="302"/>
      <c r="AO86" s="302">
        <v>73</v>
      </c>
      <c r="AP86" s="76">
        <f>ROUND(H86*tab!G$55,0)</f>
        <v>0</v>
      </c>
      <c r="AQ86" s="76">
        <f>ROUND(I86*tab!I$55,0)</f>
        <v>0</v>
      </c>
      <c r="AR86" s="76">
        <f>ROUND(J86*tab!K$55,0)</f>
        <v>0</v>
      </c>
      <c r="AS86" s="76">
        <f>ROUND(K86*tab!M$55,0)</f>
        <v>0</v>
      </c>
      <c r="AT86" s="76">
        <f>ROUND(L86*tab!O$55,0)</f>
        <v>0</v>
      </c>
      <c r="AU86" s="302"/>
      <c r="AV86" s="302"/>
      <c r="AW86" s="302">
        <v>73</v>
      </c>
      <c r="AX86" s="76">
        <f>+H86*tab!F$56</f>
        <v>0</v>
      </c>
      <c r="AY86" s="76">
        <f>+I86*tab!H$56</f>
        <v>0</v>
      </c>
      <c r="AZ86" s="76">
        <f>+J86*tab!J$56</f>
        <v>0</v>
      </c>
      <c r="BA86" s="76">
        <f>+K86*tab!L$56</f>
        <v>0</v>
      </c>
      <c r="BB86" s="76">
        <f>+L86*tab!N$56</f>
        <v>0</v>
      </c>
      <c r="BC86" s="302"/>
      <c r="BD86" s="302"/>
      <c r="BE86" s="302">
        <v>73</v>
      </c>
      <c r="BF86" s="76">
        <f t="shared" si="25"/>
        <v>0</v>
      </c>
      <c r="BG86" s="76">
        <f t="shared" si="26"/>
        <v>0</v>
      </c>
      <c r="BH86" s="76">
        <f t="shared" si="27"/>
        <v>0</v>
      </c>
      <c r="BI86" s="76">
        <f t="shared" si="28"/>
        <v>0</v>
      </c>
      <c r="BJ86" s="76">
        <f t="shared" si="29"/>
        <v>0</v>
      </c>
      <c r="BK86" s="302"/>
      <c r="BL86" s="354"/>
    </row>
    <row r="87" spans="2:64" s="320" customFormat="1" ht="12.75">
      <c r="B87" s="353"/>
      <c r="C87" s="302"/>
      <c r="D87" s="302">
        <v>74</v>
      </c>
      <c r="E87" s="186"/>
      <c r="F87" s="187"/>
      <c r="G87" s="326"/>
      <c r="H87" s="187">
        <v>0</v>
      </c>
      <c r="I87" s="207">
        <f t="shared" si="21"/>
        <v>0</v>
      </c>
      <c r="J87" s="207">
        <f t="shared" si="21"/>
        <v>0</v>
      </c>
      <c r="K87" s="207">
        <f t="shared" si="21"/>
        <v>0</v>
      </c>
      <c r="L87" s="207">
        <f t="shared" si="21"/>
        <v>0</v>
      </c>
      <c r="M87" s="302"/>
      <c r="N87" s="302"/>
      <c r="O87" s="302">
        <v>74</v>
      </c>
      <c r="P87" s="364">
        <v>0</v>
      </c>
      <c r="Q87" s="365">
        <f t="shared" si="22"/>
        <v>0</v>
      </c>
      <c r="R87" s="365">
        <f t="shared" si="22"/>
        <v>0</v>
      </c>
      <c r="S87" s="365">
        <f t="shared" si="22"/>
        <v>0</v>
      </c>
      <c r="T87" s="365">
        <f t="shared" si="22"/>
        <v>0</v>
      </c>
      <c r="U87" s="302"/>
      <c r="V87" s="302"/>
      <c r="W87" s="302">
        <v>74</v>
      </c>
      <c r="X87" s="73">
        <v>0</v>
      </c>
      <c r="Y87" s="365">
        <f t="shared" si="23"/>
        <v>0</v>
      </c>
      <c r="Z87" s="365">
        <f t="shared" si="23"/>
        <v>0</v>
      </c>
      <c r="AA87" s="365">
        <f t="shared" si="23"/>
        <v>0</v>
      </c>
      <c r="AB87" s="365">
        <f t="shared" si="23"/>
        <v>0</v>
      </c>
      <c r="AC87" s="302"/>
      <c r="AD87" s="302"/>
      <c r="AE87" s="302">
        <v>74</v>
      </c>
      <c r="AF87" s="73">
        <v>0</v>
      </c>
      <c r="AG87" s="365">
        <f t="shared" si="24"/>
        <v>0</v>
      </c>
      <c r="AH87" s="365">
        <f t="shared" si="24"/>
        <v>0</v>
      </c>
      <c r="AI87" s="365">
        <f t="shared" si="24"/>
        <v>0</v>
      </c>
      <c r="AJ87" s="365">
        <f t="shared" si="24"/>
        <v>0</v>
      </c>
      <c r="AK87" s="326"/>
      <c r="AL87" s="356"/>
      <c r="AM87" s="362"/>
      <c r="AN87" s="302"/>
      <c r="AO87" s="302">
        <v>74</v>
      </c>
      <c r="AP87" s="76">
        <f>ROUND(H87*tab!G$55,0)</f>
        <v>0</v>
      </c>
      <c r="AQ87" s="76">
        <f>ROUND(I87*tab!I$55,0)</f>
        <v>0</v>
      </c>
      <c r="AR87" s="76">
        <f>ROUND(J87*tab!K$55,0)</f>
        <v>0</v>
      </c>
      <c r="AS87" s="76">
        <f>ROUND(K87*tab!M$55,0)</f>
        <v>0</v>
      </c>
      <c r="AT87" s="76">
        <f>ROUND(L87*tab!O$55,0)</f>
        <v>0</v>
      </c>
      <c r="AU87" s="302"/>
      <c r="AV87" s="302"/>
      <c r="AW87" s="302">
        <v>74</v>
      </c>
      <c r="AX87" s="76">
        <f>+H87*tab!F$56</f>
        <v>0</v>
      </c>
      <c r="AY87" s="76">
        <f>+I87*tab!H$56</f>
        <v>0</v>
      </c>
      <c r="AZ87" s="76">
        <f>+J87*tab!J$56</f>
        <v>0</v>
      </c>
      <c r="BA87" s="76">
        <f>+K87*tab!L$56</f>
        <v>0</v>
      </c>
      <c r="BB87" s="76">
        <f>+L87*tab!N$56</f>
        <v>0</v>
      </c>
      <c r="BC87" s="302"/>
      <c r="BD87" s="302"/>
      <c r="BE87" s="302">
        <v>74</v>
      </c>
      <c r="BF87" s="76">
        <f t="shared" si="25"/>
        <v>0</v>
      </c>
      <c r="BG87" s="76">
        <f t="shared" si="26"/>
        <v>0</v>
      </c>
      <c r="BH87" s="76">
        <f t="shared" si="27"/>
        <v>0</v>
      </c>
      <c r="BI87" s="76">
        <f t="shared" si="28"/>
        <v>0</v>
      </c>
      <c r="BJ87" s="76">
        <f t="shared" si="29"/>
        <v>0</v>
      </c>
      <c r="BK87" s="302"/>
      <c r="BL87" s="354"/>
    </row>
    <row r="88" spans="2:64" s="320" customFormat="1" ht="12.75">
      <c r="B88" s="353"/>
      <c r="C88" s="302"/>
      <c r="D88" s="302">
        <v>75</v>
      </c>
      <c r="E88" s="186"/>
      <c r="F88" s="187"/>
      <c r="G88" s="326"/>
      <c r="H88" s="187">
        <v>0</v>
      </c>
      <c r="I88" s="207">
        <f t="shared" si="21"/>
        <v>0</v>
      </c>
      <c r="J88" s="207">
        <f t="shared" si="21"/>
        <v>0</v>
      </c>
      <c r="K88" s="207">
        <f t="shared" si="21"/>
        <v>0</v>
      </c>
      <c r="L88" s="207">
        <f t="shared" si="21"/>
        <v>0</v>
      </c>
      <c r="M88" s="302"/>
      <c r="N88" s="302"/>
      <c r="O88" s="302">
        <v>75</v>
      </c>
      <c r="P88" s="364">
        <v>0</v>
      </c>
      <c r="Q88" s="365">
        <f t="shared" si="22"/>
        <v>0</v>
      </c>
      <c r="R88" s="365">
        <f t="shared" si="22"/>
        <v>0</v>
      </c>
      <c r="S88" s="365">
        <f t="shared" si="22"/>
        <v>0</v>
      </c>
      <c r="T88" s="365">
        <f t="shared" si="22"/>
        <v>0</v>
      </c>
      <c r="U88" s="302"/>
      <c r="V88" s="302"/>
      <c r="W88" s="302">
        <v>75</v>
      </c>
      <c r="X88" s="73">
        <v>0</v>
      </c>
      <c r="Y88" s="365">
        <f t="shared" si="23"/>
        <v>0</v>
      </c>
      <c r="Z88" s="365">
        <f t="shared" si="23"/>
        <v>0</v>
      </c>
      <c r="AA88" s="365">
        <f t="shared" si="23"/>
        <v>0</v>
      </c>
      <c r="AB88" s="365">
        <f t="shared" si="23"/>
        <v>0</v>
      </c>
      <c r="AC88" s="302"/>
      <c r="AD88" s="302"/>
      <c r="AE88" s="302">
        <v>75</v>
      </c>
      <c r="AF88" s="73">
        <v>0</v>
      </c>
      <c r="AG88" s="365">
        <f t="shared" si="24"/>
        <v>0</v>
      </c>
      <c r="AH88" s="365">
        <f t="shared" si="24"/>
        <v>0</v>
      </c>
      <c r="AI88" s="365">
        <f t="shared" si="24"/>
        <v>0</v>
      </c>
      <c r="AJ88" s="365">
        <f t="shared" si="24"/>
        <v>0</v>
      </c>
      <c r="AK88" s="326"/>
      <c r="AL88" s="356"/>
      <c r="AM88" s="362"/>
      <c r="AN88" s="302"/>
      <c r="AO88" s="302">
        <v>75</v>
      </c>
      <c r="AP88" s="76">
        <f>ROUND(H88*tab!G$55,0)</f>
        <v>0</v>
      </c>
      <c r="AQ88" s="76">
        <f>ROUND(I88*tab!I$55,0)</f>
        <v>0</v>
      </c>
      <c r="AR88" s="76">
        <f>ROUND(J88*tab!K$55,0)</f>
        <v>0</v>
      </c>
      <c r="AS88" s="76">
        <f>ROUND(K88*tab!M$55,0)</f>
        <v>0</v>
      </c>
      <c r="AT88" s="76">
        <f>ROUND(L88*tab!O$55,0)</f>
        <v>0</v>
      </c>
      <c r="AU88" s="302"/>
      <c r="AV88" s="302"/>
      <c r="AW88" s="302">
        <v>75</v>
      </c>
      <c r="AX88" s="76">
        <f>+H88*tab!F$56</f>
        <v>0</v>
      </c>
      <c r="AY88" s="76">
        <f>+I88*tab!H$56</f>
        <v>0</v>
      </c>
      <c r="AZ88" s="76">
        <f>+J88*tab!J$56</f>
        <v>0</v>
      </c>
      <c r="BA88" s="76">
        <f>+K88*tab!L$56</f>
        <v>0</v>
      </c>
      <c r="BB88" s="76">
        <f>+L88*tab!N$56</f>
        <v>0</v>
      </c>
      <c r="BC88" s="302"/>
      <c r="BD88" s="302"/>
      <c r="BE88" s="302">
        <v>75</v>
      </c>
      <c r="BF88" s="76">
        <f t="shared" si="25"/>
        <v>0</v>
      </c>
      <c r="BG88" s="76">
        <f t="shared" si="26"/>
        <v>0</v>
      </c>
      <c r="BH88" s="76">
        <f t="shared" si="27"/>
        <v>0</v>
      </c>
      <c r="BI88" s="76">
        <f t="shared" si="28"/>
        <v>0</v>
      </c>
      <c r="BJ88" s="76">
        <f t="shared" si="29"/>
        <v>0</v>
      </c>
      <c r="BK88" s="302"/>
      <c r="BL88" s="354"/>
    </row>
    <row r="89" spans="2:64" s="332" customFormat="1" ht="12.75">
      <c r="B89" s="366"/>
      <c r="C89" s="367"/>
      <c r="D89" s="368"/>
      <c r="E89" s="369"/>
      <c r="F89" s="368" t="s">
        <v>88</v>
      </c>
      <c r="G89" s="368"/>
      <c r="H89" s="336">
        <f>SUM(H14:H88)</f>
        <v>100</v>
      </c>
      <c r="I89" s="336">
        <f>SUM(I14:I88)</f>
        <v>100</v>
      </c>
      <c r="J89" s="336">
        <f>SUM(J14:J88)</f>
        <v>100</v>
      </c>
      <c r="K89" s="336">
        <f>SUM(K14:K88)</f>
        <v>100</v>
      </c>
      <c r="L89" s="336">
        <f>SUM(L14:L88)</f>
        <v>100</v>
      </c>
      <c r="M89" s="367"/>
      <c r="N89" s="367"/>
      <c r="O89" s="368"/>
      <c r="P89" s="370">
        <f>SUM(P14:P88)</f>
        <v>0</v>
      </c>
      <c r="Q89" s="370">
        <f>SUM(Q14:Q88)</f>
        <v>0</v>
      </c>
      <c r="R89" s="370">
        <f>SUM(R14:R88)</f>
        <v>0</v>
      </c>
      <c r="S89" s="370">
        <f>SUM(S14:S88)</f>
        <v>0</v>
      </c>
      <c r="T89" s="370">
        <f>SUM(T14:T88)</f>
        <v>0</v>
      </c>
      <c r="U89" s="367"/>
      <c r="V89" s="367"/>
      <c r="W89" s="368"/>
      <c r="X89" s="371">
        <f>SUM(X14:X88)</f>
        <v>0</v>
      </c>
      <c r="Y89" s="371">
        <f>SUM(Y14:Y88)</f>
        <v>0</v>
      </c>
      <c r="Z89" s="371">
        <f>SUM(Z14:Z88)</f>
        <v>0</v>
      </c>
      <c r="AA89" s="371">
        <f>SUM(AA14:AA88)</f>
        <v>0</v>
      </c>
      <c r="AB89" s="371">
        <f>SUM(AB14:AB88)</f>
        <v>0</v>
      </c>
      <c r="AC89" s="367"/>
      <c r="AD89" s="367"/>
      <c r="AE89" s="368"/>
      <c r="AF89" s="371">
        <f>SUM(AF14:AF88)</f>
        <v>0</v>
      </c>
      <c r="AG89" s="371">
        <f>SUM(AG14:AG88)</f>
        <v>0</v>
      </c>
      <c r="AH89" s="371">
        <f>SUM(AH14:AH88)</f>
        <v>0</v>
      </c>
      <c r="AI89" s="371">
        <f>SUM(AI14:AI88)</f>
        <v>0</v>
      </c>
      <c r="AJ89" s="371">
        <f>SUM(AJ14:AJ88)</f>
        <v>0</v>
      </c>
      <c r="AK89" s="367"/>
      <c r="AL89" s="372"/>
      <c r="AM89" s="366"/>
      <c r="AN89" s="367"/>
      <c r="AO89" s="368"/>
      <c r="AP89" s="371">
        <f>ROUND(SUM(AP14:AP88),0)</f>
        <v>13773</v>
      </c>
      <c r="AQ89" s="371">
        <f>ROUND(SUM(AQ14:AQ88),0)</f>
        <v>13966</v>
      </c>
      <c r="AR89" s="371">
        <f>ROUND(SUM(AR14:AR88),0)</f>
        <v>13966</v>
      </c>
      <c r="AS89" s="371">
        <f>ROUND(SUM(AS14:AS88),0)</f>
        <v>13966</v>
      </c>
      <c r="AT89" s="371">
        <f>ROUND(SUM(AT14:AT88),0)</f>
        <v>13966</v>
      </c>
      <c r="AU89" s="367"/>
      <c r="AV89" s="367"/>
      <c r="AW89" s="368"/>
      <c r="AX89" s="371">
        <f>SUM(AX14:AX88)</f>
        <v>661</v>
      </c>
      <c r="AY89" s="371">
        <f>SUM(AY14:AY88)</f>
        <v>672</v>
      </c>
      <c r="AZ89" s="371">
        <f>SUM(AZ14:AZ88)</f>
        <v>672</v>
      </c>
      <c r="BA89" s="371">
        <f>SUM(BA14:BA88)</f>
        <v>672</v>
      </c>
      <c r="BB89" s="371">
        <f>SUM(BB14:BB88)</f>
        <v>672</v>
      </c>
      <c r="BC89" s="367"/>
      <c r="BD89" s="367"/>
      <c r="BE89" s="368"/>
      <c r="BF89" s="371">
        <f>SUM(BF14:BF88)</f>
        <v>667.4166666666667</v>
      </c>
      <c r="BG89" s="371">
        <f>SUM(BG14:BG88)</f>
        <v>672</v>
      </c>
      <c r="BH89" s="371">
        <f>SUM(BH14:BH88)</f>
        <v>672</v>
      </c>
      <c r="BI89" s="371">
        <f>SUM(BI14:BI88)</f>
        <v>672</v>
      </c>
      <c r="BJ89" s="371">
        <f>SUM(BJ14:BJ88)</f>
        <v>672</v>
      </c>
      <c r="BK89" s="367"/>
      <c r="BL89" s="372"/>
    </row>
    <row r="90" spans="2:64" ht="12.75">
      <c r="B90" s="264"/>
      <c r="C90" s="272"/>
      <c r="D90" s="335"/>
      <c r="E90" s="355"/>
      <c r="F90" s="335"/>
      <c r="G90" s="335"/>
      <c r="H90" s="335"/>
      <c r="I90" s="335"/>
      <c r="J90" s="335"/>
      <c r="K90" s="335"/>
      <c r="L90" s="335"/>
      <c r="M90" s="272"/>
      <c r="N90" s="272"/>
      <c r="O90" s="335"/>
      <c r="P90" s="272"/>
      <c r="Q90" s="272"/>
      <c r="R90" s="272"/>
      <c r="S90" s="272"/>
      <c r="T90" s="272"/>
      <c r="U90" s="272"/>
      <c r="V90" s="272"/>
      <c r="W90" s="335"/>
      <c r="X90" s="272"/>
      <c r="Y90" s="272"/>
      <c r="Z90" s="272"/>
      <c r="AA90" s="272"/>
      <c r="AB90" s="272"/>
      <c r="AC90" s="272"/>
      <c r="AD90" s="272"/>
      <c r="AE90" s="335"/>
      <c r="AF90" s="272"/>
      <c r="AG90" s="272"/>
      <c r="AH90" s="272"/>
      <c r="AI90" s="272"/>
      <c r="AJ90" s="272"/>
      <c r="AK90" s="272"/>
      <c r="AL90" s="266"/>
      <c r="AM90" s="264"/>
      <c r="AN90" s="272"/>
      <c r="AO90" s="335"/>
      <c r="AP90" s="272"/>
      <c r="AQ90" s="272"/>
      <c r="AR90" s="272"/>
      <c r="AS90" s="272"/>
      <c r="AT90" s="272"/>
      <c r="AU90" s="272"/>
      <c r="AV90" s="272"/>
      <c r="AW90" s="335"/>
      <c r="AX90" s="272"/>
      <c r="AY90" s="272"/>
      <c r="AZ90" s="272"/>
      <c r="BA90" s="272"/>
      <c r="BB90" s="272"/>
      <c r="BC90" s="272"/>
      <c r="BD90" s="272"/>
      <c r="BE90" s="335"/>
      <c r="BF90" s="272"/>
      <c r="BG90" s="272"/>
      <c r="BH90" s="272"/>
      <c r="BI90" s="272"/>
      <c r="BJ90" s="272"/>
      <c r="BK90" s="272"/>
      <c r="BL90" s="266"/>
    </row>
    <row r="91" spans="2:64" ht="13.5" thickBot="1">
      <c r="B91" s="269"/>
      <c r="C91" s="270"/>
      <c r="D91" s="343"/>
      <c r="E91" s="359"/>
      <c r="F91" s="343"/>
      <c r="G91" s="343"/>
      <c r="H91" s="343"/>
      <c r="I91" s="343"/>
      <c r="J91" s="343"/>
      <c r="K91" s="343"/>
      <c r="L91" s="343"/>
      <c r="M91" s="270"/>
      <c r="N91" s="270"/>
      <c r="O91" s="343"/>
      <c r="P91" s="270"/>
      <c r="Q91" s="270"/>
      <c r="R91" s="270"/>
      <c r="S91" s="270"/>
      <c r="T91" s="270"/>
      <c r="U91" s="270"/>
      <c r="V91" s="270"/>
      <c r="W91" s="343"/>
      <c r="X91" s="270"/>
      <c r="Y91" s="270"/>
      <c r="Z91" s="270"/>
      <c r="AA91" s="270"/>
      <c r="AB91" s="270"/>
      <c r="AC91" s="270"/>
      <c r="AD91" s="270"/>
      <c r="AE91" s="343"/>
      <c r="AF91" s="270"/>
      <c r="AG91" s="270"/>
      <c r="AH91" s="270"/>
      <c r="AI91" s="270"/>
      <c r="AJ91" s="270"/>
      <c r="AK91" s="270"/>
      <c r="AL91" s="271"/>
      <c r="AM91" s="269"/>
      <c r="AN91" s="270"/>
      <c r="AO91" s="343"/>
      <c r="AP91" s="270"/>
      <c r="AQ91" s="270"/>
      <c r="AR91" s="270"/>
      <c r="AS91" s="270"/>
      <c r="AT91" s="270"/>
      <c r="AU91" s="270"/>
      <c r="AV91" s="270"/>
      <c r="AW91" s="343"/>
      <c r="AX91" s="270"/>
      <c r="AY91" s="270"/>
      <c r="AZ91" s="270"/>
      <c r="BA91" s="270"/>
      <c r="BB91" s="270"/>
      <c r="BC91" s="270"/>
      <c r="BD91" s="270"/>
      <c r="BE91" s="343"/>
      <c r="BF91" s="270"/>
      <c r="BG91" s="270"/>
      <c r="BH91" s="270"/>
      <c r="BI91" s="270"/>
      <c r="BJ91" s="270"/>
      <c r="BK91" s="270"/>
      <c r="BL91" s="271"/>
    </row>
    <row r="94" spans="4:57" s="319" customFormat="1" ht="12.75">
      <c r="D94" s="323"/>
      <c r="E94" s="328"/>
      <c r="F94" s="329"/>
      <c r="G94" s="329"/>
      <c r="H94" s="323"/>
      <c r="I94" s="323"/>
      <c r="J94" s="323"/>
      <c r="K94" s="323"/>
      <c r="L94" s="323"/>
      <c r="O94" s="323"/>
      <c r="W94" s="323"/>
      <c r="AE94" s="323"/>
      <c r="AO94" s="323"/>
      <c r="AW94" s="323"/>
      <c r="BE94" s="323"/>
    </row>
    <row r="104" spans="4:57" s="319" customFormat="1" ht="12.75">
      <c r="D104" s="323"/>
      <c r="E104" s="328"/>
      <c r="F104" s="329"/>
      <c r="G104" s="329"/>
      <c r="H104" s="323"/>
      <c r="I104" s="323"/>
      <c r="J104" s="323"/>
      <c r="K104" s="323"/>
      <c r="L104" s="323"/>
      <c r="O104" s="323"/>
      <c r="W104" s="323"/>
      <c r="AE104" s="323"/>
      <c r="AO104" s="323"/>
      <c r="AW104" s="323"/>
      <c r="BE104" s="323"/>
    </row>
    <row r="109" spans="4:57" s="319" customFormat="1" ht="12.75">
      <c r="D109" s="323"/>
      <c r="E109" s="328"/>
      <c r="F109" s="329"/>
      <c r="G109" s="329"/>
      <c r="H109" s="323"/>
      <c r="I109" s="323"/>
      <c r="J109" s="323"/>
      <c r="K109" s="323"/>
      <c r="L109" s="323"/>
      <c r="O109" s="323"/>
      <c r="W109" s="323"/>
      <c r="AE109" s="323"/>
      <c r="AO109" s="323"/>
      <c r="AW109" s="323"/>
      <c r="BE109" s="323"/>
    </row>
    <row r="114" spans="4:57" s="319" customFormat="1" ht="12.75">
      <c r="D114" s="323"/>
      <c r="E114" s="328"/>
      <c r="F114" s="329"/>
      <c r="G114" s="329"/>
      <c r="H114" s="323"/>
      <c r="I114" s="323"/>
      <c r="J114" s="323"/>
      <c r="K114" s="323"/>
      <c r="L114" s="323"/>
      <c r="O114" s="323"/>
      <c r="W114" s="323"/>
      <c r="AE114" s="323"/>
      <c r="AO114" s="323"/>
      <c r="AW114" s="323"/>
      <c r="BE114" s="323"/>
    </row>
    <row r="119" spans="4:57" s="319" customFormat="1" ht="12.75">
      <c r="D119" s="323"/>
      <c r="E119" s="328"/>
      <c r="F119" s="329"/>
      <c r="G119" s="329"/>
      <c r="H119" s="323"/>
      <c r="I119" s="323"/>
      <c r="J119" s="323"/>
      <c r="K119" s="323"/>
      <c r="L119" s="323"/>
      <c r="O119" s="323"/>
      <c r="W119" s="323"/>
      <c r="AE119" s="323"/>
      <c r="AO119" s="323"/>
      <c r="AW119" s="323"/>
      <c r="BE119" s="323"/>
    </row>
    <row r="124" spans="4:57" s="319" customFormat="1" ht="12.75">
      <c r="D124" s="323"/>
      <c r="E124" s="328"/>
      <c r="F124" s="329"/>
      <c r="G124" s="329"/>
      <c r="H124" s="323"/>
      <c r="I124" s="323"/>
      <c r="J124" s="323"/>
      <c r="K124" s="323"/>
      <c r="L124" s="323"/>
      <c r="O124" s="323"/>
      <c r="W124" s="323"/>
      <c r="AE124" s="323"/>
      <c r="AO124" s="323"/>
      <c r="AW124" s="323"/>
      <c r="BE124" s="323"/>
    </row>
    <row r="129" spans="4:57" s="319" customFormat="1" ht="12.75">
      <c r="D129" s="323"/>
      <c r="E129" s="328"/>
      <c r="F129" s="329"/>
      <c r="G129" s="329"/>
      <c r="H129" s="323"/>
      <c r="I129" s="323"/>
      <c r="J129" s="323"/>
      <c r="K129" s="323"/>
      <c r="L129" s="323"/>
      <c r="O129" s="323"/>
      <c r="W129" s="323"/>
      <c r="AE129" s="323"/>
      <c r="AO129" s="323"/>
      <c r="AW129" s="323"/>
      <c r="BE129" s="323"/>
    </row>
    <row r="140" spans="4:57" s="319" customFormat="1" ht="12.75">
      <c r="D140" s="323"/>
      <c r="E140" s="328"/>
      <c r="F140" s="329"/>
      <c r="G140" s="329"/>
      <c r="H140" s="323"/>
      <c r="I140" s="323"/>
      <c r="J140" s="323"/>
      <c r="K140" s="323"/>
      <c r="L140" s="323"/>
      <c r="O140" s="323"/>
      <c r="W140" s="323"/>
      <c r="AE140" s="323"/>
      <c r="AO140" s="323"/>
      <c r="AW140" s="323"/>
      <c r="BE140" s="323"/>
    </row>
    <row r="145" spans="4:57" s="319" customFormat="1" ht="12.75">
      <c r="D145" s="323"/>
      <c r="E145" s="328"/>
      <c r="F145" s="329"/>
      <c r="G145" s="329"/>
      <c r="H145" s="323"/>
      <c r="I145" s="323"/>
      <c r="J145" s="323"/>
      <c r="K145" s="323"/>
      <c r="L145" s="323"/>
      <c r="O145" s="323"/>
      <c r="W145" s="323"/>
      <c r="AE145" s="323"/>
      <c r="AO145" s="323"/>
      <c r="AW145" s="323"/>
      <c r="BE145" s="323"/>
    </row>
    <row r="150" spans="4:57" s="319" customFormat="1" ht="12.75">
      <c r="D150" s="323"/>
      <c r="E150" s="328"/>
      <c r="F150" s="329"/>
      <c r="G150" s="329"/>
      <c r="H150" s="323"/>
      <c r="I150" s="323"/>
      <c r="J150" s="323"/>
      <c r="K150" s="323"/>
      <c r="L150" s="323"/>
      <c r="O150" s="323"/>
      <c r="W150" s="323"/>
      <c r="AE150" s="323"/>
      <c r="AO150" s="323"/>
      <c r="AW150" s="323"/>
      <c r="BE150" s="323"/>
    </row>
    <row r="155" spans="4:57" s="319" customFormat="1" ht="12.75">
      <c r="D155" s="323"/>
      <c r="E155" s="328"/>
      <c r="F155" s="329"/>
      <c r="G155" s="329"/>
      <c r="H155" s="323"/>
      <c r="I155" s="323"/>
      <c r="J155" s="323"/>
      <c r="K155" s="323"/>
      <c r="L155" s="323"/>
      <c r="O155" s="323"/>
      <c r="W155" s="323"/>
      <c r="AE155" s="323"/>
      <c r="AO155" s="323"/>
      <c r="AW155" s="323"/>
      <c r="BE155" s="323"/>
    </row>
    <row r="160" spans="4:57" s="319" customFormat="1" ht="12.75">
      <c r="D160" s="323"/>
      <c r="E160" s="328"/>
      <c r="F160" s="329"/>
      <c r="G160" s="329"/>
      <c r="H160" s="323"/>
      <c r="I160" s="323"/>
      <c r="J160" s="323"/>
      <c r="K160" s="323"/>
      <c r="L160" s="323"/>
      <c r="O160" s="323"/>
      <c r="W160" s="323"/>
      <c r="AE160" s="323"/>
      <c r="AO160" s="323"/>
      <c r="AW160" s="323"/>
      <c r="BE160" s="323"/>
    </row>
    <row r="163" spans="4:57" ht="12.75">
      <c r="D163" s="323"/>
      <c r="E163" s="328"/>
      <c r="F163" s="329"/>
      <c r="G163" s="329"/>
      <c r="H163" s="323"/>
      <c r="I163" s="323"/>
      <c r="J163" s="323"/>
      <c r="O163" s="323"/>
      <c r="W163" s="323"/>
      <c r="AE163" s="323"/>
      <c r="AO163" s="323"/>
      <c r="AW163" s="323"/>
      <c r="BE163" s="323"/>
    </row>
    <row r="164" spans="4:57" ht="12.75">
      <c r="D164" s="323"/>
      <c r="E164" s="328"/>
      <c r="F164" s="329"/>
      <c r="G164" s="329"/>
      <c r="H164" s="323"/>
      <c r="I164" s="323"/>
      <c r="J164" s="323"/>
      <c r="O164" s="323"/>
      <c r="W164" s="323"/>
      <c r="AE164" s="323"/>
      <c r="AO164" s="323"/>
      <c r="AW164" s="323"/>
      <c r="BE164" s="323"/>
    </row>
    <row r="165" spans="4:57" s="319" customFormat="1" ht="12.75">
      <c r="D165" s="323"/>
      <c r="E165" s="328"/>
      <c r="F165" s="329"/>
      <c r="G165" s="329"/>
      <c r="H165" s="323"/>
      <c r="I165" s="323"/>
      <c r="J165" s="323"/>
      <c r="K165" s="323"/>
      <c r="L165" s="323"/>
      <c r="O165" s="323"/>
      <c r="W165" s="323"/>
      <c r="AE165" s="323"/>
      <c r="AO165" s="323"/>
      <c r="AW165" s="323"/>
      <c r="BE165" s="323"/>
    </row>
  </sheetData>
  <sheetProtection password="DE55" sheet="1" objects="1" scenarios="1"/>
  <printOptions/>
  <pageMargins left="0.75" right="0.75" top="1" bottom="1" header="0.5" footer="0.5"/>
  <pageSetup horizontalDpi="600" verticalDpi="600" orientation="landscape" paperSize="9" scale="40" r:id="rId1"/>
  <headerFooter alignWithMargins="0">
    <oddHeader>&amp;L&amp;"Arial,Vet"&amp;9&amp;F&amp;R&amp;"Arial,Vet"&amp;9&amp;A</oddHeader>
    <oddFooter>&amp;L&amp;"Arial,Vet"&amp;9vos/abb&amp;C&amp;"Arial,Vet"&amp;9&amp;P&amp;R&amp;"Arial,Vet"&amp;9&amp;D</oddFooter>
  </headerFooter>
  <colBreaks count="1" manualBreakCount="1">
    <brk id="38" min="1" max="9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L138"/>
  <sheetViews>
    <sheetView showGridLines="0" zoomScale="85" zoomScaleNormal="85" zoomScaleSheetLayoutView="70" workbookViewId="0" topLeftCell="A1">
      <selection activeCell="B2" sqref="B2"/>
    </sheetView>
  </sheetViews>
  <sheetFormatPr defaultColWidth="9.140625" defaultRowHeight="12.75"/>
  <cols>
    <col min="1" max="1" width="5.8515625" style="260" customWidth="1"/>
    <col min="2" max="3" width="2.7109375" style="260" customWidth="1"/>
    <col min="4" max="4" width="45.8515625" style="260" customWidth="1"/>
    <col min="5" max="5" width="3.00390625" style="260" customWidth="1"/>
    <col min="6" max="10" width="16.8515625" style="320" customWidth="1"/>
    <col min="11" max="12" width="2.7109375" style="260" customWidth="1"/>
    <col min="13" max="16384" width="9.140625" style="260" customWidth="1"/>
  </cols>
  <sheetData>
    <row r="1" ht="13.5" thickBot="1"/>
    <row r="2" spans="2:12" ht="12.75">
      <c r="B2" s="261"/>
      <c r="C2" s="262"/>
      <c r="D2" s="262"/>
      <c r="E2" s="262"/>
      <c r="F2" s="337"/>
      <c r="G2" s="337"/>
      <c r="H2" s="337"/>
      <c r="I2" s="337"/>
      <c r="J2" s="337"/>
      <c r="K2" s="262"/>
      <c r="L2" s="263"/>
    </row>
    <row r="3" spans="2:12" ht="12.75">
      <c r="B3" s="264"/>
      <c r="C3" s="265"/>
      <c r="D3" s="265"/>
      <c r="E3" s="265"/>
      <c r="F3" s="321"/>
      <c r="G3" s="321"/>
      <c r="H3" s="321"/>
      <c r="I3" s="321"/>
      <c r="J3" s="321"/>
      <c r="K3" s="265"/>
      <c r="L3" s="266"/>
    </row>
    <row r="4" spans="2:12" s="275" customFormat="1" ht="18">
      <c r="B4" s="274"/>
      <c r="C4" s="338" t="s">
        <v>421</v>
      </c>
      <c r="D4" s="339"/>
      <c r="E4" s="339"/>
      <c r="F4" s="340"/>
      <c r="G4" s="340"/>
      <c r="H4" s="340"/>
      <c r="I4" s="331"/>
      <c r="J4" s="340"/>
      <c r="K4" s="339"/>
      <c r="L4" s="341"/>
    </row>
    <row r="5" spans="2:12" ht="12.75">
      <c r="B5" s="264"/>
      <c r="C5" s="265"/>
      <c r="D5" s="322"/>
      <c r="E5" s="265"/>
      <c r="F5" s="321"/>
      <c r="G5" s="321"/>
      <c r="H5" s="321"/>
      <c r="I5" s="329"/>
      <c r="J5" s="321"/>
      <c r="K5" s="265"/>
      <c r="L5" s="266"/>
    </row>
    <row r="6" spans="2:12" ht="12.75">
      <c r="B6" s="264"/>
      <c r="C6" s="265"/>
      <c r="D6" s="322"/>
      <c r="E6" s="265"/>
      <c r="F6" s="321"/>
      <c r="G6" s="321"/>
      <c r="H6" s="321"/>
      <c r="I6" s="329"/>
      <c r="J6" s="321"/>
      <c r="K6" s="265"/>
      <c r="L6" s="266"/>
    </row>
    <row r="7" spans="2:12" ht="12.75">
      <c r="B7" s="264"/>
      <c r="C7" s="265"/>
      <c r="D7" s="322"/>
      <c r="E7" s="265"/>
      <c r="F7" s="321"/>
      <c r="G7" s="321"/>
      <c r="H7" s="321"/>
      <c r="I7" s="329"/>
      <c r="J7" s="321"/>
      <c r="K7" s="265"/>
      <c r="L7" s="266"/>
    </row>
    <row r="8" spans="2:12" ht="12.75">
      <c r="B8" s="264"/>
      <c r="C8" s="265"/>
      <c r="D8" s="409" t="s">
        <v>310</v>
      </c>
      <c r="E8" s="265"/>
      <c r="F8" s="493" t="str">
        <f>tab!G11</f>
        <v>2007/08</v>
      </c>
      <c r="G8" s="493" t="str">
        <f>tab!H11</f>
        <v>2008/09</v>
      </c>
      <c r="H8" s="493" t="str">
        <f>tab!I11</f>
        <v>2009/10</v>
      </c>
      <c r="I8" s="493" t="str">
        <f>tab!J11</f>
        <v>2010/11</v>
      </c>
      <c r="J8" s="493" t="str">
        <f>tab!K11</f>
        <v>2011/12</v>
      </c>
      <c r="K8" s="265"/>
      <c r="L8" s="266"/>
    </row>
    <row r="9" spans="2:12" ht="12.75">
      <c r="B9" s="264"/>
      <c r="C9" s="265"/>
      <c r="D9" s="16" t="s">
        <v>391</v>
      </c>
      <c r="E9" s="238"/>
      <c r="F9" s="22">
        <v>2006</v>
      </c>
      <c r="G9" s="22">
        <f>+F9+1</f>
        <v>2007</v>
      </c>
      <c r="H9" s="22">
        <f>+G9+1</f>
        <v>2008</v>
      </c>
      <c r="I9" s="22">
        <f>+H9+1</f>
        <v>2009</v>
      </c>
      <c r="J9" s="22">
        <f>+I9+1</f>
        <v>2010</v>
      </c>
      <c r="K9" s="265"/>
      <c r="L9" s="266"/>
    </row>
    <row r="10" spans="2:12" ht="12.75">
      <c r="B10" s="264"/>
      <c r="C10" s="265"/>
      <c r="D10" s="409"/>
      <c r="E10" s="265"/>
      <c r="F10" s="321"/>
      <c r="G10" s="321"/>
      <c r="H10" s="321"/>
      <c r="I10" s="321"/>
      <c r="J10" s="321"/>
      <c r="K10" s="265"/>
      <c r="L10" s="266"/>
    </row>
    <row r="11" spans="2:12" ht="12.75">
      <c r="B11" s="264"/>
      <c r="C11" s="265"/>
      <c r="D11" s="322"/>
      <c r="E11" s="265"/>
      <c r="F11" s="321"/>
      <c r="G11" s="321"/>
      <c r="H11" s="321"/>
      <c r="I11" s="321"/>
      <c r="J11" s="321"/>
      <c r="K11" s="265"/>
      <c r="L11" s="266"/>
    </row>
    <row r="12" spans="2:12" ht="12.75">
      <c r="B12" s="264"/>
      <c r="C12" s="272"/>
      <c r="D12" s="289"/>
      <c r="E12" s="272"/>
      <c r="F12" s="335"/>
      <c r="G12" s="335"/>
      <c r="H12" s="335"/>
      <c r="I12" s="335"/>
      <c r="J12" s="335"/>
      <c r="K12" s="272"/>
      <c r="L12" s="266"/>
    </row>
    <row r="13" spans="2:12" ht="12.75">
      <c r="B13" s="264"/>
      <c r="C13" s="272"/>
      <c r="D13" s="267" t="s">
        <v>500</v>
      </c>
      <c r="E13" s="272"/>
      <c r="F13" s="335"/>
      <c r="G13" s="335"/>
      <c r="H13" s="335"/>
      <c r="I13" s="335"/>
      <c r="J13" s="335"/>
      <c r="K13" s="272"/>
      <c r="L13" s="266"/>
    </row>
    <row r="14" spans="2:12" ht="12.75">
      <c r="B14" s="264"/>
      <c r="C14" s="272"/>
      <c r="D14" s="272"/>
      <c r="E14" s="272"/>
      <c r="F14" s="335"/>
      <c r="G14" s="335"/>
      <c r="H14" s="335"/>
      <c r="I14" s="335"/>
      <c r="J14" s="335"/>
      <c r="K14" s="272"/>
      <c r="L14" s="266"/>
    </row>
    <row r="15" spans="2:12" ht="12.75">
      <c r="B15" s="264"/>
      <c r="C15" s="272"/>
      <c r="D15" s="272" t="s">
        <v>45</v>
      </c>
      <c r="E15" s="272"/>
      <c r="F15" s="239">
        <v>276</v>
      </c>
      <c r="G15" s="251">
        <f aca="true" t="shared" si="0" ref="G15:J17">F15</f>
        <v>276</v>
      </c>
      <c r="H15" s="251">
        <f t="shared" si="0"/>
        <v>276</v>
      </c>
      <c r="I15" s="251">
        <f t="shared" si="0"/>
        <v>276</v>
      </c>
      <c r="J15" s="251">
        <f t="shared" si="0"/>
        <v>276</v>
      </c>
      <c r="K15" s="272"/>
      <c r="L15" s="266"/>
    </row>
    <row r="16" spans="2:12" ht="12.75">
      <c r="B16" s="264"/>
      <c r="C16" s="272"/>
      <c r="D16" s="272" t="s">
        <v>46</v>
      </c>
      <c r="E16" s="272"/>
      <c r="F16" s="239">
        <v>20</v>
      </c>
      <c r="G16" s="251">
        <f t="shared" si="0"/>
        <v>20</v>
      </c>
      <c r="H16" s="251">
        <f t="shared" si="0"/>
        <v>20</v>
      </c>
      <c r="I16" s="251">
        <f t="shared" si="0"/>
        <v>20</v>
      </c>
      <c r="J16" s="251">
        <f t="shared" si="0"/>
        <v>20</v>
      </c>
      <c r="K16" s="272"/>
      <c r="L16" s="266"/>
    </row>
    <row r="17" spans="2:12" ht="12.75">
      <c r="B17" s="264"/>
      <c r="C17" s="272"/>
      <c r="D17" s="342" t="s">
        <v>47</v>
      </c>
      <c r="E17" s="272"/>
      <c r="F17" s="239">
        <v>293</v>
      </c>
      <c r="G17" s="251">
        <f t="shared" si="0"/>
        <v>293</v>
      </c>
      <c r="H17" s="251">
        <f t="shared" si="0"/>
        <v>293</v>
      </c>
      <c r="I17" s="251">
        <f t="shared" si="0"/>
        <v>293</v>
      </c>
      <c r="J17" s="251">
        <f t="shared" si="0"/>
        <v>293</v>
      </c>
      <c r="K17" s="272"/>
      <c r="L17" s="266"/>
    </row>
    <row r="18" spans="2:12" ht="12.75">
      <c r="B18" s="264"/>
      <c r="C18" s="272"/>
      <c r="D18" s="272" t="s">
        <v>48</v>
      </c>
      <c r="E18" s="272"/>
      <c r="F18" s="335"/>
      <c r="G18" s="335"/>
      <c r="H18" s="335"/>
      <c r="I18" s="335"/>
      <c r="J18" s="335"/>
      <c r="K18" s="272"/>
      <c r="L18" s="266"/>
    </row>
    <row r="19" spans="2:12" ht="12.75">
      <c r="B19" s="264"/>
      <c r="C19" s="272"/>
      <c r="D19" s="272" t="s">
        <v>92</v>
      </c>
      <c r="E19" s="272"/>
      <c r="F19" s="249">
        <f>+lln!G$26</f>
        <v>6000</v>
      </c>
      <c r="G19" s="249">
        <f>+lln!H$26</f>
        <v>5990</v>
      </c>
      <c r="H19" s="249">
        <f>+lln!I$26</f>
        <v>5990</v>
      </c>
      <c r="I19" s="249">
        <f>+lln!J$26</f>
        <v>5990</v>
      </c>
      <c r="J19" s="249">
        <f>+lln!K$26</f>
        <v>5990</v>
      </c>
      <c r="K19" s="272"/>
      <c r="L19" s="266"/>
    </row>
    <row r="20" spans="2:12" ht="12.75">
      <c r="B20" s="264"/>
      <c r="C20" s="272"/>
      <c r="D20" s="272" t="s">
        <v>93</v>
      </c>
      <c r="E20" s="272"/>
      <c r="F20" s="239">
        <v>4000</v>
      </c>
      <c r="G20" s="251">
        <f aca="true" t="shared" si="1" ref="G20:J22">F20</f>
        <v>4000</v>
      </c>
      <c r="H20" s="251">
        <f t="shared" si="1"/>
        <v>4000</v>
      </c>
      <c r="I20" s="251">
        <f t="shared" si="1"/>
        <v>4000</v>
      </c>
      <c r="J20" s="251">
        <f t="shared" si="1"/>
        <v>4000</v>
      </c>
      <c r="K20" s="272"/>
      <c r="L20" s="266"/>
    </row>
    <row r="21" spans="2:12" ht="12.75">
      <c r="B21" s="264"/>
      <c r="C21" s="272"/>
      <c r="D21" s="272" t="s">
        <v>94</v>
      </c>
      <c r="E21" s="272"/>
      <c r="F21" s="239">
        <v>0</v>
      </c>
      <c r="G21" s="251">
        <f t="shared" si="1"/>
        <v>0</v>
      </c>
      <c r="H21" s="251">
        <f t="shared" si="1"/>
        <v>0</v>
      </c>
      <c r="I21" s="251">
        <f t="shared" si="1"/>
        <v>0</v>
      </c>
      <c r="J21" s="251">
        <f t="shared" si="1"/>
        <v>0</v>
      </c>
      <c r="K21" s="272"/>
      <c r="L21" s="266"/>
    </row>
    <row r="22" spans="2:12" ht="12.75">
      <c r="B22" s="264"/>
      <c r="C22" s="272"/>
      <c r="D22" s="272" t="s">
        <v>95</v>
      </c>
      <c r="E22" s="272"/>
      <c r="F22" s="239">
        <v>0</v>
      </c>
      <c r="G22" s="251">
        <f t="shared" si="1"/>
        <v>0</v>
      </c>
      <c r="H22" s="251">
        <f t="shared" si="1"/>
        <v>0</v>
      </c>
      <c r="I22" s="251">
        <f t="shared" si="1"/>
        <v>0</v>
      </c>
      <c r="J22" s="251">
        <f t="shared" si="1"/>
        <v>0</v>
      </c>
      <c r="K22" s="272"/>
      <c r="L22" s="266"/>
    </row>
    <row r="23" spans="2:12" ht="12.75">
      <c r="B23" s="264"/>
      <c r="C23" s="272"/>
      <c r="D23" s="342" t="s">
        <v>49</v>
      </c>
      <c r="E23" s="272"/>
      <c r="F23" s="335"/>
      <c r="G23" s="335"/>
      <c r="H23" s="335"/>
      <c r="I23" s="335"/>
      <c r="J23" s="335"/>
      <c r="K23" s="272"/>
      <c r="L23" s="266"/>
    </row>
    <row r="24" spans="2:12" ht="12.75">
      <c r="B24" s="264"/>
      <c r="C24" s="272"/>
      <c r="D24" s="272" t="s">
        <v>45</v>
      </c>
      <c r="E24" s="272"/>
      <c r="F24" s="327">
        <f>ROUND(IF(F$19=0,0,F15*F$19/SUM(F$19:F$22)),0)</f>
        <v>166</v>
      </c>
      <c r="G24" s="327">
        <f>ROUND(IF(G$19=0,0,G15*G$19/SUM(G$19:G$22)),0)</f>
        <v>165</v>
      </c>
      <c r="H24" s="327">
        <f>ROUND(IF(H$19=0,0,H15*H$19/SUM(H$19:H$22)),0)</f>
        <v>165</v>
      </c>
      <c r="I24" s="327">
        <f>ROUND(IF(I$19=0,0,I15*I$19/SUM(I$19:I$22)),0)</f>
        <v>165</v>
      </c>
      <c r="J24" s="327">
        <f>ROUND(IF(J$19=0,0,J15*J$19/SUM(J$19:J$22)),0)</f>
        <v>165</v>
      </c>
      <c r="K24" s="272"/>
      <c r="L24" s="266"/>
    </row>
    <row r="25" spans="2:12" ht="12.75">
      <c r="B25" s="264"/>
      <c r="C25" s="272"/>
      <c r="D25" s="272" t="s">
        <v>46</v>
      </c>
      <c r="E25" s="272"/>
      <c r="F25" s="327">
        <f>ROUND(IF(F19=0,0,IF(F16&gt;4,(F16-4)*F19/SUM(F19:F22),0)),0)</f>
        <v>10</v>
      </c>
      <c r="G25" s="327">
        <f>ROUND(IF(G19=0,0,IF(G16&gt;4,(G16-4)*G19/SUM(G19:G22),0)),0)</f>
        <v>10</v>
      </c>
      <c r="H25" s="327">
        <f>ROUND(IF(H19=0,0,IF(H16&gt;4,(H16-4)*H19/SUM(H19:H22),0)),0)</f>
        <v>10</v>
      </c>
      <c r="I25" s="327">
        <f>ROUND(IF(I19=0,0,IF(I16&gt;4,(I16-4)*I19/SUM(I19:I22),0)),0)</f>
        <v>10</v>
      </c>
      <c r="J25" s="327">
        <f>ROUND(IF(J19=0,0,IF(J16&gt;4,(J16-4)*J19/SUM(J19:J22),0)),0)</f>
        <v>10</v>
      </c>
      <c r="K25" s="272"/>
      <c r="L25" s="266"/>
    </row>
    <row r="26" spans="2:12" ht="12.75">
      <c r="B26" s="264"/>
      <c r="C26" s="272"/>
      <c r="D26" s="272" t="s">
        <v>47</v>
      </c>
      <c r="E26" s="272"/>
      <c r="F26" s="327">
        <f>ROUND(IF(F$19=0,0,F17*F$19/SUM(F$19:F$22)),0)</f>
        <v>176</v>
      </c>
      <c r="G26" s="327">
        <f>ROUND(IF(G$19=0,0,G17*G$19/SUM(G$19:G$22)),0)</f>
        <v>176</v>
      </c>
      <c r="H26" s="327">
        <f>ROUND(IF(H$19=0,0,H17*H$19/SUM(H$19:H$22)),0)</f>
        <v>176</v>
      </c>
      <c r="I26" s="327">
        <f>ROUND(IF(I$19=0,0,I17*I$19/SUM(I$19:I$22)),0)</f>
        <v>176</v>
      </c>
      <c r="J26" s="327">
        <f>ROUND(IF(J$19=0,0,J17*J$19/SUM(J$19:J$22)),0)</f>
        <v>176</v>
      </c>
      <c r="K26" s="272"/>
      <c r="L26" s="266"/>
    </row>
    <row r="27" spans="2:12" ht="12.75">
      <c r="B27" s="264"/>
      <c r="C27" s="272"/>
      <c r="D27" s="272"/>
      <c r="E27" s="272"/>
      <c r="F27" s="335"/>
      <c r="G27" s="335"/>
      <c r="H27" s="335"/>
      <c r="I27" s="335"/>
      <c r="J27" s="335"/>
      <c r="K27" s="272"/>
      <c r="L27" s="266"/>
    </row>
    <row r="28" spans="2:12" ht="12.75">
      <c r="B28" s="264"/>
      <c r="C28" s="265"/>
      <c r="D28" s="265"/>
      <c r="E28" s="265"/>
      <c r="F28" s="321"/>
      <c r="G28" s="321"/>
      <c r="H28" s="321"/>
      <c r="I28" s="321"/>
      <c r="J28" s="321"/>
      <c r="K28" s="265"/>
      <c r="L28" s="266"/>
    </row>
    <row r="29" spans="2:12" ht="12.75">
      <c r="B29" s="264"/>
      <c r="C29" s="272"/>
      <c r="D29" s="272"/>
      <c r="E29" s="272"/>
      <c r="F29" s="335"/>
      <c r="G29" s="335"/>
      <c r="H29" s="335"/>
      <c r="I29" s="335"/>
      <c r="J29" s="335"/>
      <c r="K29" s="272"/>
      <c r="L29" s="266"/>
    </row>
    <row r="30" spans="2:12" ht="12.75">
      <c r="B30" s="264"/>
      <c r="C30" s="272"/>
      <c r="D30" s="267" t="s">
        <v>503</v>
      </c>
      <c r="E30" s="272"/>
      <c r="F30" s="335"/>
      <c r="G30" s="335"/>
      <c r="H30" s="335"/>
      <c r="I30" s="335"/>
      <c r="J30" s="335"/>
      <c r="K30" s="272"/>
      <c r="L30" s="266"/>
    </row>
    <row r="31" spans="2:12" ht="12.75">
      <c r="B31" s="264"/>
      <c r="C31" s="272"/>
      <c r="D31" s="272"/>
      <c r="E31" s="272"/>
      <c r="F31" s="335"/>
      <c r="G31" s="335"/>
      <c r="H31" s="335"/>
      <c r="I31" s="335"/>
      <c r="J31" s="335"/>
      <c r="K31" s="272"/>
      <c r="L31" s="266"/>
    </row>
    <row r="32" spans="2:12" ht="12.75">
      <c r="B32" s="264"/>
      <c r="C32" s="272"/>
      <c r="D32" s="272" t="s">
        <v>45</v>
      </c>
      <c r="E32" s="272"/>
      <c r="F32" s="239">
        <v>222</v>
      </c>
      <c r="G32" s="251">
        <f aca="true" t="shared" si="2" ref="G32:J34">F32</f>
        <v>222</v>
      </c>
      <c r="H32" s="251">
        <f t="shared" si="2"/>
        <v>222</v>
      </c>
      <c r="I32" s="251">
        <f t="shared" si="2"/>
        <v>222</v>
      </c>
      <c r="J32" s="251">
        <f t="shared" si="2"/>
        <v>222</v>
      </c>
      <c r="K32" s="272"/>
      <c r="L32" s="266"/>
    </row>
    <row r="33" spans="2:12" ht="12.75">
      <c r="B33" s="264"/>
      <c r="C33" s="272"/>
      <c r="D33" s="272" t="s">
        <v>46</v>
      </c>
      <c r="E33" s="272"/>
      <c r="F33" s="239">
        <v>0</v>
      </c>
      <c r="G33" s="251">
        <f t="shared" si="2"/>
        <v>0</v>
      </c>
      <c r="H33" s="251">
        <f t="shared" si="2"/>
        <v>0</v>
      </c>
      <c r="I33" s="251">
        <f t="shared" si="2"/>
        <v>0</v>
      </c>
      <c r="J33" s="251">
        <f t="shared" si="2"/>
        <v>0</v>
      </c>
      <c r="K33" s="272"/>
      <c r="L33" s="266"/>
    </row>
    <row r="34" spans="2:12" ht="12.75">
      <c r="B34" s="264"/>
      <c r="C34" s="272"/>
      <c r="D34" s="272" t="s">
        <v>47</v>
      </c>
      <c r="E34" s="272"/>
      <c r="F34" s="239">
        <v>232</v>
      </c>
      <c r="G34" s="251">
        <f t="shared" si="2"/>
        <v>232</v>
      </c>
      <c r="H34" s="251">
        <f t="shared" si="2"/>
        <v>232</v>
      </c>
      <c r="I34" s="251">
        <f t="shared" si="2"/>
        <v>232</v>
      </c>
      <c r="J34" s="251">
        <f t="shared" si="2"/>
        <v>232</v>
      </c>
      <c r="K34" s="272"/>
      <c r="L34" s="266"/>
    </row>
    <row r="35" spans="2:12" ht="12.75">
      <c r="B35" s="264"/>
      <c r="C35" s="272"/>
      <c r="D35" s="342" t="s">
        <v>48</v>
      </c>
      <c r="E35" s="272"/>
      <c r="F35" s="335"/>
      <c r="G35" s="335"/>
      <c r="H35" s="335"/>
      <c r="I35" s="335"/>
      <c r="J35" s="335"/>
      <c r="K35" s="272"/>
      <c r="L35" s="266"/>
    </row>
    <row r="36" spans="2:12" ht="12.75">
      <c r="B36" s="264"/>
      <c r="C36" s="272"/>
      <c r="D36" s="272" t="s">
        <v>92</v>
      </c>
      <c r="E36" s="272"/>
      <c r="F36" s="249">
        <f>+lln!G$26</f>
        <v>6000</v>
      </c>
      <c r="G36" s="249">
        <f>+lln!H$26</f>
        <v>5990</v>
      </c>
      <c r="H36" s="249">
        <f>+lln!I$26</f>
        <v>5990</v>
      </c>
      <c r="I36" s="249">
        <f>+lln!J$26</f>
        <v>5990</v>
      </c>
      <c r="J36" s="249">
        <f>+lln!K$26</f>
        <v>5990</v>
      </c>
      <c r="K36" s="272"/>
      <c r="L36" s="266"/>
    </row>
    <row r="37" spans="2:12" ht="12.75">
      <c r="B37" s="264"/>
      <c r="C37" s="272"/>
      <c r="D37" s="272" t="s">
        <v>93</v>
      </c>
      <c r="E37" s="272"/>
      <c r="F37" s="239">
        <v>0</v>
      </c>
      <c r="G37" s="251">
        <f aca="true" t="shared" si="3" ref="G37:J39">F37</f>
        <v>0</v>
      </c>
      <c r="H37" s="251">
        <f t="shared" si="3"/>
        <v>0</v>
      </c>
      <c r="I37" s="251">
        <f t="shared" si="3"/>
        <v>0</v>
      </c>
      <c r="J37" s="251">
        <f t="shared" si="3"/>
        <v>0</v>
      </c>
      <c r="K37" s="272"/>
      <c r="L37" s="266"/>
    </row>
    <row r="38" spans="2:12" ht="12.75">
      <c r="B38" s="264"/>
      <c r="C38" s="272"/>
      <c r="D38" s="272" t="s">
        <v>94</v>
      </c>
      <c r="E38" s="272"/>
      <c r="F38" s="239">
        <v>0</v>
      </c>
      <c r="G38" s="251">
        <f t="shared" si="3"/>
        <v>0</v>
      </c>
      <c r="H38" s="251">
        <f t="shared" si="3"/>
        <v>0</v>
      </c>
      <c r="I38" s="251">
        <f t="shared" si="3"/>
        <v>0</v>
      </c>
      <c r="J38" s="251">
        <f t="shared" si="3"/>
        <v>0</v>
      </c>
      <c r="K38" s="272"/>
      <c r="L38" s="266"/>
    </row>
    <row r="39" spans="2:12" ht="12.75">
      <c r="B39" s="264"/>
      <c r="C39" s="272"/>
      <c r="D39" s="272" t="s">
        <v>95</v>
      </c>
      <c r="E39" s="272"/>
      <c r="F39" s="239">
        <v>0</v>
      </c>
      <c r="G39" s="251">
        <f t="shared" si="3"/>
        <v>0</v>
      </c>
      <c r="H39" s="251">
        <f t="shared" si="3"/>
        <v>0</v>
      </c>
      <c r="I39" s="251">
        <f t="shared" si="3"/>
        <v>0</v>
      </c>
      <c r="J39" s="251">
        <f t="shared" si="3"/>
        <v>0</v>
      </c>
      <c r="K39" s="272"/>
      <c r="L39" s="266"/>
    </row>
    <row r="40" spans="2:12" ht="12.75">
      <c r="B40" s="264"/>
      <c r="C40" s="272"/>
      <c r="D40" s="342" t="s">
        <v>49</v>
      </c>
      <c r="E40" s="272"/>
      <c r="F40" s="335"/>
      <c r="G40" s="335"/>
      <c r="H40" s="335"/>
      <c r="I40" s="335"/>
      <c r="J40" s="335"/>
      <c r="K40" s="272"/>
      <c r="L40" s="266"/>
    </row>
    <row r="41" spans="2:12" ht="12.75">
      <c r="B41" s="264"/>
      <c r="C41" s="272"/>
      <c r="D41" s="272" t="s">
        <v>45</v>
      </c>
      <c r="E41" s="272"/>
      <c r="F41" s="327">
        <f>ROUND(IF(F$36=0,0,F32*F$36/SUM(F$36:F$39)),0)</f>
        <v>222</v>
      </c>
      <c r="G41" s="327">
        <f>ROUND(IF(G$36=0,0,G32*G$36/SUM(G$36:G$39)),0)</f>
        <v>222</v>
      </c>
      <c r="H41" s="327">
        <f>ROUND(IF(H$36=0,0,H32*H$36/SUM(H$36:H$39)),0)</f>
        <v>222</v>
      </c>
      <c r="I41" s="327">
        <f>ROUND(IF(I$36=0,0,I32*I$36/SUM(I$36:I$39)),0)</f>
        <v>222</v>
      </c>
      <c r="J41" s="327">
        <f>ROUND(IF(J$36=0,0,J32*J$36/SUM(J$36:J$39)),0)</f>
        <v>222</v>
      </c>
      <c r="K41" s="272"/>
      <c r="L41" s="266"/>
    </row>
    <row r="42" spans="2:12" ht="12.75">
      <c r="B42" s="264"/>
      <c r="C42" s="272"/>
      <c r="D42" s="272" t="s">
        <v>46</v>
      </c>
      <c r="E42" s="272"/>
      <c r="F42" s="327">
        <f>ROUND(IF(F36=0,0,IF(F33&gt;4,(F33-4)*F36/SUM(F36:F39),0)),0)</f>
        <v>0</v>
      </c>
      <c r="G42" s="327">
        <f>ROUND(IF(G36=0,0,IF(G33&gt;4,(G33-4)*G36/SUM(G36:G39),0)),0)</f>
        <v>0</v>
      </c>
      <c r="H42" s="327">
        <f>ROUND(IF(H36=0,0,IF(H33&gt;4,(H33-4)*H36/SUM(H36:H39),0)),0)</f>
        <v>0</v>
      </c>
      <c r="I42" s="327">
        <f>ROUND(IF(I36=0,0,IF(I33&gt;4,(I33-4)*I36/SUM(I36:I39),0)),0)</f>
        <v>0</v>
      </c>
      <c r="J42" s="327">
        <f>ROUND(IF(J36=0,0,IF(J33&gt;4,(J33-4)*J36/SUM(J36:J39),0)),0)</f>
        <v>0</v>
      </c>
      <c r="K42" s="272"/>
      <c r="L42" s="266"/>
    </row>
    <row r="43" spans="2:12" ht="12.75">
      <c r="B43" s="264"/>
      <c r="C43" s="272"/>
      <c r="D43" s="272" t="s">
        <v>47</v>
      </c>
      <c r="E43" s="272"/>
      <c r="F43" s="327">
        <f>ROUND(IF(F$36=0,0,F34*F$36/SUM(F$36:F$39)),0)</f>
        <v>232</v>
      </c>
      <c r="G43" s="327">
        <f>ROUND(IF(G$36=0,0,G34*G$36/SUM(G$36:G$39)),0)</f>
        <v>232</v>
      </c>
      <c r="H43" s="327">
        <f>ROUND(IF(H$36=0,0,H34*H$36/SUM(H$36:H$39)),0)</f>
        <v>232</v>
      </c>
      <c r="I43" s="327">
        <f>ROUND(IF(I$36=0,0,I34*I$36/SUM(I$36:I$39)),0)</f>
        <v>232</v>
      </c>
      <c r="J43" s="327">
        <f>ROUND(IF(J$36=0,0,J34*J$36/SUM(J$36:J$39)),0)</f>
        <v>232</v>
      </c>
      <c r="K43" s="272"/>
      <c r="L43" s="266"/>
    </row>
    <row r="44" spans="2:12" ht="12.75">
      <c r="B44" s="264"/>
      <c r="C44" s="272"/>
      <c r="D44" s="272"/>
      <c r="E44" s="272"/>
      <c r="F44" s="335"/>
      <c r="G44" s="335"/>
      <c r="H44" s="335"/>
      <c r="I44" s="335"/>
      <c r="J44" s="335"/>
      <c r="K44" s="272"/>
      <c r="L44" s="266"/>
    </row>
    <row r="45" spans="2:12" ht="12.75">
      <c r="B45" s="264"/>
      <c r="C45" s="265"/>
      <c r="D45" s="265"/>
      <c r="E45" s="265"/>
      <c r="F45" s="321"/>
      <c r="G45" s="321"/>
      <c r="H45" s="321"/>
      <c r="I45" s="321"/>
      <c r="J45" s="321"/>
      <c r="K45" s="265"/>
      <c r="L45" s="266"/>
    </row>
    <row r="46" spans="2:12" ht="12.75">
      <c r="B46" s="264"/>
      <c r="C46" s="272"/>
      <c r="D46" s="272"/>
      <c r="E46" s="272"/>
      <c r="F46" s="335"/>
      <c r="G46" s="335"/>
      <c r="H46" s="335"/>
      <c r="I46" s="335"/>
      <c r="J46" s="335"/>
      <c r="K46" s="272"/>
      <c r="L46" s="266"/>
    </row>
    <row r="47" spans="2:12" ht="12.75">
      <c r="B47" s="264"/>
      <c r="C47" s="272"/>
      <c r="D47" s="267" t="s">
        <v>504</v>
      </c>
      <c r="E47" s="272"/>
      <c r="F47" s="335"/>
      <c r="G47" s="335"/>
      <c r="H47" s="335"/>
      <c r="I47" s="335"/>
      <c r="J47" s="335"/>
      <c r="K47" s="272"/>
      <c r="L47" s="266"/>
    </row>
    <row r="48" spans="2:12" ht="12.75">
      <c r="B48" s="264"/>
      <c r="C48" s="272"/>
      <c r="D48" s="272"/>
      <c r="E48" s="272"/>
      <c r="F48" s="335"/>
      <c r="G48" s="335"/>
      <c r="H48" s="335"/>
      <c r="I48" s="335"/>
      <c r="J48" s="335"/>
      <c r="K48" s="272"/>
      <c r="L48" s="266"/>
    </row>
    <row r="49" spans="2:12" ht="12.75">
      <c r="B49" s="264"/>
      <c r="C49" s="272"/>
      <c r="D49" s="272" t="s">
        <v>45</v>
      </c>
      <c r="E49" s="272"/>
      <c r="F49" s="239">
        <v>11</v>
      </c>
      <c r="G49" s="251">
        <f aca="true" t="shared" si="4" ref="G49:J51">F49</f>
        <v>11</v>
      </c>
      <c r="H49" s="251">
        <f t="shared" si="4"/>
        <v>11</v>
      </c>
      <c r="I49" s="251">
        <f t="shared" si="4"/>
        <v>11</v>
      </c>
      <c r="J49" s="251">
        <f t="shared" si="4"/>
        <v>11</v>
      </c>
      <c r="K49" s="272"/>
      <c r="L49" s="266"/>
    </row>
    <row r="50" spans="2:12" ht="12.75">
      <c r="B50" s="264"/>
      <c r="C50" s="272"/>
      <c r="D50" s="272" t="s">
        <v>46</v>
      </c>
      <c r="E50" s="272"/>
      <c r="F50" s="239">
        <v>0</v>
      </c>
      <c r="G50" s="251">
        <f t="shared" si="4"/>
        <v>0</v>
      </c>
      <c r="H50" s="251">
        <f t="shared" si="4"/>
        <v>0</v>
      </c>
      <c r="I50" s="251">
        <f t="shared" si="4"/>
        <v>0</v>
      </c>
      <c r="J50" s="251">
        <f t="shared" si="4"/>
        <v>0</v>
      </c>
      <c r="K50" s="272"/>
      <c r="L50" s="266"/>
    </row>
    <row r="51" spans="2:12" ht="12.75">
      <c r="B51" s="264"/>
      <c r="C51" s="272"/>
      <c r="D51" s="272" t="s">
        <v>47</v>
      </c>
      <c r="E51" s="272"/>
      <c r="F51" s="239">
        <v>22</v>
      </c>
      <c r="G51" s="251">
        <f t="shared" si="4"/>
        <v>22</v>
      </c>
      <c r="H51" s="251">
        <f t="shared" si="4"/>
        <v>22</v>
      </c>
      <c r="I51" s="251">
        <f t="shared" si="4"/>
        <v>22</v>
      </c>
      <c r="J51" s="251">
        <f t="shared" si="4"/>
        <v>22</v>
      </c>
      <c r="K51" s="272"/>
      <c r="L51" s="266"/>
    </row>
    <row r="52" spans="2:12" ht="12.75">
      <c r="B52" s="264"/>
      <c r="C52" s="272"/>
      <c r="D52" s="342" t="s">
        <v>48</v>
      </c>
      <c r="E52" s="272"/>
      <c r="F52" s="335"/>
      <c r="G52" s="335"/>
      <c r="H52" s="335"/>
      <c r="I52" s="335"/>
      <c r="J52" s="335"/>
      <c r="K52" s="272"/>
      <c r="L52" s="266"/>
    </row>
    <row r="53" spans="2:12" ht="12.75">
      <c r="B53" s="264"/>
      <c r="C53" s="272"/>
      <c r="D53" s="272" t="s">
        <v>92</v>
      </c>
      <c r="E53" s="272"/>
      <c r="F53" s="249">
        <f>+lln!G$26</f>
        <v>6000</v>
      </c>
      <c r="G53" s="249">
        <f>+lln!H$26</f>
        <v>5990</v>
      </c>
      <c r="H53" s="249">
        <f>+lln!I$26</f>
        <v>5990</v>
      </c>
      <c r="I53" s="249">
        <f>+lln!J$26</f>
        <v>5990</v>
      </c>
      <c r="J53" s="249">
        <f>+lln!K$26</f>
        <v>5990</v>
      </c>
      <c r="K53" s="272"/>
      <c r="L53" s="266"/>
    </row>
    <row r="54" spans="2:12" ht="12.75">
      <c r="B54" s="264"/>
      <c r="C54" s="272"/>
      <c r="D54" s="272" t="s">
        <v>93</v>
      </c>
      <c r="E54" s="272"/>
      <c r="F54" s="239">
        <v>0</v>
      </c>
      <c r="G54" s="251">
        <f aca="true" t="shared" si="5" ref="G54:J56">F54</f>
        <v>0</v>
      </c>
      <c r="H54" s="251">
        <f t="shared" si="5"/>
        <v>0</v>
      </c>
      <c r="I54" s="251">
        <f t="shared" si="5"/>
        <v>0</v>
      </c>
      <c r="J54" s="251">
        <f t="shared" si="5"/>
        <v>0</v>
      </c>
      <c r="K54" s="272"/>
      <c r="L54" s="266"/>
    </row>
    <row r="55" spans="2:12" ht="12.75">
      <c r="B55" s="264"/>
      <c r="C55" s="272"/>
      <c r="D55" s="272" t="s">
        <v>94</v>
      </c>
      <c r="E55" s="272"/>
      <c r="F55" s="239">
        <v>0</v>
      </c>
      <c r="G55" s="251">
        <f t="shared" si="5"/>
        <v>0</v>
      </c>
      <c r="H55" s="251">
        <f t="shared" si="5"/>
        <v>0</v>
      </c>
      <c r="I55" s="251">
        <f t="shared" si="5"/>
        <v>0</v>
      </c>
      <c r="J55" s="251">
        <f t="shared" si="5"/>
        <v>0</v>
      </c>
      <c r="K55" s="272"/>
      <c r="L55" s="266"/>
    </row>
    <row r="56" spans="2:12" ht="12.75">
      <c r="B56" s="264"/>
      <c r="C56" s="272"/>
      <c r="D56" s="272" t="s">
        <v>95</v>
      </c>
      <c r="E56" s="272"/>
      <c r="F56" s="239">
        <v>0</v>
      </c>
      <c r="G56" s="251">
        <f t="shared" si="5"/>
        <v>0</v>
      </c>
      <c r="H56" s="251">
        <f t="shared" si="5"/>
        <v>0</v>
      </c>
      <c r="I56" s="251">
        <f t="shared" si="5"/>
        <v>0</v>
      </c>
      <c r="J56" s="251">
        <f t="shared" si="5"/>
        <v>0</v>
      </c>
      <c r="K56" s="272"/>
      <c r="L56" s="266"/>
    </row>
    <row r="57" spans="2:12" ht="12.75">
      <c r="B57" s="264"/>
      <c r="C57" s="272"/>
      <c r="D57" s="342" t="s">
        <v>49</v>
      </c>
      <c r="E57" s="272"/>
      <c r="F57" s="335"/>
      <c r="G57" s="335"/>
      <c r="H57" s="335"/>
      <c r="I57" s="335"/>
      <c r="J57" s="335"/>
      <c r="K57" s="272"/>
      <c r="L57" s="266"/>
    </row>
    <row r="58" spans="2:12" ht="12.75">
      <c r="B58" s="264"/>
      <c r="C58" s="272"/>
      <c r="D58" s="272" t="s">
        <v>45</v>
      </c>
      <c r="E58" s="272"/>
      <c r="F58" s="327">
        <f>ROUND(IF(F$53=0,0,F49*F$53/SUM(F$53:F$56)),0)</f>
        <v>11</v>
      </c>
      <c r="G58" s="327">
        <f>ROUND(IF(G$53=0,0,G49*G$53/SUM(G$53:G$56)),0)</f>
        <v>11</v>
      </c>
      <c r="H58" s="327">
        <f>ROUND(IF(H$53=0,0,H49*H$53/SUM(H$53:H$56)),0)</f>
        <v>11</v>
      </c>
      <c r="I58" s="327">
        <f>ROUND(IF(I$53=0,0,I49*I$53/SUM(I$53:I$56)),0)</f>
        <v>11</v>
      </c>
      <c r="J58" s="327">
        <f>ROUND(IF(J$53=0,0,J49*J$53/SUM(J$53:J$56)),0)</f>
        <v>11</v>
      </c>
      <c r="K58" s="272"/>
      <c r="L58" s="266"/>
    </row>
    <row r="59" spans="2:12" ht="12.75">
      <c r="B59" s="264"/>
      <c r="C59" s="272"/>
      <c r="D59" s="272" t="s">
        <v>46</v>
      </c>
      <c r="E59" s="272"/>
      <c r="F59" s="327">
        <f>ROUND(IF(F53=0,0,IF(F50&gt;4,(F50-4)*F53/SUM(F53:F56),0)),0)</f>
        <v>0</v>
      </c>
      <c r="G59" s="327">
        <f>ROUND(IF(G53=0,0,IF(G50&gt;4,(G50-4)*G53/SUM(G53:G56),0)),0)</f>
        <v>0</v>
      </c>
      <c r="H59" s="327">
        <f>ROUND(IF(H53=0,0,IF(H50&gt;4,(H50-4)*H53/SUM(H53:H56),0)),0)</f>
        <v>0</v>
      </c>
      <c r="I59" s="327">
        <f>ROUND(IF(I53=0,0,IF(I50&gt;4,(I50-4)*I53/SUM(I53:I56),0)),0)</f>
        <v>0</v>
      </c>
      <c r="J59" s="327">
        <f>ROUND(IF(J53=0,0,IF(J50&gt;4,(J50-4)*J53/SUM(J53:J56),0)),0)</f>
        <v>0</v>
      </c>
      <c r="K59" s="272"/>
      <c r="L59" s="266"/>
    </row>
    <row r="60" spans="2:12" ht="12.75">
      <c r="B60" s="264"/>
      <c r="C60" s="272"/>
      <c r="D60" s="272" t="s">
        <v>47</v>
      </c>
      <c r="E60" s="272"/>
      <c r="F60" s="327">
        <f>ROUND(IF(F$53=0,0,F51*F$53/SUM(F$53:F$56)),0)</f>
        <v>22</v>
      </c>
      <c r="G60" s="327">
        <f>ROUND(IF(G$53=0,0,G51*G$53/SUM(G$53:G$56)),0)</f>
        <v>22</v>
      </c>
      <c r="H60" s="327">
        <f>ROUND(IF(H$53=0,0,H51*H$53/SUM(H$53:H$56)),0)</f>
        <v>22</v>
      </c>
      <c r="I60" s="327">
        <f>ROUND(IF(I$53=0,0,I51*I$53/SUM(I$53:I$56)),0)</f>
        <v>22</v>
      </c>
      <c r="J60" s="327">
        <f>ROUND(IF(J$53=0,0,J51*J$53/SUM(J$53:J$56)),0)</f>
        <v>22</v>
      </c>
      <c r="K60" s="272"/>
      <c r="L60" s="266"/>
    </row>
    <row r="61" spans="2:12" ht="12.75">
      <c r="B61" s="264"/>
      <c r="C61" s="272"/>
      <c r="D61" s="272"/>
      <c r="E61" s="272"/>
      <c r="F61" s="335"/>
      <c r="G61" s="335"/>
      <c r="H61" s="335"/>
      <c r="I61" s="335"/>
      <c r="J61" s="335"/>
      <c r="K61" s="272"/>
      <c r="L61" s="266"/>
    </row>
    <row r="62" spans="2:12" ht="12.75">
      <c r="B62" s="264"/>
      <c r="C62" s="265"/>
      <c r="D62" s="265"/>
      <c r="E62" s="265"/>
      <c r="F62" s="321"/>
      <c r="G62" s="321"/>
      <c r="H62" s="321"/>
      <c r="I62" s="321"/>
      <c r="J62" s="321"/>
      <c r="K62" s="265"/>
      <c r="L62" s="266"/>
    </row>
    <row r="63" spans="2:12" ht="12.75">
      <c r="B63" s="264"/>
      <c r="C63" s="272"/>
      <c r="D63" s="272"/>
      <c r="E63" s="272"/>
      <c r="F63" s="335"/>
      <c r="G63" s="335"/>
      <c r="H63" s="335"/>
      <c r="I63" s="335"/>
      <c r="J63" s="335"/>
      <c r="K63" s="272"/>
      <c r="L63" s="266"/>
    </row>
    <row r="64" spans="2:12" ht="12.75">
      <c r="B64" s="264"/>
      <c r="C64" s="272"/>
      <c r="D64" s="267" t="s">
        <v>505</v>
      </c>
      <c r="E64" s="272"/>
      <c r="F64" s="335"/>
      <c r="G64" s="335"/>
      <c r="H64" s="335"/>
      <c r="I64" s="335"/>
      <c r="J64" s="335"/>
      <c r="K64" s="272"/>
      <c r="L64" s="266"/>
    </row>
    <row r="65" spans="2:12" ht="12.75">
      <c r="B65" s="264"/>
      <c r="C65" s="272"/>
      <c r="D65" s="272"/>
      <c r="E65" s="272"/>
      <c r="F65" s="335"/>
      <c r="G65" s="335"/>
      <c r="H65" s="335"/>
      <c r="I65" s="335"/>
      <c r="J65" s="335"/>
      <c r="K65" s="272"/>
      <c r="L65" s="266"/>
    </row>
    <row r="66" spans="2:12" ht="12.75">
      <c r="B66" s="264"/>
      <c r="C66" s="272"/>
      <c r="D66" s="272" t="s">
        <v>45</v>
      </c>
      <c r="E66" s="272"/>
      <c r="F66" s="239">
        <v>22</v>
      </c>
      <c r="G66" s="251">
        <f aca="true" t="shared" si="6" ref="G66:J68">F66</f>
        <v>22</v>
      </c>
      <c r="H66" s="251">
        <f t="shared" si="6"/>
        <v>22</v>
      </c>
      <c r="I66" s="251">
        <f t="shared" si="6"/>
        <v>22</v>
      </c>
      <c r="J66" s="251">
        <f t="shared" si="6"/>
        <v>22</v>
      </c>
      <c r="K66" s="272"/>
      <c r="L66" s="266"/>
    </row>
    <row r="67" spans="2:12" ht="12.75">
      <c r="B67" s="264"/>
      <c r="C67" s="272"/>
      <c r="D67" s="272" t="s">
        <v>46</v>
      </c>
      <c r="E67" s="272"/>
      <c r="F67" s="239">
        <v>0</v>
      </c>
      <c r="G67" s="251">
        <f t="shared" si="6"/>
        <v>0</v>
      </c>
      <c r="H67" s="251">
        <f t="shared" si="6"/>
        <v>0</v>
      </c>
      <c r="I67" s="251">
        <f t="shared" si="6"/>
        <v>0</v>
      </c>
      <c r="J67" s="251">
        <f t="shared" si="6"/>
        <v>0</v>
      </c>
      <c r="K67" s="272"/>
      <c r="L67" s="266"/>
    </row>
    <row r="68" spans="2:12" ht="12.75">
      <c r="B68" s="264"/>
      <c r="C68" s="272"/>
      <c r="D68" s="272" t="s">
        <v>47</v>
      </c>
      <c r="E68" s="272"/>
      <c r="F68" s="239">
        <v>32</v>
      </c>
      <c r="G68" s="251">
        <f t="shared" si="6"/>
        <v>32</v>
      </c>
      <c r="H68" s="251">
        <f t="shared" si="6"/>
        <v>32</v>
      </c>
      <c r="I68" s="251">
        <f t="shared" si="6"/>
        <v>32</v>
      </c>
      <c r="J68" s="251">
        <f t="shared" si="6"/>
        <v>32</v>
      </c>
      <c r="K68" s="272"/>
      <c r="L68" s="266"/>
    </row>
    <row r="69" spans="2:12" ht="12.75">
      <c r="B69" s="264"/>
      <c r="C69" s="272"/>
      <c r="D69" s="342" t="s">
        <v>48</v>
      </c>
      <c r="E69" s="272"/>
      <c r="F69" s="335"/>
      <c r="G69" s="335"/>
      <c r="H69" s="335"/>
      <c r="I69" s="335"/>
      <c r="J69" s="335"/>
      <c r="K69" s="272"/>
      <c r="L69" s="266"/>
    </row>
    <row r="70" spans="2:12" ht="12.75">
      <c r="B70" s="264"/>
      <c r="C70" s="272"/>
      <c r="D70" s="272" t="s">
        <v>92</v>
      </c>
      <c r="E70" s="272"/>
      <c r="F70" s="249">
        <f>+lln!G$26</f>
        <v>6000</v>
      </c>
      <c r="G70" s="249">
        <f>+lln!H$26</f>
        <v>5990</v>
      </c>
      <c r="H70" s="249">
        <f>+lln!I$26</f>
        <v>5990</v>
      </c>
      <c r="I70" s="249">
        <f>+lln!J$26</f>
        <v>5990</v>
      </c>
      <c r="J70" s="249">
        <f>+lln!K$26</f>
        <v>5990</v>
      </c>
      <c r="K70" s="272"/>
      <c r="L70" s="266"/>
    </row>
    <row r="71" spans="2:12" ht="12.75">
      <c r="B71" s="264"/>
      <c r="C71" s="272"/>
      <c r="D71" s="272" t="s">
        <v>93</v>
      </c>
      <c r="E71" s="272"/>
      <c r="F71" s="239">
        <v>0</v>
      </c>
      <c r="G71" s="251">
        <f aca="true" t="shared" si="7" ref="G71:J73">F71</f>
        <v>0</v>
      </c>
      <c r="H71" s="251">
        <f t="shared" si="7"/>
        <v>0</v>
      </c>
      <c r="I71" s="251">
        <f t="shared" si="7"/>
        <v>0</v>
      </c>
      <c r="J71" s="251">
        <f t="shared" si="7"/>
        <v>0</v>
      </c>
      <c r="K71" s="272"/>
      <c r="L71" s="266"/>
    </row>
    <row r="72" spans="2:12" ht="12.75">
      <c r="B72" s="264"/>
      <c r="C72" s="272"/>
      <c r="D72" s="272" t="s">
        <v>94</v>
      </c>
      <c r="E72" s="272"/>
      <c r="F72" s="239">
        <v>0</v>
      </c>
      <c r="G72" s="251">
        <f t="shared" si="7"/>
        <v>0</v>
      </c>
      <c r="H72" s="251">
        <f t="shared" si="7"/>
        <v>0</v>
      </c>
      <c r="I72" s="251">
        <f t="shared" si="7"/>
        <v>0</v>
      </c>
      <c r="J72" s="251">
        <f t="shared" si="7"/>
        <v>0</v>
      </c>
      <c r="K72" s="272"/>
      <c r="L72" s="266"/>
    </row>
    <row r="73" spans="2:12" ht="12.75">
      <c r="B73" s="264"/>
      <c r="C73" s="272"/>
      <c r="D73" s="272" t="s">
        <v>95</v>
      </c>
      <c r="E73" s="272"/>
      <c r="F73" s="239">
        <v>0</v>
      </c>
      <c r="G73" s="251">
        <f t="shared" si="7"/>
        <v>0</v>
      </c>
      <c r="H73" s="251">
        <f t="shared" si="7"/>
        <v>0</v>
      </c>
      <c r="I73" s="251">
        <f t="shared" si="7"/>
        <v>0</v>
      </c>
      <c r="J73" s="251">
        <f t="shared" si="7"/>
        <v>0</v>
      </c>
      <c r="K73" s="272"/>
      <c r="L73" s="266"/>
    </row>
    <row r="74" spans="2:12" ht="12.75">
      <c r="B74" s="264"/>
      <c r="C74" s="272"/>
      <c r="D74" s="342" t="s">
        <v>49</v>
      </c>
      <c r="E74" s="272"/>
      <c r="F74" s="335"/>
      <c r="G74" s="335"/>
      <c r="H74" s="335"/>
      <c r="I74" s="335"/>
      <c r="J74" s="335"/>
      <c r="K74" s="272"/>
      <c r="L74" s="266"/>
    </row>
    <row r="75" spans="2:12" ht="12.75">
      <c r="B75" s="264"/>
      <c r="C75" s="272"/>
      <c r="D75" s="272" t="s">
        <v>45</v>
      </c>
      <c r="E75" s="272"/>
      <c r="F75" s="327">
        <f>ROUND(IF(F$53=0,0,F66*F$53/SUM(F$53:F$56)),0)</f>
        <v>22</v>
      </c>
      <c r="G75" s="327">
        <f>ROUND(IF(G$53=0,0,G66*G$53/SUM(G$53:G$56)),0)</f>
        <v>22</v>
      </c>
      <c r="H75" s="327">
        <f>ROUND(IF(H$53=0,0,H66*H$53/SUM(H$53:H$56)),0)</f>
        <v>22</v>
      </c>
      <c r="I75" s="327">
        <f>ROUND(IF(I$53=0,0,I66*I$53/SUM(I$53:I$56)),0)</f>
        <v>22</v>
      </c>
      <c r="J75" s="327">
        <f>ROUND(IF(J$53=0,0,J66*J$53/SUM(J$53:J$56)),0)</f>
        <v>22</v>
      </c>
      <c r="K75" s="272"/>
      <c r="L75" s="266"/>
    </row>
    <row r="76" spans="2:12" ht="12.75">
      <c r="B76" s="264"/>
      <c r="C76" s="272"/>
      <c r="D76" s="272" t="s">
        <v>46</v>
      </c>
      <c r="E76" s="272"/>
      <c r="F76" s="327">
        <f>ROUND(IF(F70=0,0,IF(F67&gt;4,(F67-4)*F70/SUM(F70:F73),0)),0)</f>
        <v>0</v>
      </c>
      <c r="G76" s="327">
        <f>ROUND(IF(G70=0,0,IF(G67&gt;4,(G67-4)*G70/SUM(G70:G73),0)),0)</f>
        <v>0</v>
      </c>
      <c r="H76" s="327">
        <f>ROUND(IF(H70=0,0,IF(H67&gt;4,(H67-4)*H70/SUM(H70:H73),0)),0)</f>
        <v>0</v>
      </c>
      <c r="I76" s="327">
        <f>ROUND(IF(I70=0,0,IF(I67&gt;4,(I67-4)*I70/SUM(I70:I73),0)),0)</f>
        <v>0</v>
      </c>
      <c r="J76" s="327">
        <f>ROUND(IF(J70=0,0,IF(J67&gt;4,(J67-4)*J70/SUM(J70:J73),0)),0)</f>
        <v>0</v>
      </c>
      <c r="K76" s="272"/>
      <c r="L76" s="266"/>
    </row>
    <row r="77" spans="2:12" ht="12.75">
      <c r="B77" s="264"/>
      <c r="C77" s="272"/>
      <c r="D77" s="272" t="s">
        <v>47</v>
      </c>
      <c r="E77" s="272"/>
      <c r="F77" s="327">
        <f>ROUND(IF(F$70=0,0,F68*F$70/SUM(F$70:F$73)),0)</f>
        <v>32</v>
      </c>
      <c r="G77" s="327">
        <f>ROUND(IF(G$70=0,0,G68*G$70/SUM(G$70:G$73)),0)</f>
        <v>32</v>
      </c>
      <c r="H77" s="327">
        <f>ROUND(IF(H$70=0,0,H68*H$70/SUM(H$70:H$73)),0)</f>
        <v>32</v>
      </c>
      <c r="I77" s="327">
        <f>ROUND(IF(I$70=0,0,I68*I$70/SUM(I$70:I$73)),0)</f>
        <v>32</v>
      </c>
      <c r="J77" s="327">
        <f>ROUND(IF(J$70=0,0,J68*J$70/SUM(J$70:J$73)),0)</f>
        <v>32</v>
      </c>
      <c r="K77" s="272"/>
      <c r="L77" s="266"/>
    </row>
    <row r="78" spans="2:12" ht="12.75">
      <c r="B78" s="264"/>
      <c r="C78" s="272"/>
      <c r="D78" s="272"/>
      <c r="E78" s="272"/>
      <c r="F78" s="335"/>
      <c r="G78" s="335"/>
      <c r="H78" s="335"/>
      <c r="I78" s="335"/>
      <c r="J78" s="335"/>
      <c r="K78" s="272"/>
      <c r="L78" s="266"/>
    </row>
    <row r="79" spans="2:12" ht="12.75">
      <c r="B79" s="264"/>
      <c r="C79" s="265"/>
      <c r="D79" s="265"/>
      <c r="E79" s="265"/>
      <c r="F79" s="321"/>
      <c r="G79" s="321"/>
      <c r="H79" s="321"/>
      <c r="I79" s="321"/>
      <c r="J79" s="321"/>
      <c r="K79" s="265"/>
      <c r="L79" s="266"/>
    </row>
    <row r="80" spans="2:12" ht="12.75">
      <c r="B80" s="264"/>
      <c r="C80" s="265"/>
      <c r="D80" s="265"/>
      <c r="E80" s="265"/>
      <c r="F80" s="321"/>
      <c r="G80" s="321"/>
      <c r="H80" s="321"/>
      <c r="I80" s="321"/>
      <c r="J80" s="321"/>
      <c r="K80" s="265"/>
      <c r="L80" s="266"/>
    </row>
    <row r="81" spans="2:12" ht="12.75">
      <c r="B81" s="264"/>
      <c r="C81" s="272"/>
      <c r="D81" s="272"/>
      <c r="E81" s="272"/>
      <c r="F81" s="335"/>
      <c r="G81" s="335"/>
      <c r="H81" s="335"/>
      <c r="I81" s="335"/>
      <c r="J81" s="335"/>
      <c r="K81" s="272"/>
      <c r="L81" s="266"/>
    </row>
    <row r="82" spans="2:12" ht="12.75">
      <c r="B82" s="264"/>
      <c r="C82" s="272"/>
      <c r="D82" s="289" t="s">
        <v>85</v>
      </c>
      <c r="E82" s="272"/>
      <c r="F82" s="272"/>
      <c r="G82" s="272"/>
      <c r="H82" s="272"/>
      <c r="I82" s="272"/>
      <c r="J82" s="272"/>
      <c r="K82" s="272"/>
      <c r="L82" s="266"/>
    </row>
    <row r="83" spans="2:12" ht="12.75">
      <c r="B83" s="264"/>
      <c r="C83" s="272"/>
      <c r="D83" s="272" t="s">
        <v>49</v>
      </c>
      <c r="E83" s="272"/>
      <c r="F83" s="335"/>
      <c r="G83" s="335"/>
      <c r="H83" s="335"/>
      <c r="I83" s="335"/>
      <c r="J83" s="335"/>
      <c r="K83" s="272"/>
      <c r="L83" s="266"/>
    </row>
    <row r="84" spans="2:12" ht="12.75">
      <c r="B84" s="264"/>
      <c r="C84" s="272"/>
      <c r="D84" s="272" t="s">
        <v>45</v>
      </c>
      <c r="E84" s="272"/>
      <c r="F84" s="430">
        <f aca="true" t="shared" si="8" ref="F84:J86">+F24+F41+F58+F75</f>
        <v>421</v>
      </c>
      <c r="G84" s="430">
        <f t="shared" si="8"/>
        <v>420</v>
      </c>
      <c r="H84" s="430">
        <f t="shared" si="8"/>
        <v>420</v>
      </c>
      <c r="I84" s="430">
        <f t="shared" si="8"/>
        <v>420</v>
      </c>
      <c r="J84" s="430">
        <f t="shared" si="8"/>
        <v>420</v>
      </c>
      <c r="K84" s="272"/>
      <c r="L84" s="266"/>
    </row>
    <row r="85" spans="2:12" ht="12.75">
      <c r="B85" s="264"/>
      <c r="C85" s="272"/>
      <c r="D85" s="272" t="s">
        <v>46</v>
      </c>
      <c r="E85" s="272"/>
      <c r="F85" s="430">
        <f t="shared" si="8"/>
        <v>10</v>
      </c>
      <c r="G85" s="430">
        <f t="shared" si="8"/>
        <v>10</v>
      </c>
      <c r="H85" s="430">
        <f t="shared" si="8"/>
        <v>10</v>
      </c>
      <c r="I85" s="430">
        <f t="shared" si="8"/>
        <v>10</v>
      </c>
      <c r="J85" s="430">
        <f t="shared" si="8"/>
        <v>10</v>
      </c>
      <c r="K85" s="272"/>
      <c r="L85" s="266"/>
    </row>
    <row r="86" spans="2:12" ht="12.75">
      <c r="B86" s="264"/>
      <c r="C86" s="272"/>
      <c r="D86" s="272" t="s">
        <v>47</v>
      </c>
      <c r="E86" s="272"/>
      <c r="F86" s="430">
        <f t="shared" si="8"/>
        <v>462</v>
      </c>
      <c r="G86" s="430">
        <f t="shared" si="8"/>
        <v>462</v>
      </c>
      <c r="H86" s="430">
        <f t="shared" si="8"/>
        <v>462</v>
      </c>
      <c r="I86" s="430">
        <f t="shared" si="8"/>
        <v>462</v>
      </c>
      <c r="J86" s="430">
        <f t="shared" si="8"/>
        <v>462</v>
      </c>
      <c r="K86" s="272"/>
      <c r="L86" s="266"/>
    </row>
    <row r="87" spans="2:12" ht="12.75">
      <c r="B87" s="264"/>
      <c r="C87" s="272"/>
      <c r="D87" s="272"/>
      <c r="E87" s="272"/>
      <c r="F87" s="431"/>
      <c r="G87" s="431"/>
      <c r="H87" s="431"/>
      <c r="I87" s="431"/>
      <c r="J87" s="431"/>
      <c r="K87" s="272"/>
      <c r="L87" s="266"/>
    </row>
    <row r="88" spans="2:12" s="319" customFormat="1" ht="12.75">
      <c r="B88" s="357"/>
      <c r="C88" s="289"/>
      <c r="D88" s="289" t="s">
        <v>86</v>
      </c>
      <c r="E88" s="289"/>
      <c r="F88" s="432">
        <f>+lln!G38</f>
        <v>124</v>
      </c>
      <c r="G88" s="432">
        <f>+lln!H38</f>
        <v>124</v>
      </c>
      <c r="H88" s="432">
        <f>+lln!I38</f>
        <v>124</v>
      </c>
      <c r="I88" s="432">
        <f>+lln!J38</f>
        <v>124</v>
      </c>
      <c r="J88" s="432">
        <f>+lln!K38</f>
        <v>124</v>
      </c>
      <c r="K88" s="289"/>
      <c r="L88" s="358"/>
    </row>
    <row r="89" spans="2:12" ht="12.75">
      <c r="B89" s="264"/>
      <c r="C89" s="272"/>
      <c r="D89" s="272" t="s">
        <v>172</v>
      </c>
      <c r="E89" s="272"/>
      <c r="F89" s="591">
        <f>+F24/F84*F88</f>
        <v>48.89311163895486</v>
      </c>
      <c r="G89" s="591">
        <f>+G24/G84*G88</f>
        <v>48.714285714285715</v>
      </c>
      <c r="H89" s="591">
        <f>+H24/H84*H88</f>
        <v>48.714285714285715</v>
      </c>
      <c r="I89" s="591">
        <f>+I24/I84*I88</f>
        <v>48.714285714285715</v>
      </c>
      <c r="J89" s="591">
        <f>+J24/J84*J88</f>
        <v>48.714285714285715</v>
      </c>
      <c r="K89" s="272"/>
      <c r="L89" s="266"/>
    </row>
    <row r="90" spans="2:12" ht="12.75">
      <c r="B90" s="264"/>
      <c r="C90" s="272"/>
      <c r="D90" s="272" t="s">
        <v>173</v>
      </c>
      <c r="E90" s="272"/>
      <c r="F90" s="591">
        <f>+F41/F84*F88</f>
        <v>65.38717339667458</v>
      </c>
      <c r="G90" s="591">
        <f>+G41/G84*G88</f>
        <v>65.54285714285714</v>
      </c>
      <c r="H90" s="591">
        <f>+H41/H84*H88</f>
        <v>65.54285714285714</v>
      </c>
      <c r="I90" s="591">
        <f>+I41/I84*I88</f>
        <v>65.54285714285714</v>
      </c>
      <c r="J90" s="591">
        <f>+J41/J84*J88</f>
        <v>65.54285714285714</v>
      </c>
      <c r="K90" s="272"/>
      <c r="L90" s="266"/>
    </row>
    <row r="91" spans="2:12" ht="12.75">
      <c r="B91" s="264"/>
      <c r="C91" s="272"/>
      <c r="D91" s="272" t="s">
        <v>174</v>
      </c>
      <c r="E91" s="272"/>
      <c r="F91" s="591">
        <f>+F58/F84*F88</f>
        <v>3.2399049881235156</v>
      </c>
      <c r="G91" s="591">
        <f>+G58/G84*G88</f>
        <v>3.2476190476190476</v>
      </c>
      <c r="H91" s="591">
        <f>+H58/H84*H88</f>
        <v>3.2476190476190476</v>
      </c>
      <c r="I91" s="591">
        <f>+I58/I84*I88</f>
        <v>3.2476190476190476</v>
      </c>
      <c r="J91" s="591">
        <f>+J58/J84*J88</f>
        <v>3.2476190476190476</v>
      </c>
      <c r="K91" s="272"/>
      <c r="L91" s="266"/>
    </row>
    <row r="92" spans="2:12" ht="12.75">
      <c r="B92" s="264"/>
      <c r="C92" s="272"/>
      <c r="D92" s="272" t="s">
        <v>175</v>
      </c>
      <c r="E92" s="272"/>
      <c r="F92" s="591">
        <f>+F75/F84*F88</f>
        <v>6.479809976247031</v>
      </c>
      <c r="G92" s="591">
        <f>+G75/G84*G88</f>
        <v>6.495238095238095</v>
      </c>
      <c r="H92" s="591">
        <f>+H75/H84*H88</f>
        <v>6.495238095238095</v>
      </c>
      <c r="I92" s="591">
        <f>+I75/I84*I88</f>
        <v>6.495238095238095</v>
      </c>
      <c r="J92" s="591">
        <f>+J75/J84*J88</f>
        <v>6.495238095238095</v>
      </c>
      <c r="K92" s="272"/>
      <c r="L92" s="266"/>
    </row>
    <row r="93" spans="2:12" ht="12.75">
      <c r="B93" s="264"/>
      <c r="C93" s="272"/>
      <c r="D93" s="272"/>
      <c r="E93" s="272"/>
      <c r="F93" s="335"/>
      <c r="G93" s="335"/>
      <c r="H93" s="335"/>
      <c r="I93" s="335"/>
      <c r="J93" s="335"/>
      <c r="K93" s="272"/>
      <c r="L93" s="266"/>
    </row>
    <row r="94" spans="2:12" ht="12.75">
      <c r="B94" s="264"/>
      <c r="C94" s="265"/>
      <c r="D94" s="265"/>
      <c r="E94" s="265"/>
      <c r="F94" s="321"/>
      <c r="G94" s="321"/>
      <c r="H94" s="321"/>
      <c r="I94" s="321"/>
      <c r="J94" s="321"/>
      <c r="K94" s="265"/>
      <c r="L94" s="266"/>
    </row>
    <row r="95" spans="2:12" ht="13.5" thickBot="1">
      <c r="B95" s="269"/>
      <c r="C95" s="270"/>
      <c r="D95" s="270"/>
      <c r="E95" s="270"/>
      <c r="F95" s="343"/>
      <c r="G95" s="343"/>
      <c r="H95" s="343"/>
      <c r="I95" s="343"/>
      <c r="J95" s="343"/>
      <c r="K95" s="270"/>
      <c r="L95" s="271"/>
    </row>
    <row r="97" spans="6:10" s="319" customFormat="1" ht="12.75">
      <c r="F97" s="323"/>
      <c r="G97" s="323"/>
      <c r="H97" s="323"/>
      <c r="I97" s="323"/>
      <c r="J97" s="323"/>
    </row>
    <row r="102" spans="6:10" s="319" customFormat="1" ht="12.75">
      <c r="F102" s="323"/>
      <c r="G102" s="323"/>
      <c r="H102" s="323"/>
      <c r="I102" s="323"/>
      <c r="J102" s="323"/>
    </row>
    <row r="113" spans="6:10" s="319" customFormat="1" ht="12.75">
      <c r="F113" s="323"/>
      <c r="G113" s="323"/>
      <c r="H113" s="323"/>
      <c r="I113" s="323"/>
      <c r="J113" s="323"/>
    </row>
    <row r="118" spans="6:10" s="319" customFormat="1" ht="12.75">
      <c r="F118" s="323"/>
      <c r="G118" s="323"/>
      <c r="H118" s="323"/>
      <c r="I118" s="323"/>
      <c r="J118" s="323"/>
    </row>
    <row r="123" spans="6:10" s="319" customFormat="1" ht="12.75">
      <c r="F123" s="323"/>
      <c r="G123" s="323"/>
      <c r="H123" s="323"/>
      <c r="I123" s="323"/>
      <c r="J123" s="323"/>
    </row>
    <row r="128" spans="6:10" s="319" customFormat="1" ht="12.75">
      <c r="F128" s="323"/>
      <c r="G128" s="323"/>
      <c r="H128" s="323"/>
      <c r="I128" s="323"/>
      <c r="J128" s="323"/>
    </row>
    <row r="133" spans="6:10" s="319" customFormat="1" ht="12.75">
      <c r="F133" s="323"/>
      <c r="G133" s="323"/>
      <c r="H133" s="323"/>
      <c r="I133" s="323"/>
      <c r="J133" s="323"/>
    </row>
    <row r="136" spans="4:10" ht="12.75">
      <c r="D136" s="319"/>
      <c r="E136" s="319"/>
      <c r="F136" s="323"/>
      <c r="G136" s="323"/>
      <c r="H136" s="323"/>
      <c r="I136" s="323"/>
      <c r="J136" s="323"/>
    </row>
    <row r="137" spans="4:10" ht="12.75">
      <c r="D137" s="319"/>
      <c r="E137" s="319"/>
      <c r="F137" s="323"/>
      <c r="G137" s="323"/>
      <c r="H137" s="323"/>
      <c r="I137" s="323"/>
      <c r="J137" s="323"/>
    </row>
    <row r="138" spans="6:10" s="319" customFormat="1" ht="12.75">
      <c r="F138" s="323"/>
      <c r="G138" s="323"/>
      <c r="H138" s="323"/>
      <c r="I138" s="323"/>
      <c r="J138" s="323"/>
    </row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55" r:id="rId1"/>
  <headerFooter alignWithMargins="0">
    <oddHeader>&amp;L&amp;"Arial,Vet"&amp;9&amp;F&amp;R&amp;"Arial,Vet"&amp;9&amp;A</oddHeader>
    <oddFooter>&amp;L&amp;"Arial,Vet"&amp;9vos/abb&amp;C&amp;"Arial,Vet"&amp;9&amp;P&amp;R&amp;"Arial,Vet"&amp;9&amp;D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A190"/>
  <sheetViews>
    <sheetView showGridLines="0" zoomScale="75" zoomScaleNormal="75" workbookViewId="0" topLeftCell="A1">
      <selection activeCell="B2" sqref="B2"/>
    </sheetView>
  </sheetViews>
  <sheetFormatPr defaultColWidth="9.140625" defaultRowHeight="12.75"/>
  <cols>
    <col min="1" max="1" width="5.7109375" style="10" customWidth="1"/>
    <col min="2" max="3" width="2.7109375" style="10" customWidth="1"/>
    <col min="4" max="4" width="38.421875" style="10" customWidth="1"/>
    <col min="5" max="5" width="24.28125" style="10" customWidth="1"/>
    <col min="6" max="17" width="14.8515625" style="66" customWidth="1"/>
    <col min="18" max="25" width="12.8515625" style="66" customWidth="1"/>
    <col min="26" max="40" width="12.8515625" style="10" customWidth="1"/>
    <col min="41" max="16384" width="9.140625" style="10" customWidth="1"/>
  </cols>
  <sheetData>
    <row r="1" ht="13.5" thickBot="1"/>
    <row r="2" spans="2:18" ht="12.75">
      <c r="B2" s="7"/>
      <c r="C2" s="8"/>
      <c r="D2" s="8"/>
      <c r="E2" s="8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556"/>
    </row>
    <row r="3" spans="2:18" ht="12.75">
      <c r="B3" s="11"/>
      <c r="R3" s="71"/>
    </row>
    <row r="4" spans="2:25" s="14" customFormat="1" ht="18">
      <c r="B4" s="13"/>
      <c r="C4" s="14" t="s">
        <v>512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557"/>
      <c r="S4" s="433"/>
      <c r="T4" s="433"/>
      <c r="U4" s="433"/>
      <c r="V4" s="433"/>
      <c r="W4" s="433"/>
      <c r="X4" s="433"/>
      <c r="Y4" s="433"/>
    </row>
    <row r="5" spans="2:18" ht="12.75">
      <c r="B5" s="11"/>
      <c r="R5" s="71"/>
    </row>
    <row r="6" spans="2:18" ht="12.75">
      <c r="B6" s="11"/>
      <c r="R6" s="71"/>
    </row>
    <row r="7" spans="2:18" ht="12.75">
      <c r="B7" s="11"/>
      <c r="R7" s="71"/>
    </row>
    <row r="8" spans="2:18" ht="12.75">
      <c r="B8" s="11"/>
      <c r="C8" s="23"/>
      <c r="D8" s="23"/>
      <c r="E8" s="23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71"/>
    </row>
    <row r="9" spans="2:18" ht="12.75">
      <c r="B9" s="11"/>
      <c r="C9" s="23"/>
      <c r="D9" s="28" t="s">
        <v>32</v>
      </c>
      <c r="E9" s="2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71"/>
    </row>
    <row r="10" spans="2:18" ht="12.75">
      <c r="B10" s="11"/>
      <c r="C10" s="23"/>
      <c r="D10" s="23"/>
      <c r="E10" s="2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71"/>
    </row>
    <row r="11" spans="2:18" ht="12.75">
      <c r="B11" s="11"/>
      <c r="C11" s="23"/>
      <c r="D11" s="533" t="s">
        <v>310</v>
      </c>
      <c r="E11" s="23"/>
      <c r="F11" s="36"/>
      <c r="G11" s="554" t="s">
        <v>491</v>
      </c>
      <c r="H11" s="581" t="s">
        <v>492</v>
      </c>
      <c r="I11" s="581" t="s">
        <v>493</v>
      </c>
      <c r="J11" s="581" t="s">
        <v>494</v>
      </c>
      <c r="K11" s="581" t="s">
        <v>495</v>
      </c>
      <c r="L11" s="581" t="s">
        <v>496</v>
      </c>
      <c r="M11" s="581" t="s">
        <v>497</v>
      </c>
      <c r="N11" s="581" t="s">
        <v>498</v>
      </c>
      <c r="O11" s="36"/>
      <c r="P11" s="36"/>
      <c r="Q11" s="36"/>
      <c r="R11" s="71"/>
    </row>
    <row r="12" spans="2:18" ht="12.75">
      <c r="B12" s="11"/>
      <c r="C12" s="23"/>
      <c r="D12" s="533" t="s">
        <v>392</v>
      </c>
      <c r="E12" s="23"/>
      <c r="F12" s="36"/>
      <c r="G12" s="187">
        <v>2007</v>
      </c>
      <c r="H12" s="485">
        <f aca="true" t="shared" si="0" ref="H12:N12">G12+1</f>
        <v>2008</v>
      </c>
      <c r="I12" s="485">
        <f t="shared" si="0"/>
        <v>2009</v>
      </c>
      <c r="J12" s="485">
        <f t="shared" si="0"/>
        <v>2010</v>
      </c>
      <c r="K12" s="485">
        <f t="shared" si="0"/>
        <v>2011</v>
      </c>
      <c r="L12" s="485">
        <f t="shared" si="0"/>
        <v>2012</v>
      </c>
      <c r="M12" s="485">
        <f t="shared" si="0"/>
        <v>2013</v>
      </c>
      <c r="N12" s="485">
        <f t="shared" si="0"/>
        <v>2014</v>
      </c>
      <c r="O12" s="36"/>
      <c r="P12" s="36"/>
      <c r="Q12" s="36"/>
      <c r="R12" s="71"/>
    </row>
    <row r="13" spans="2:18" ht="12.75">
      <c r="B13" s="11"/>
      <c r="C13" s="23"/>
      <c r="D13" s="533" t="s">
        <v>499</v>
      </c>
      <c r="E13" s="23"/>
      <c r="F13" s="36"/>
      <c r="G13" s="555">
        <v>38991</v>
      </c>
      <c r="H13" s="582">
        <v>39356</v>
      </c>
      <c r="I13" s="582">
        <v>39722</v>
      </c>
      <c r="J13" s="582">
        <v>40087</v>
      </c>
      <c r="K13" s="582">
        <v>40452</v>
      </c>
      <c r="L13" s="582">
        <v>40817</v>
      </c>
      <c r="M13" s="582">
        <v>41183</v>
      </c>
      <c r="N13" s="582">
        <v>41548</v>
      </c>
      <c r="O13" s="36"/>
      <c r="P13" s="36"/>
      <c r="Q13" s="36"/>
      <c r="R13" s="71"/>
    </row>
    <row r="14" spans="2:18" ht="12.75">
      <c r="B14" s="11"/>
      <c r="C14" s="23"/>
      <c r="D14" s="533"/>
      <c r="E14" s="23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71"/>
    </row>
    <row r="15" spans="2:18" ht="12.75">
      <c r="B15" s="11"/>
      <c r="C15" s="23"/>
      <c r="D15" s="23"/>
      <c r="E15" s="23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71"/>
    </row>
    <row r="16" spans="2:18" ht="15.75">
      <c r="B16" s="11"/>
      <c r="C16" s="23"/>
      <c r="D16" s="558" t="s">
        <v>162</v>
      </c>
      <c r="E16" s="23"/>
      <c r="F16" s="195"/>
      <c r="G16" s="464" t="str">
        <f>G11</f>
        <v>2007/08</v>
      </c>
      <c r="H16" s="464" t="str">
        <f>H11</f>
        <v>2008/09</v>
      </c>
      <c r="I16" s="464" t="str">
        <f>I11</f>
        <v>2009/10</v>
      </c>
      <c r="J16" s="464" t="str">
        <f>J11</f>
        <v>2010/11</v>
      </c>
      <c r="K16" s="464" t="str">
        <f>K11</f>
        <v>2011/12</v>
      </c>
      <c r="L16" s="70"/>
      <c r="M16" s="36"/>
      <c r="N16" s="36"/>
      <c r="O16" s="36"/>
      <c r="P16" s="36"/>
      <c r="Q16" s="36"/>
      <c r="R16" s="71"/>
    </row>
    <row r="17" spans="2:18" ht="12.75">
      <c r="B17" s="11"/>
      <c r="C17" s="23"/>
      <c r="D17" s="559" t="s">
        <v>149</v>
      </c>
      <c r="E17" s="23"/>
      <c r="F17" s="36"/>
      <c r="G17" s="560"/>
      <c r="H17" s="560"/>
      <c r="I17" s="560"/>
      <c r="J17" s="560"/>
      <c r="K17" s="560"/>
      <c r="L17" s="36"/>
      <c r="M17" s="23"/>
      <c r="N17" s="36"/>
      <c r="O17" s="23"/>
      <c r="P17" s="36"/>
      <c r="Q17" s="36"/>
      <c r="R17" s="71"/>
    </row>
    <row r="18" spans="2:18" ht="12.75">
      <c r="B18" s="11"/>
      <c r="C18" s="23"/>
      <c r="D18" s="561" t="s">
        <v>145</v>
      </c>
      <c r="E18" s="562" t="s">
        <v>146</v>
      </c>
      <c r="F18" s="563"/>
      <c r="G18" s="564">
        <v>0.00237</v>
      </c>
      <c r="H18" s="564">
        <v>0.00237</v>
      </c>
      <c r="I18" s="564">
        <v>0.00237</v>
      </c>
      <c r="J18" s="564">
        <v>0.00237</v>
      </c>
      <c r="K18" s="564">
        <v>0.00237</v>
      </c>
      <c r="L18" s="565"/>
      <c r="M18" s="23"/>
      <c r="N18" s="36"/>
      <c r="O18" s="23"/>
      <c r="P18" s="36"/>
      <c r="Q18" s="36"/>
      <c r="R18" s="71"/>
    </row>
    <row r="19" spans="2:18" ht="12.75">
      <c r="B19" s="11"/>
      <c r="C19" s="23"/>
      <c r="D19" s="23" t="s">
        <v>147</v>
      </c>
      <c r="E19" s="562" t="s">
        <v>148</v>
      </c>
      <c r="F19" s="563"/>
      <c r="G19" s="485">
        <v>0.0654</v>
      </c>
      <c r="H19" s="485">
        <v>0.0654</v>
      </c>
      <c r="I19" s="485">
        <v>0.0654</v>
      </c>
      <c r="J19" s="485">
        <v>0.0654</v>
      </c>
      <c r="K19" s="485">
        <v>0.0654</v>
      </c>
      <c r="L19" s="36"/>
      <c r="M19" s="23"/>
      <c r="N19" s="36"/>
      <c r="O19" s="23"/>
      <c r="P19" s="36"/>
      <c r="Q19" s="36"/>
      <c r="R19" s="71"/>
    </row>
    <row r="20" spans="2:18" ht="12.75">
      <c r="B20" s="11"/>
      <c r="C20" s="23"/>
      <c r="D20" s="23"/>
      <c r="E20" s="23"/>
      <c r="F20" s="36"/>
      <c r="G20" s="36"/>
      <c r="H20" s="36"/>
      <c r="I20" s="36"/>
      <c r="J20" s="36"/>
      <c r="K20" s="36"/>
      <c r="L20" s="36"/>
      <c r="M20" s="23"/>
      <c r="N20" s="36"/>
      <c r="O20" s="23"/>
      <c r="P20" s="36"/>
      <c r="Q20" s="36"/>
      <c r="R20" s="71"/>
    </row>
    <row r="21" spans="2:18" ht="12.75">
      <c r="B21" s="11"/>
      <c r="C21" s="23"/>
      <c r="D21" s="559" t="s">
        <v>150</v>
      </c>
      <c r="E21" s="23"/>
      <c r="F21" s="36"/>
      <c r="G21" s="560"/>
      <c r="H21" s="560"/>
      <c r="I21" s="560"/>
      <c r="J21" s="560"/>
      <c r="K21" s="560"/>
      <c r="L21" s="36"/>
      <c r="M21" s="23"/>
      <c r="N21" s="36"/>
      <c r="O21" s="23"/>
      <c r="P21" s="36"/>
      <c r="Q21" s="36"/>
      <c r="R21" s="71"/>
    </row>
    <row r="22" spans="2:18" ht="12.75">
      <c r="B22" s="11"/>
      <c r="C22" s="23"/>
      <c r="D22" s="561" t="s">
        <v>151</v>
      </c>
      <c r="E22" s="195"/>
      <c r="F22" s="36"/>
      <c r="G22" s="537">
        <f>+G31</f>
        <v>58113.02</v>
      </c>
      <c r="H22" s="537">
        <f>+H31</f>
        <v>58926.6</v>
      </c>
      <c r="I22" s="537">
        <f>+I31</f>
        <v>58926.6</v>
      </c>
      <c r="J22" s="537">
        <f>+J31</f>
        <v>58926.6</v>
      </c>
      <c r="K22" s="537">
        <f>+K31</f>
        <v>58926.6</v>
      </c>
      <c r="L22" s="529"/>
      <c r="M22" s="23"/>
      <c r="N22" s="529"/>
      <c r="O22" s="23"/>
      <c r="P22" s="36"/>
      <c r="Q22" s="36"/>
      <c r="R22" s="71"/>
    </row>
    <row r="23" spans="2:18" ht="12.75">
      <c r="B23" s="11"/>
      <c r="C23" s="23"/>
      <c r="D23" s="23"/>
      <c r="E23" s="23"/>
      <c r="F23" s="36"/>
      <c r="G23" s="36"/>
      <c r="H23" s="36"/>
      <c r="I23" s="36"/>
      <c r="J23" s="36"/>
      <c r="K23" s="36"/>
      <c r="L23" s="36"/>
      <c r="M23" s="23"/>
      <c r="N23" s="36"/>
      <c r="O23" s="23"/>
      <c r="P23" s="36"/>
      <c r="Q23" s="36"/>
      <c r="R23" s="71"/>
    </row>
    <row r="24" spans="2:18" ht="12.75">
      <c r="B24" s="11"/>
      <c r="C24" s="23"/>
      <c r="D24" s="28" t="s">
        <v>152</v>
      </c>
      <c r="E24" s="195"/>
      <c r="F24" s="36"/>
      <c r="G24" s="566"/>
      <c r="H24" s="566"/>
      <c r="I24" s="566"/>
      <c r="J24" s="566"/>
      <c r="K24" s="566"/>
      <c r="L24" s="529"/>
      <c r="M24" s="23"/>
      <c r="N24" s="529"/>
      <c r="O24" s="23"/>
      <c r="P24" s="36"/>
      <c r="Q24" s="36"/>
      <c r="R24" s="71"/>
    </row>
    <row r="25" spans="2:18" ht="12.75">
      <c r="B25" s="11"/>
      <c r="C25" s="23"/>
      <c r="D25" s="561" t="s">
        <v>145</v>
      </c>
      <c r="E25" s="562" t="s">
        <v>146</v>
      </c>
      <c r="F25" s="36"/>
      <c r="G25" s="537">
        <f>ROUND(G22*G18,2)</f>
        <v>137.73</v>
      </c>
      <c r="H25" s="537">
        <f>ROUND(H22*H18,2)</f>
        <v>139.66</v>
      </c>
      <c r="I25" s="537">
        <f>ROUND(I22*I18,2)</f>
        <v>139.66</v>
      </c>
      <c r="J25" s="537">
        <f>ROUND(J22*J18,2)</f>
        <v>139.66</v>
      </c>
      <c r="K25" s="537">
        <f>ROUND(K22*K18,2)</f>
        <v>139.66</v>
      </c>
      <c r="L25" s="529"/>
      <c r="M25" s="23"/>
      <c r="N25" s="529"/>
      <c r="O25" s="23"/>
      <c r="P25" s="36"/>
      <c r="Q25" s="36"/>
      <c r="R25" s="71"/>
    </row>
    <row r="26" spans="2:18" ht="12.75">
      <c r="B26" s="11"/>
      <c r="C26" s="23"/>
      <c r="D26" s="23" t="s">
        <v>147</v>
      </c>
      <c r="E26" s="562" t="s">
        <v>148</v>
      </c>
      <c r="F26" s="36"/>
      <c r="G26" s="537">
        <f>ROUND(G22*G19,2)</f>
        <v>3800.59</v>
      </c>
      <c r="H26" s="537">
        <f>ROUND(H22*H19,2)</f>
        <v>3853.8</v>
      </c>
      <c r="I26" s="537">
        <f>ROUND(I22*I19,2)</f>
        <v>3853.8</v>
      </c>
      <c r="J26" s="537">
        <f>ROUND(J22*J19,2)</f>
        <v>3853.8</v>
      </c>
      <c r="K26" s="537">
        <f>ROUND(K22*K19,2)</f>
        <v>3853.8</v>
      </c>
      <c r="L26" s="529"/>
      <c r="M26" s="23"/>
      <c r="N26" s="529"/>
      <c r="O26" s="23"/>
      <c r="P26" s="36"/>
      <c r="Q26" s="36"/>
      <c r="R26" s="71"/>
    </row>
    <row r="27" spans="2:18" ht="12.75">
      <c r="B27" s="11"/>
      <c r="C27" s="23"/>
      <c r="D27" s="23"/>
      <c r="E27" s="23"/>
      <c r="F27" s="36"/>
      <c r="G27" s="36"/>
      <c r="H27" s="36"/>
      <c r="I27" s="36"/>
      <c r="J27" s="36"/>
      <c r="K27" s="36"/>
      <c r="L27" s="36"/>
      <c r="M27" s="23"/>
      <c r="N27" s="36"/>
      <c r="O27" s="23"/>
      <c r="P27" s="36"/>
      <c r="Q27" s="36"/>
      <c r="R27" s="71"/>
    </row>
    <row r="28" spans="2:18" ht="12.75">
      <c r="B28" s="11"/>
      <c r="C28" s="23"/>
      <c r="D28" s="559" t="s">
        <v>153</v>
      </c>
      <c r="E28" s="23"/>
      <c r="F28" s="36"/>
      <c r="G28" s="529"/>
      <c r="H28" s="529"/>
      <c r="I28" s="529"/>
      <c r="J28" s="529"/>
      <c r="K28" s="529"/>
      <c r="L28" s="529"/>
      <c r="M28" s="23"/>
      <c r="N28" s="529"/>
      <c r="O28" s="23"/>
      <c r="P28" s="36"/>
      <c r="Q28" s="36"/>
      <c r="R28" s="71"/>
    </row>
    <row r="29" spans="2:18" ht="12.75">
      <c r="B29" s="11"/>
      <c r="C29" s="23"/>
      <c r="D29" s="28" t="s">
        <v>154</v>
      </c>
      <c r="E29" s="43"/>
      <c r="F29" s="195"/>
      <c r="G29" s="566"/>
      <c r="H29" s="566"/>
      <c r="I29" s="566"/>
      <c r="J29" s="566"/>
      <c r="K29" s="566"/>
      <c r="L29" s="529"/>
      <c r="M29" s="23"/>
      <c r="N29" s="529"/>
      <c r="O29" s="23"/>
      <c r="P29" s="36"/>
      <c r="Q29" s="36"/>
      <c r="R29" s="71"/>
    </row>
    <row r="30" spans="2:18" ht="12.75">
      <c r="B30" s="11"/>
      <c r="C30" s="23"/>
      <c r="D30" s="23" t="s">
        <v>155</v>
      </c>
      <c r="E30" s="23"/>
      <c r="F30" s="36"/>
      <c r="G30" s="542">
        <v>72869.99</v>
      </c>
      <c r="H30" s="543">
        <v>73890.17</v>
      </c>
      <c r="I30" s="543">
        <f>H30</f>
        <v>73890.17</v>
      </c>
      <c r="J30" s="543">
        <f>I30</f>
        <v>73890.17</v>
      </c>
      <c r="K30" s="543">
        <f>J30</f>
        <v>73890.17</v>
      </c>
      <c r="L30" s="529"/>
      <c r="M30" s="23"/>
      <c r="N30" s="529"/>
      <c r="O30" s="23"/>
      <c r="P30" s="36"/>
      <c r="Q30" s="36"/>
      <c r="R30" s="71"/>
    </row>
    <row r="31" spans="2:18" ht="12.75">
      <c r="B31" s="11"/>
      <c r="C31" s="23"/>
      <c r="D31" s="561" t="s">
        <v>156</v>
      </c>
      <c r="E31" s="23"/>
      <c r="F31" s="36"/>
      <c r="G31" s="542">
        <v>58113.02</v>
      </c>
      <c r="H31" s="543">
        <v>58926.6</v>
      </c>
      <c r="I31" s="543">
        <f aca="true" t="shared" si="1" ref="I31:K35">H31</f>
        <v>58926.6</v>
      </c>
      <c r="J31" s="543">
        <f t="shared" si="1"/>
        <v>58926.6</v>
      </c>
      <c r="K31" s="543">
        <f t="shared" si="1"/>
        <v>58926.6</v>
      </c>
      <c r="L31" s="529"/>
      <c r="M31" s="23"/>
      <c r="N31" s="529"/>
      <c r="O31" s="23"/>
      <c r="P31" s="36"/>
      <c r="Q31" s="36"/>
      <c r="R31" s="71"/>
    </row>
    <row r="32" spans="2:18" ht="12.75">
      <c r="B32" s="11"/>
      <c r="C32" s="23"/>
      <c r="D32" s="23" t="s">
        <v>157</v>
      </c>
      <c r="E32" s="23"/>
      <c r="F32" s="36"/>
      <c r="G32" s="537">
        <f>+G30-G31</f>
        <v>14756.970000000008</v>
      </c>
      <c r="H32" s="537">
        <f>+H30-H31</f>
        <v>14963.57</v>
      </c>
      <c r="I32" s="537">
        <f>+H32</f>
        <v>14963.57</v>
      </c>
      <c r="J32" s="537">
        <f>+I32</f>
        <v>14963.57</v>
      </c>
      <c r="K32" s="537">
        <f>+J32</f>
        <v>14963.57</v>
      </c>
      <c r="L32" s="529"/>
      <c r="M32" s="23"/>
      <c r="N32" s="529"/>
      <c r="O32" s="23"/>
      <c r="P32" s="36"/>
      <c r="Q32" s="36"/>
      <c r="R32" s="71"/>
    </row>
    <row r="33" spans="2:18" ht="12.75">
      <c r="B33" s="11"/>
      <c r="C33" s="23"/>
      <c r="D33" s="561" t="s">
        <v>158</v>
      </c>
      <c r="E33" s="23"/>
      <c r="F33" s="36"/>
      <c r="G33" s="542">
        <v>24836.05</v>
      </c>
      <c r="H33" s="543">
        <v>25232.64</v>
      </c>
      <c r="I33" s="543">
        <f t="shared" si="1"/>
        <v>25232.64</v>
      </c>
      <c r="J33" s="543">
        <f t="shared" si="1"/>
        <v>25232.64</v>
      </c>
      <c r="K33" s="543">
        <f t="shared" si="1"/>
        <v>25232.64</v>
      </c>
      <c r="L33" s="529"/>
      <c r="M33" s="23"/>
      <c r="N33" s="529"/>
      <c r="O33" s="23"/>
      <c r="P33" s="36"/>
      <c r="Q33" s="36"/>
      <c r="R33" s="71"/>
    </row>
    <row r="34" spans="2:18" ht="12.75">
      <c r="B34" s="11"/>
      <c r="C34" s="23"/>
      <c r="D34" s="561" t="s">
        <v>159</v>
      </c>
      <c r="E34" s="23"/>
      <c r="F34" s="36"/>
      <c r="G34" s="542">
        <v>804.25</v>
      </c>
      <c r="H34" s="543">
        <v>817.02</v>
      </c>
      <c r="I34" s="543">
        <f t="shared" si="1"/>
        <v>817.02</v>
      </c>
      <c r="J34" s="543">
        <f t="shared" si="1"/>
        <v>817.02</v>
      </c>
      <c r="K34" s="543">
        <f t="shared" si="1"/>
        <v>817.02</v>
      </c>
      <c r="L34" s="529"/>
      <c r="M34" s="23"/>
      <c r="N34" s="529"/>
      <c r="O34" s="23"/>
      <c r="P34" s="36"/>
      <c r="Q34" s="36"/>
      <c r="R34" s="71"/>
    </row>
    <row r="35" spans="2:18" ht="12.75">
      <c r="B35" s="11"/>
      <c r="C35" s="23"/>
      <c r="D35" s="561" t="s">
        <v>160</v>
      </c>
      <c r="E35" s="23"/>
      <c r="F35" s="36"/>
      <c r="G35" s="544">
        <v>41.38</v>
      </c>
      <c r="H35" s="545">
        <v>41.24</v>
      </c>
      <c r="I35" s="207">
        <f t="shared" si="1"/>
        <v>41.24</v>
      </c>
      <c r="J35" s="207">
        <f t="shared" si="1"/>
        <v>41.24</v>
      </c>
      <c r="K35" s="207">
        <f t="shared" si="1"/>
        <v>41.24</v>
      </c>
      <c r="L35" s="36"/>
      <c r="M35" s="23"/>
      <c r="N35" s="36"/>
      <c r="O35" s="23"/>
      <c r="P35" s="36"/>
      <c r="Q35" s="36"/>
      <c r="R35" s="71"/>
    </row>
    <row r="36" spans="2:18" ht="12.75">
      <c r="B36" s="11"/>
      <c r="C36" s="23"/>
      <c r="D36" s="23"/>
      <c r="E36" s="23"/>
      <c r="F36" s="36"/>
      <c r="G36" s="36"/>
      <c r="H36" s="36"/>
      <c r="I36" s="36"/>
      <c r="J36" s="36"/>
      <c r="K36" s="36"/>
      <c r="L36" s="36"/>
      <c r="M36" s="23"/>
      <c r="N36" s="36"/>
      <c r="O36" s="23"/>
      <c r="P36" s="36"/>
      <c r="Q36" s="36"/>
      <c r="R36" s="71"/>
    </row>
    <row r="37" spans="2:18" ht="12.75">
      <c r="B37" s="11"/>
      <c r="C37" s="23"/>
      <c r="D37" s="559" t="s">
        <v>182</v>
      </c>
      <c r="E37" s="43"/>
      <c r="F37" s="195"/>
      <c r="G37" s="36"/>
      <c r="H37" s="36"/>
      <c r="I37" s="36"/>
      <c r="J37" s="36"/>
      <c r="K37" s="36"/>
      <c r="L37" s="36"/>
      <c r="M37" s="23"/>
      <c r="N37" s="36"/>
      <c r="O37" s="23"/>
      <c r="P37" s="36"/>
      <c r="Q37" s="36"/>
      <c r="R37" s="71"/>
    </row>
    <row r="38" spans="2:18" ht="12.75">
      <c r="B38" s="11"/>
      <c r="C38" s="23"/>
      <c r="D38" s="28" t="s">
        <v>154</v>
      </c>
      <c r="E38" s="43"/>
      <c r="F38" s="195"/>
      <c r="G38" s="560"/>
      <c r="H38" s="560"/>
      <c r="I38" s="560"/>
      <c r="J38" s="560"/>
      <c r="K38" s="560"/>
      <c r="L38" s="36"/>
      <c r="M38" s="23"/>
      <c r="N38" s="36"/>
      <c r="O38" s="23"/>
      <c r="P38" s="36"/>
      <c r="Q38" s="36"/>
      <c r="R38" s="71"/>
    </row>
    <row r="39" spans="2:18" ht="12.75">
      <c r="B39" s="11"/>
      <c r="C39" s="23"/>
      <c r="D39" s="23" t="s">
        <v>155</v>
      </c>
      <c r="E39" s="23"/>
      <c r="F39" s="36"/>
      <c r="G39" s="542">
        <v>67440.11</v>
      </c>
      <c r="H39" s="543">
        <v>68384.27</v>
      </c>
      <c r="I39" s="543">
        <f aca="true" t="shared" si="2" ref="I39:K40">H39</f>
        <v>68384.27</v>
      </c>
      <c r="J39" s="543">
        <f t="shared" si="2"/>
        <v>68384.27</v>
      </c>
      <c r="K39" s="543">
        <f t="shared" si="2"/>
        <v>68384.27</v>
      </c>
      <c r="L39" s="529"/>
      <c r="M39" s="23"/>
      <c r="N39" s="529"/>
      <c r="O39" s="23"/>
      <c r="P39" s="36"/>
      <c r="Q39" s="36"/>
      <c r="R39" s="71"/>
    </row>
    <row r="40" spans="2:18" ht="12.75">
      <c r="B40" s="11"/>
      <c r="C40" s="23"/>
      <c r="D40" s="561" t="s">
        <v>156</v>
      </c>
      <c r="E40" s="23"/>
      <c r="F40" s="36"/>
      <c r="G40" s="542">
        <v>53451.43</v>
      </c>
      <c r="H40" s="543">
        <v>54199.75</v>
      </c>
      <c r="I40" s="543">
        <f t="shared" si="2"/>
        <v>54199.75</v>
      </c>
      <c r="J40" s="543">
        <f t="shared" si="2"/>
        <v>54199.75</v>
      </c>
      <c r="K40" s="543">
        <f t="shared" si="2"/>
        <v>54199.75</v>
      </c>
      <c r="L40" s="529"/>
      <c r="M40" s="23"/>
      <c r="N40" s="529"/>
      <c r="O40" s="23"/>
      <c r="P40" s="36"/>
      <c r="Q40" s="36"/>
      <c r="R40" s="71"/>
    </row>
    <row r="41" spans="2:18" ht="12.75">
      <c r="B41" s="11"/>
      <c r="C41" s="23"/>
      <c r="D41" s="23" t="s">
        <v>157</v>
      </c>
      <c r="E41" s="23"/>
      <c r="F41" s="36"/>
      <c r="G41" s="537">
        <f>+G39-G40</f>
        <v>13988.68</v>
      </c>
      <c r="H41" s="537">
        <f>+H39-H40</f>
        <v>14184.520000000004</v>
      </c>
      <c r="I41" s="537">
        <f>+H41</f>
        <v>14184.520000000004</v>
      </c>
      <c r="J41" s="537">
        <f>+I41</f>
        <v>14184.520000000004</v>
      </c>
      <c r="K41" s="537">
        <f>+J41</f>
        <v>14184.520000000004</v>
      </c>
      <c r="L41" s="529"/>
      <c r="M41" s="23"/>
      <c r="N41" s="529"/>
      <c r="O41" s="23"/>
      <c r="P41" s="36"/>
      <c r="Q41" s="36"/>
      <c r="R41" s="71"/>
    </row>
    <row r="42" spans="2:18" ht="12.75">
      <c r="B42" s="11"/>
      <c r="C42" s="23"/>
      <c r="D42" s="561" t="s">
        <v>158</v>
      </c>
      <c r="E42" s="23"/>
      <c r="F42" s="36"/>
      <c r="G42" s="542">
        <v>25622.13</v>
      </c>
      <c r="H42" s="543">
        <v>25994.29</v>
      </c>
      <c r="I42" s="543">
        <f>H42</f>
        <v>25994.29</v>
      </c>
      <c r="J42" s="543">
        <f>I42</f>
        <v>25994.29</v>
      </c>
      <c r="K42" s="543">
        <f>J42</f>
        <v>25994.29</v>
      </c>
      <c r="L42" s="529"/>
      <c r="M42" s="23"/>
      <c r="N42" s="529"/>
      <c r="O42" s="23"/>
      <c r="P42" s="36"/>
      <c r="Q42" s="36"/>
      <c r="R42" s="71"/>
    </row>
    <row r="43" spans="2:18" ht="12.75">
      <c r="B43" s="11"/>
      <c r="C43" s="23"/>
      <c r="D43" s="561" t="s">
        <v>159</v>
      </c>
      <c r="E43" s="23"/>
      <c r="F43" s="36"/>
      <c r="G43" s="542">
        <v>691.41</v>
      </c>
      <c r="H43" s="543">
        <v>701.45</v>
      </c>
      <c r="I43" s="543">
        <f aca="true" t="shared" si="3" ref="I43:K44">H43</f>
        <v>701.45</v>
      </c>
      <c r="J43" s="543">
        <f t="shared" si="3"/>
        <v>701.45</v>
      </c>
      <c r="K43" s="543">
        <f t="shared" si="3"/>
        <v>701.45</v>
      </c>
      <c r="L43" s="529"/>
      <c r="M43" s="23"/>
      <c r="N43" s="529"/>
      <c r="O43" s="23"/>
      <c r="P43" s="36"/>
      <c r="Q43" s="36"/>
      <c r="R43" s="71"/>
    </row>
    <row r="44" spans="2:18" ht="12.75">
      <c r="B44" s="11"/>
      <c r="C44" s="23"/>
      <c r="D44" s="561" t="s">
        <v>160</v>
      </c>
      <c r="E44" s="23"/>
      <c r="F44" s="36"/>
      <c r="G44" s="544">
        <v>40.25</v>
      </c>
      <c r="H44" s="545">
        <v>40.21</v>
      </c>
      <c r="I44" s="207">
        <f t="shared" si="3"/>
        <v>40.21</v>
      </c>
      <c r="J44" s="207">
        <f t="shared" si="3"/>
        <v>40.21</v>
      </c>
      <c r="K44" s="207">
        <f t="shared" si="3"/>
        <v>40.21</v>
      </c>
      <c r="L44" s="36"/>
      <c r="M44" s="23"/>
      <c r="N44" s="36"/>
      <c r="O44" s="23"/>
      <c r="P44" s="36"/>
      <c r="Q44" s="36"/>
      <c r="R44" s="71"/>
    </row>
    <row r="45" spans="2:18" ht="15.75">
      <c r="B45" s="11"/>
      <c r="C45" s="23"/>
      <c r="D45" s="558"/>
      <c r="E45" s="23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1"/>
    </row>
    <row r="46" spans="2:18" ht="12.75">
      <c r="B46" s="11"/>
      <c r="C46" s="23"/>
      <c r="D46" s="23"/>
      <c r="E46" s="23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1"/>
    </row>
    <row r="47" spans="2:18" ht="12.75">
      <c r="B47" s="11"/>
      <c r="R47" s="71"/>
    </row>
    <row r="48" spans="2:18" ht="13.5" thickBot="1">
      <c r="B48" s="59"/>
      <c r="C48" s="60"/>
      <c r="D48" s="60"/>
      <c r="E48" s="60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8"/>
    </row>
    <row r="49" spans="2:18" ht="12.75">
      <c r="B49" s="7"/>
      <c r="C49" s="8"/>
      <c r="D49" s="8"/>
      <c r="E49" s="8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556"/>
    </row>
    <row r="50" spans="2:18" ht="12.75">
      <c r="B50" s="11"/>
      <c r="R50" s="71"/>
    </row>
    <row r="51" spans="2:18" ht="12.75">
      <c r="B51" s="11"/>
      <c r="C51" s="23"/>
      <c r="D51" s="23"/>
      <c r="E51" s="23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71"/>
    </row>
    <row r="52" spans="2:25" s="91" customFormat="1" ht="12.75">
      <c r="B52" s="569"/>
      <c r="C52" s="45"/>
      <c r="D52" s="570" t="s">
        <v>79</v>
      </c>
      <c r="E52" s="45"/>
      <c r="F52" s="571">
        <f>G12</f>
        <v>2007</v>
      </c>
      <c r="G52" s="464" t="str">
        <f>G16</f>
        <v>2007/08</v>
      </c>
      <c r="H52" s="571">
        <f>H12</f>
        <v>2008</v>
      </c>
      <c r="I52" s="464" t="str">
        <f>H16</f>
        <v>2008/09</v>
      </c>
      <c r="J52" s="571">
        <f>I12</f>
        <v>2009</v>
      </c>
      <c r="K52" s="464" t="str">
        <f>I16</f>
        <v>2009/10</v>
      </c>
      <c r="L52" s="571">
        <f>J12</f>
        <v>2010</v>
      </c>
      <c r="M52" s="464" t="str">
        <f>J16</f>
        <v>2010/11</v>
      </c>
      <c r="N52" s="571">
        <f>K12</f>
        <v>2011</v>
      </c>
      <c r="O52" s="464" t="str">
        <f>K16</f>
        <v>2011/12</v>
      </c>
      <c r="P52" s="571">
        <f>L12</f>
        <v>2012</v>
      </c>
      <c r="Q52" s="144"/>
      <c r="R52" s="572"/>
      <c r="S52" s="90"/>
      <c r="T52" s="90"/>
      <c r="U52" s="90"/>
      <c r="V52" s="90"/>
      <c r="W52" s="90"/>
      <c r="X52" s="90"/>
      <c r="Y52" s="90"/>
    </row>
    <row r="53" spans="2:18" ht="12.75">
      <c r="B53" s="11"/>
      <c r="C53" s="23"/>
      <c r="D53" s="28"/>
      <c r="E53" s="2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36"/>
      <c r="R53" s="71"/>
    </row>
    <row r="54" spans="2:18" ht="12.75">
      <c r="B54" s="11"/>
      <c r="C54" s="23"/>
      <c r="D54" s="28" t="s">
        <v>303</v>
      </c>
      <c r="E54" s="23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71"/>
    </row>
    <row r="55" spans="2:18" ht="12.75">
      <c r="B55" s="11"/>
      <c r="C55" s="23"/>
      <c r="D55" s="23" t="s">
        <v>80</v>
      </c>
      <c r="E55" s="23"/>
      <c r="F55" s="36"/>
      <c r="G55" s="537">
        <f>+G25</f>
        <v>137.73</v>
      </c>
      <c r="H55" s="529"/>
      <c r="I55" s="537">
        <f>+H25</f>
        <v>139.66</v>
      </c>
      <c r="J55" s="529"/>
      <c r="K55" s="537">
        <f>+I25</f>
        <v>139.66</v>
      </c>
      <c r="L55" s="529"/>
      <c r="M55" s="537">
        <f>+J25</f>
        <v>139.66</v>
      </c>
      <c r="N55" s="36"/>
      <c r="O55" s="537">
        <f>+K25</f>
        <v>139.66</v>
      </c>
      <c r="P55" s="36"/>
      <c r="Q55" s="36"/>
      <c r="R55" s="71"/>
    </row>
    <row r="56" spans="2:18" ht="12.75">
      <c r="B56" s="11"/>
      <c r="C56" s="23"/>
      <c r="D56" s="23" t="s">
        <v>347</v>
      </c>
      <c r="E56" s="23"/>
      <c r="F56" s="537">
        <v>6.61</v>
      </c>
      <c r="G56" s="583"/>
      <c r="H56" s="584">
        <v>6.72</v>
      </c>
      <c r="I56" s="583"/>
      <c r="J56" s="543">
        <f>+H56</f>
        <v>6.72</v>
      </c>
      <c r="K56" s="583"/>
      <c r="L56" s="543">
        <f>+J56</f>
        <v>6.72</v>
      </c>
      <c r="M56" s="36"/>
      <c r="N56" s="543">
        <f>+L56</f>
        <v>6.72</v>
      </c>
      <c r="O56" s="36"/>
      <c r="P56" s="543">
        <f>+N56</f>
        <v>6.72</v>
      </c>
      <c r="Q56" s="36"/>
      <c r="R56" s="71"/>
    </row>
    <row r="57" spans="2:18" ht="12.75">
      <c r="B57" s="11"/>
      <c r="C57" s="23"/>
      <c r="D57" s="23" t="s">
        <v>555</v>
      </c>
      <c r="E57" s="23"/>
      <c r="F57" s="278">
        <v>0.0156</v>
      </c>
      <c r="G57" s="583"/>
      <c r="H57" s="587">
        <v>0.016</v>
      </c>
      <c r="I57" s="583"/>
      <c r="J57" s="547">
        <f>+H57</f>
        <v>0.016</v>
      </c>
      <c r="K57" s="583"/>
      <c r="L57" s="547">
        <f>+J57</f>
        <v>0.016</v>
      </c>
      <c r="M57" s="36"/>
      <c r="N57" s="547">
        <f>+L57</f>
        <v>0.016</v>
      </c>
      <c r="O57" s="36"/>
      <c r="P57" s="547">
        <f>+N57</f>
        <v>0.016</v>
      </c>
      <c r="Q57" s="36"/>
      <c r="R57" s="71"/>
    </row>
    <row r="58" spans="2:18" ht="12.75">
      <c r="B58" s="11"/>
      <c r="C58" s="23"/>
      <c r="D58" s="23"/>
      <c r="E58" s="23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71"/>
    </row>
    <row r="59" spans="2:18" ht="12.75">
      <c r="B59" s="11"/>
      <c r="C59" s="23"/>
      <c r="D59" s="28" t="s">
        <v>81</v>
      </c>
      <c r="E59" s="23"/>
      <c r="F59" s="36"/>
      <c r="G59" s="195" t="s">
        <v>163</v>
      </c>
      <c r="H59" s="195" t="s">
        <v>164</v>
      </c>
      <c r="I59" s="195" t="s">
        <v>163</v>
      </c>
      <c r="J59" s="195" t="s">
        <v>164</v>
      </c>
      <c r="K59" s="195" t="s">
        <v>163</v>
      </c>
      <c r="L59" s="195" t="s">
        <v>164</v>
      </c>
      <c r="M59" s="195" t="s">
        <v>163</v>
      </c>
      <c r="N59" s="195" t="s">
        <v>164</v>
      </c>
      <c r="O59" s="195" t="s">
        <v>163</v>
      </c>
      <c r="P59" s="195" t="s">
        <v>164</v>
      </c>
      <c r="Q59" s="36"/>
      <c r="R59" s="71"/>
    </row>
    <row r="60" spans="2:18" ht="12.75">
      <c r="B60" s="11"/>
      <c r="C60" s="23"/>
      <c r="D60" s="23" t="s">
        <v>82</v>
      </c>
      <c r="E60" s="23"/>
      <c r="F60" s="36"/>
      <c r="G60" s="193">
        <v>0.0452</v>
      </c>
      <c r="H60" s="583"/>
      <c r="I60" s="193">
        <v>0.0452</v>
      </c>
      <c r="J60" s="583"/>
      <c r="K60" s="193">
        <v>0.0452</v>
      </c>
      <c r="L60" s="583"/>
      <c r="M60" s="193">
        <v>0.0452</v>
      </c>
      <c r="N60" s="36"/>
      <c r="O60" s="193">
        <v>0.0452</v>
      </c>
      <c r="P60" s="36"/>
      <c r="Q60" s="36"/>
      <c r="R60" s="71"/>
    </row>
    <row r="61" spans="2:18" ht="12.75">
      <c r="B61" s="11"/>
      <c r="C61" s="23"/>
      <c r="D61" s="23" t="s">
        <v>83</v>
      </c>
      <c r="E61" s="23"/>
      <c r="F61" s="36"/>
      <c r="G61" s="193">
        <v>0.0646</v>
      </c>
      <c r="H61" s="583"/>
      <c r="I61" s="193">
        <v>0.0646</v>
      </c>
      <c r="J61" s="583"/>
      <c r="K61" s="193">
        <v>0.0646</v>
      </c>
      <c r="L61" s="583"/>
      <c r="M61" s="193">
        <v>0.0646</v>
      </c>
      <c r="N61" s="36"/>
      <c r="O61" s="193">
        <v>0.0646</v>
      </c>
      <c r="P61" s="36"/>
      <c r="Q61" s="36"/>
      <c r="R61" s="71"/>
    </row>
    <row r="62" spans="2:18" ht="12.75">
      <c r="B62" s="11"/>
      <c r="C62" s="23"/>
      <c r="D62" s="23" t="s">
        <v>84</v>
      </c>
      <c r="E62" s="23"/>
      <c r="F62" s="36"/>
      <c r="G62" s="193">
        <v>0.0401</v>
      </c>
      <c r="H62" s="583"/>
      <c r="I62" s="193">
        <v>0.0401</v>
      </c>
      <c r="J62" s="583"/>
      <c r="K62" s="193">
        <v>0.0401</v>
      </c>
      <c r="L62" s="583"/>
      <c r="M62" s="193">
        <v>0.0401</v>
      </c>
      <c r="N62" s="36"/>
      <c r="O62" s="193">
        <v>0.0401</v>
      </c>
      <c r="P62" s="36"/>
      <c r="Q62" s="36"/>
      <c r="R62" s="71"/>
    </row>
    <row r="63" spans="2:18" ht="12.75">
      <c r="B63" s="11"/>
      <c r="C63" s="23"/>
      <c r="D63" s="23" t="s">
        <v>304</v>
      </c>
      <c r="E63" s="23"/>
      <c r="F63" s="36"/>
      <c r="G63" s="193">
        <v>0.10980000000000001</v>
      </c>
      <c r="H63" s="36"/>
      <c r="I63" s="193">
        <f>+I60+I61</f>
        <v>0.10980000000000001</v>
      </c>
      <c r="J63" s="36"/>
      <c r="K63" s="193">
        <f>+K60+K61</f>
        <v>0.10980000000000001</v>
      </c>
      <c r="L63" s="36"/>
      <c r="M63" s="193">
        <f>+M60+M61</f>
        <v>0.10980000000000001</v>
      </c>
      <c r="N63" s="36"/>
      <c r="O63" s="193">
        <f>+O60+O61</f>
        <v>0.10980000000000001</v>
      </c>
      <c r="P63" s="36"/>
      <c r="Q63" s="36"/>
      <c r="R63" s="71"/>
    </row>
    <row r="64" spans="2:18" ht="12.75">
      <c r="B64" s="11"/>
      <c r="C64" s="23"/>
      <c r="D64" s="23" t="s">
        <v>423</v>
      </c>
      <c r="E64" s="23"/>
      <c r="F64" s="552">
        <v>737</v>
      </c>
      <c r="G64" s="585"/>
      <c r="H64" s="586">
        <v>758</v>
      </c>
      <c r="I64" s="585"/>
      <c r="J64" s="553">
        <f>+H64</f>
        <v>758</v>
      </c>
      <c r="K64" s="585"/>
      <c r="L64" s="553">
        <f>+J64</f>
        <v>758</v>
      </c>
      <c r="M64" s="585"/>
      <c r="N64" s="553">
        <f>+L64</f>
        <v>758</v>
      </c>
      <c r="O64" s="585"/>
      <c r="P64" s="553">
        <f>+N64</f>
        <v>758</v>
      </c>
      <c r="Q64" s="36"/>
      <c r="R64" s="71"/>
    </row>
    <row r="65" spans="2:18" ht="12.75">
      <c r="B65" s="11"/>
      <c r="C65" s="23"/>
      <c r="D65" s="23" t="s">
        <v>424</v>
      </c>
      <c r="E65" s="23"/>
      <c r="F65" s="552">
        <v>198.57</v>
      </c>
      <c r="G65" s="585"/>
      <c r="H65" s="552">
        <v>201.75</v>
      </c>
      <c r="I65" s="585"/>
      <c r="J65" s="553">
        <f>+H65</f>
        <v>201.75</v>
      </c>
      <c r="K65" s="585"/>
      <c r="L65" s="553">
        <f>+J65</f>
        <v>201.75</v>
      </c>
      <c r="M65" s="585"/>
      <c r="N65" s="553">
        <f>+L65</f>
        <v>201.75</v>
      </c>
      <c r="O65" s="585"/>
      <c r="P65" s="553">
        <f>+N65</f>
        <v>201.75</v>
      </c>
      <c r="Q65" s="36"/>
      <c r="R65" s="71"/>
    </row>
    <row r="66" spans="2:18" ht="12.75">
      <c r="B66" s="11"/>
      <c r="C66" s="23"/>
      <c r="D66" s="28"/>
      <c r="E66" s="23"/>
      <c r="F66" s="3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36"/>
      <c r="R66" s="71"/>
    </row>
    <row r="67" spans="2:18" ht="12.75">
      <c r="B67" s="11"/>
      <c r="C67" s="23"/>
      <c r="D67" s="28"/>
      <c r="E67" s="23"/>
      <c r="F67" s="36"/>
      <c r="G67" s="195" t="s">
        <v>163</v>
      </c>
      <c r="H67" s="195" t="s">
        <v>164</v>
      </c>
      <c r="I67" s="195" t="s">
        <v>163</v>
      </c>
      <c r="J67" s="195" t="s">
        <v>164</v>
      </c>
      <c r="K67" s="195" t="s">
        <v>163</v>
      </c>
      <c r="L67" s="195" t="s">
        <v>164</v>
      </c>
      <c r="M67" s="195" t="s">
        <v>163</v>
      </c>
      <c r="N67" s="195" t="s">
        <v>164</v>
      </c>
      <c r="O67" s="195" t="s">
        <v>163</v>
      </c>
      <c r="P67" s="195" t="s">
        <v>164</v>
      </c>
      <c r="Q67" s="36"/>
      <c r="R67" s="71"/>
    </row>
    <row r="68" spans="2:18" ht="12.75">
      <c r="B68" s="11"/>
      <c r="C68" s="23"/>
      <c r="D68" s="23" t="s">
        <v>82</v>
      </c>
      <c r="E68" s="23"/>
      <c r="F68" s="36"/>
      <c r="G68" s="596">
        <f>ROUND(G60*G$33,2)</f>
        <v>1122.59</v>
      </c>
      <c r="H68" s="596">
        <f>ROUND(G60*G$34,2)</f>
        <v>36.35</v>
      </c>
      <c r="I68" s="596">
        <f>ROUND(I60*H$33,2)</f>
        <v>1140.52</v>
      </c>
      <c r="J68" s="596">
        <f>ROUND(I60*H$34,2)</f>
        <v>36.93</v>
      </c>
      <c r="K68" s="596">
        <f>ROUND(K60*I$33,2)</f>
        <v>1140.52</v>
      </c>
      <c r="L68" s="596">
        <f>ROUND(K60*I$34,2)</f>
        <v>36.93</v>
      </c>
      <c r="M68" s="596">
        <f>ROUND(M60*J$33,2)</f>
        <v>1140.52</v>
      </c>
      <c r="N68" s="596">
        <f>ROUND(M60*J$34,2)</f>
        <v>36.93</v>
      </c>
      <c r="O68" s="596">
        <f>ROUND(O60*K$33,2)</f>
        <v>1140.52</v>
      </c>
      <c r="P68" s="596">
        <f>ROUND(O60*K$34,2)</f>
        <v>36.93</v>
      </c>
      <c r="Q68" s="36"/>
      <c r="R68" s="71"/>
    </row>
    <row r="69" spans="2:18" ht="12.75">
      <c r="B69" s="11"/>
      <c r="C69" s="23"/>
      <c r="D69" s="23" t="s">
        <v>83</v>
      </c>
      <c r="E69" s="23"/>
      <c r="F69" s="36"/>
      <c r="G69" s="596">
        <f>ROUND(G61*G$33,2)</f>
        <v>1604.41</v>
      </c>
      <c r="H69" s="596">
        <f>ROUND(G61*G$34,2)</f>
        <v>51.95</v>
      </c>
      <c r="I69" s="596">
        <f>ROUND(I61*H$33,2)</f>
        <v>1630.03</v>
      </c>
      <c r="J69" s="596">
        <f>ROUND(I61*H$34,2)</f>
        <v>52.78</v>
      </c>
      <c r="K69" s="596">
        <f>ROUND(K61*I$33,2)</f>
        <v>1630.03</v>
      </c>
      <c r="L69" s="596">
        <f>ROUND(K61*I$34,2)</f>
        <v>52.78</v>
      </c>
      <c r="M69" s="596">
        <f>ROUND(M61*J$33,2)</f>
        <v>1630.03</v>
      </c>
      <c r="N69" s="596">
        <f>ROUND(M61*J$34,2)</f>
        <v>52.78</v>
      </c>
      <c r="O69" s="596">
        <f>ROUND(O61*K$33,2)</f>
        <v>1630.03</v>
      </c>
      <c r="P69" s="596">
        <f>ROUND(O61*K$34,2)</f>
        <v>52.78</v>
      </c>
      <c r="Q69" s="36"/>
      <c r="R69" s="71"/>
    </row>
    <row r="70" spans="2:18" ht="12.75">
      <c r="B70" s="11"/>
      <c r="C70" s="23"/>
      <c r="D70" s="23" t="s">
        <v>84</v>
      </c>
      <c r="E70" s="23"/>
      <c r="F70" s="36"/>
      <c r="G70" s="596">
        <f>ROUND(G62*G$33,2)</f>
        <v>995.93</v>
      </c>
      <c r="H70" s="596">
        <f>ROUND(G62*G$34,2)</f>
        <v>32.25</v>
      </c>
      <c r="I70" s="596">
        <f>ROUND(I62*H$33,2)</f>
        <v>1011.83</v>
      </c>
      <c r="J70" s="596">
        <f>ROUND(I62*H$34,2)</f>
        <v>32.76</v>
      </c>
      <c r="K70" s="596">
        <f>ROUND(K62*I$33,2)</f>
        <v>1011.83</v>
      </c>
      <c r="L70" s="596">
        <f>ROUND(K62*I$34,2)</f>
        <v>32.76</v>
      </c>
      <c r="M70" s="596">
        <f>ROUND(M62*J$33,2)</f>
        <v>1011.83</v>
      </c>
      <c r="N70" s="596">
        <f>ROUND(M62*J$34,2)</f>
        <v>32.76</v>
      </c>
      <c r="O70" s="596">
        <f>ROUND(O62*K$33,2)</f>
        <v>1011.83</v>
      </c>
      <c r="P70" s="596">
        <f>ROUND(O62*K$34,2)</f>
        <v>32.76</v>
      </c>
      <c r="Q70" s="36"/>
      <c r="R70" s="71"/>
    </row>
    <row r="71" spans="2:18" ht="12.75">
      <c r="B71" s="11"/>
      <c r="C71" s="23"/>
      <c r="D71" s="23" t="s">
        <v>416</v>
      </c>
      <c r="E71" s="23"/>
      <c r="F71" s="537">
        <f>+F64</f>
        <v>737</v>
      </c>
      <c r="G71" s="528"/>
      <c r="H71" s="537">
        <f>+H64</f>
        <v>758</v>
      </c>
      <c r="I71" s="528"/>
      <c r="J71" s="537">
        <f>+H71</f>
        <v>758</v>
      </c>
      <c r="K71" s="36"/>
      <c r="L71" s="537">
        <f>+J71</f>
        <v>758</v>
      </c>
      <c r="M71" s="36"/>
      <c r="N71" s="537">
        <f>+L71</f>
        <v>758</v>
      </c>
      <c r="O71" s="36"/>
      <c r="P71" s="537">
        <f>+N71</f>
        <v>758</v>
      </c>
      <c r="Q71" s="36"/>
      <c r="R71" s="71"/>
    </row>
    <row r="72" spans="2:18" ht="12.75">
      <c r="B72" s="11"/>
      <c r="C72" s="23"/>
      <c r="D72" s="23" t="s">
        <v>346</v>
      </c>
      <c r="E72" s="23"/>
      <c r="F72" s="537">
        <f>+F65</f>
        <v>198.57</v>
      </c>
      <c r="G72" s="36"/>
      <c r="H72" s="537">
        <f>+H65</f>
        <v>201.75</v>
      </c>
      <c r="I72" s="36"/>
      <c r="J72" s="537">
        <f>+H72</f>
        <v>201.75</v>
      </c>
      <c r="K72" s="36"/>
      <c r="L72" s="537">
        <f>+J72</f>
        <v>201.75</v>
      </c>
      <c r="M72" s="36"/>
      <c r="N72" s="537">
        <f>+L72</f>
        <v>201.75</v>
      </c>
      <c r="O72" s="36"/>
      <c r="P72" s="537">
        <f>+N72</f>
        <v>201.75</v>
      </c>
      <c r="Q72" s="36"/>
      <c r="R72" s="71"/>
    </row>
    <row r="73" spans="2:18" ht="12.75">
      <c r="B73" s="11"/>
      <c r="C73" s="23"/>
      <c r="D73" s="23"/>
      <c r="E73" s="23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71"/>
    </row>
    <row r="74" spans="2:18" ht="12.75">
      <c r="B74" s="11"/>
      <c r="C74" s="23"/>
      <c r="D74" s="23"/>
      <c r="E74" s="2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71"/>
    </row>
    <row r="75" spans="2:18" ht="12.75">
      <c r="B75" s="11"/>
      <c r="C75" s="23"/>
      <c r="D75" s="28" t="s">
        <v>302</v>
      </c>
      <c r="E75" s="23"/>
      <c r="F75" s="36"/>
      <c r="G75" s="195" t="s">
        <v>163</v>
      </c>
      <c r="H75" s="195"/>
      <c r="I75" s="195" t="s">
        <v>163</v>
      </c>
      <c r="J75" s="195"/>
      <c r="K75" s="195" t="s">
        <v>163</v>
      </c>
      <c r="L75" s="195"/>
      <c r="M75" s="195" t="s">
        <v>163</v>
      </c>
      <c r="N75" s="195"/>
      <c r="O75" s="195" t="s">
        <v>163</v>
      </c>
      <c r="P75" s="195"/>
      <c r="Q75" s="36"/>
      <c r="R75" s="71"/>
    </row>
    <row r="76" spans="2:18" ht="12.75">
      <c r="B76" s="11"/>
      <c r="C76" s="23"/>
      <c r="D76" s="23" t="s">
        <v>82</v>
      </c>
      <c r="E76" s="23"/>
      <c r="F76" s="36"/>
      <c r="G76" s="538">
        <f>ROUND(G60*G31,2)</f>
        <v>2626.71</v>
      </c>
      <c r="H76" s="528"/>
      <c r="I76" s="538">
        <f>ROUND(I60*H31,2)</f>
        <v>2663.48</v>
      </c>
      <c r="J76" s="528"/>
      <c r="K76" s="538">
        <f>ROUND(K60*I31,2)</f>
        <v>2663.48</v>
      </c>
      <c r="L76" s="528"/>
      <c r="M76" s="538">
        <f>ROUND(M60*J31,2)</f>
        <v>2663.48</v>
      </c>
      <c r="N76" s="528"/>
      <c r="O76" s="538">
        <f>ROUND(O60*K31,2)</f>
        <v>2663.48</v>
      </c>
      <c r="P76" s="528"/>
      <c r="Q76" s="36"/>
      <c r="R76" s="71"/>
    </row>
    <row r="77" spans="2:18" ht="12.75">
      <c r="B77" s="11"/>
      <c r="C77" s="23"/>
      <c r="D77" s="23" t="s">
        <v>83</v>
      </c>
      <c r="E77" s="23"/>
      <c r="F77" s="36"/>
      <c r="G77" s="538">
        <f>ROUND(G61*G31,2)</f>
        <v>3754.1</v>
      </c>
      <c r="H77" s="528"/>
      <c r="I77" s="538">
        <f>ROUND(I61*H31,2)</f>
        <v>3806.66</v>
      </c>
      <c r="J77" s="528"/>
      <c r="K77" s="538">
        <f>ROUND(K61*I31,2)</f>
        <v>3806.66</v>
      </c>
      <c r="L77" s="528"/>
      <c r="M77" s="538">
        <f>ROUND(M61*J31,2)</f>
        <v>3806.66</v>
      </c>
      <c r="N77" s="528"/>
      <c r="O77" s="538">
        <f>ROUND(O61*K31,2)</f>
        <v>3806.66</v>
      </c>
      <c r="P77" s="528"/>
      <c r="Q77" s="36"/>
      <c r="R77" s="71"/>
    </row>
    <row r="78" spans="2:18" ht="12.75">
      <c r="B78" s="11"/>
      <c r="C78" s="23"/>
      <c r="D78" s="23" t="s">
        <v>84</v>
      </c>
      <c r="E78" s="23"/>
      <c r="F78" s="36"/>
      <c r="G78" s="538">
        <f>ROUND(G62*G31,2)</f>
        <v>2330.33</v>
      </c>
      <c r="H78" s="528"/>
      <c r="I78" s="538">
        <f>ROUND(I62*H31,2)</f>
        <v>2362.96</v>
      </c>
      <c r="J78" s="528"/>
      <c r="K78" s="538">
        <f>ROUND(K62*I31,2)</f>
        <v>2362.96</v>
      </c>
      <c r="L78" s="528"/>
      <c r="M78" s="538">
        <f>ROUND(M62*J31,2)</f>
        <v>2362.96</v>
      </c>
      <c r="N78" s="528"/>
      <c r="O78" s="538">
        <f>ROUND(O62*K31,2)</f>
        <v>2362.96</v>
      </c>
      <c r="P78" s="528"/>
      <c r="Q78" s="36"/>
      <c r="R78" s="71"/>
    </row>
    <row r="79" spans="2:18" ht="12.75">
      <c r="B79" s="11"/>
      <c r="C79" s="23"/>
      <c r="D79" s="23" t="s">
        <v>304</v>
      </c>
      <c r="E79" s="23"/>
      <c r="F79" s="36"/>
      <c r="G79" s="538">
        <f>ROUND(G63*G31,2)</f>
        <v>6380.81</v>
      </c>
      <c r="H79" s="36"/>
      <c r="I79" s="538">
        <f>ROUND(I63*H31,2)</f>
        <v>6470.14</v>
      </c>
      <c r="J79" s="36"/>
      <c r="K79" s="538">
        <f>ROUND(K63*I31,2)</f>
        <v>6470.14</v>
      </c>
      <c r="L79" s="36"/>
      <c r="M79" s="538">
        <f>ROUND(M63*J31,2)</f>
        <v>6470.14</v>
      </c>
      <c r="N79" s="36"/>
      <c r="O79" s="538">
        <f>ROUND(O63*K31,2)</f>
        <v>6470.14</v>
      </c>
      <c r="P79" s="36"/>
      <c r="Q79" s="36"/>
      <c r="R79" s="71"/>
    </row>
    <row r="80" spans="2:18" ht="12.75">
      <c r="B80" s="11"/>
      <c r="C80" s="23"/>
      <c r="D80" s="23"/>
      <c r="E80" s="23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71"/>
    </row>
    <row r="81" spans="2:18" ht="12.75">
      <c r="B81" s="11"/>
      <c r="C81" s="23"/>
      <c r="D81" s="23"/>
      <c r="E81" s="23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71"/>
    </row>
    <row r="82" spans="2:18" ht="12.75">
      <c r="B82" s="11"/>
      <c r="C82" s="23"/>
      <c r="D82" s="28" t="s">
        <v>309</v>
      </c>
      <c r="E82" s="23"/>
      <c r="F82" s="36"/>
      <c r="G82" s="560" t="str">
        <f>G52</f>
        <v>2007/08</v>
      </c>
      <c r="H82" s="36"/>
      <c r="I82" s="560" t="str">
        <f>I52</f>
        <v>2008/09</v>
      </c>
      <c r="J82" s="36"/>
      <c r="K82" s="560" t="str">
        <f>K52</f>
        <v>2009/10</v>
      </c>
      <c r="L82" s="36"/>
      <c r="M82" s="560" t="str">
        <f>M52</f>
        <v>2010/11</v>
      </c>
      <c r="N82" s="36"/>
      <c r="O82" s="560" t="str">
        <f>O52</f>
        <v>2011/12</v>
      </c>
      <c r="P82" s="36"/>
      <c r="Q82" s="36"/>
      <c r="R82" s="71"/>
    </row>
    <row r="83" spans="2:18" ht="12.75">
      <c r="B83" s="11"/>
      <c r="C83" s="23"/>
      <c r="D83" s="23" t="s">
        <v>485</v>
      </c>
      <c r="E83" s="23"/>
      <c r="F83" s="36"/>
      <c r="G83" s="542">
        <v>56.36</v>
      </c>
      <c r="H83" s="187"/>
      <c r="I83" s="542">
        <v>56.49</v>
      </c>
      <c r="J83" s="187"/>
      <c r="K83" s="543">
        <f>+I83</f>
        <v>56.49</v>
      </c>
      <c r="L83" s="207"/>
      <c r="M83" s="543">
        <f>+K83</f>
        <v>56.49</v>
      </c>
      <c r="N83" s="207"/>
      <c r="O83" s="543">
        <f>+M83</f>
        <v>56.49</v>
      </c>
      <c r="P83" s="36"/>
      <c r="Q83" s="36"/>
      <c r="R83" s="71"/>
    </row>
    <row r="84" spans="2:18" ht="12.75">
      <c r="B84" s="11"/>
      <c r="C84" s="23"/>
      <c r="D84" s="23"/>
      <c r="E84" s="2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71"/>
    </row>
    <row r="85" spans="2:18" ht="12.75">
      <c r="B85" s="11"/>
      <c r="C85" s="23"/>
      <c r="D85" s="23"/>
      <c r="E85" s="23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71"/>
    </row>
    <row r="86" spans="2:20" ht="12.75">
      <c r="B86" s="11"/>
      <c r="C86" s="23"/>
      <c r="D86" s="534" t="s">
        <v>343</v>
      </c>
      <c r="E86" s="23"/>
      <c r="F86" s="532"/>
      <c r="G86" s="539" t="s">
        <v>344</v>
      </c>
      <c r="H86" s="539" t="s">
        <v>345</v>
      </c>
      <c r="I86" s="539"/>
      <c r="J86" s="574"/>
      <c r="K86" s="23"/>
      <c r="L86" s="23"/>
      <c r="M86" s="601"/>
      <c r="N86" s="601"/>
      <c r="O86" s="530"/>
      <c r="P86" s="601"/>
      <c r="Q86" s="601"/>
      <c r="R86" s="535"/>
      <c r="S86" s="492"/>
      <c r="T86" s="492"/>
    </row>
    <row r="87" spans="2:18" ht="12.75">
      <c r="B87" s="11"/>
      <c r="C87" s="23"/>
      <c r="D87" s="525" t="s">
        <v>340</v>
      </c>
      <c r="E87" s="575" t="str">
        <f>G11</f>
        <v>2007/08</v>
      </c>
      <c r="F87" s="23"/>
      <c r="G87" s="546">
        <v>0.503</v>
      </c>
      <c r="H87" s="546">
        <f>G87</f>
        <v>0.503</v>
      </c>
      <c r="I87" s="540">
        <f>G87</f>
        <v>0.503</v>
      </c>
      <c r="J87" s="540">
        <f>I87</f>
        <v>0.503</v>
      </c>
      <c r="K87" s="23"/>
      <c r="L87" s="23"/>
      <c r="M87" s="531"/>
      <c r="N87" s="23"/>
      <c r="O87" s="23"/>
      <c r="P87" s="36"/>
      <c r="Q87" s="36"/>
      <c r="R87" s="71"/>
    </row>
    <row r="88" spans="2:18" ht="12.75">
      <c r="B88" s="11"/>
      <c r="C88" s="23"/>
      <c r="D88" s="525" t="s">
        <v>341</v>
      </c>
      <c r="E88" s="23"/>
      <c r="F88" s="532"/>
      <c r="G88" s="546">
        <v>0.35</v>
      </c>
      <c r="H88" s="546">
        <v>0.25</v>
      </c>
      <c r="I88" s="540">
        <f>G88</f>
        <v>0.35</v>
      </c>
      <c r="J88" s="540">
        <f>H88</f>
        <v>0.25</v>
      </c>
      <c r="K88" s="23"/>
      <c r="L88" s="23"/>
      <c r="M88" s="531"/>
      <c r="N88" s="23"/>
      <c r="O88" s="23"/>
      <c r="P88" s="36"/>
      <c r="Q88" s="36"/>
      <c r="R88" s="71"/>
    </row>
    <row r="89" spans="2:18" ht="12.75">
      <c r="B89" s="11"/>
      <c r="C89" s="23"/>
      <c r="D89" s="525" t="s">
        <v>342</v>
      </c>
      <c r="E89" s="23"/>
      <c r="F89" s="532"/>
      <c r="G89" s="541">
        <f>G87-G88</f>
        <v>0.15300000000000002</v>
      </c>
      <c r="H89" s="541">
        <f>H87-H88</f>
        <v>0.253</v>
      </c>
      <c r="I89" s="541">
        <f>I87-I88</f>
        <v>0.15300000000000002</v>
      </c>
      <c r="J89" s="541">
        <f>J87-J88</f>
        <v>0.253</v>
      </c>
      <c r="K89" s="23"/>
      <c r="L89" s="23"/>
      <c r="M89" s="531"/>
      <c r="N89" s="23"/>
      <c r="O89" s="23"/>
      <c r="P89" s="36"/>
      <c r="Q89" s="36"/>
      <c r="R89" s="71"/>
    </row>
    <row r="90" spans="2:18" ht="12.75">
      <c r="B90" s="11"/>
      <c r="C90" s="23"/>
      <c r="D90" s="23"/>
      <c r="E90" s="23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71"/>
    </row>
    <row r="91" spans="2:18" ht="12.75">
      <c r="B91" s="11"/>
      <c r="R91" s="71"/>
    </row>
    <row r="92" spans="2:18" ht="13.5" thickBot="1">
      <c r="B92" s="59"/>
      <c r="C92" s="60"/>
      <c r="D92" s="60"/>
      <c r="E92" s="60"/>
      <c r="F92" s="567"/>
      <c r="G92" s="567"/>
      <c r="H92" s="567"/>
      <c r="I92" s="567"/>
      <c r="J92" s="567"/>
      <c r="K92" s="567"/>
      <c r="L92" s="567"/>
      <c r="M92" s="567"/>
      <c r="N92" s="567"/>
      <c r="O92" s="567"/>
      <c r="P92" s="567"/>
      <c r="Q92" s="567"/>
      <c r="R92" s="568"/>
    </row>
    <row r="93" ht="12.75"/>
    <row r="94" spans="4:16" ht="12.75">
      <c r="D94" s="470" t="s">
        <v>183</v>
      </c>
      <c r="E94" s="576">
        <v>39295</v>
      </c>
      <c r="F94" s="469"/>
      <c r="G94" s="469"/>
      <c r="H94" s="469"/>
      <c r="I94" s="469"/>
      <c r="M94" s="469"/>
      <c r="N94" s="469"/>
      <c r="O94" s="469"/>
      <c r="P94" s="469"/>
    </row>
    <row r="95" spans="4:26" ht="12.75">
      <c r="D95" s="468" t="s">
        <v>184</v>
      </c>
      <c r="E95" s="473">
        <v>1</v>
      </c>
      <c r="F95" s="524">
        <v>2</v>
      </c>
      <c r="G95" s="524">
        <v>3</v>
      </c>
      <c r="H95" s="524">
        <v>4</v>
      </c>
      <c r="I95" s="524">
        <v>5</v>
      </c>
      <c r="J95" s="524">
        <v>6</v>
      </c>
      <c r="K95" s="524">
        <v>7</v>
      </c>
      <c r="L95" s="524">
        <v>8</v>
      </c>
      <c r="M95" s="524">
        <v>9</v>
      </c>
      <c r="N95" s="524">
        <v>10</v>
      </c>
      <c r="O95" s="524">
        <v>11</v>
      </c>
      <c r="P95" s="524">
        <v>12</v>
      </c>
      <c r="Q95" s="524">
        <v>13</v>
      </c>
      <c r="R95" s="524">
        <v>14</v>
      </c>
      <c r="S95" s="524">
        <v>15</v>
      </c>
      <c r="T95" s="524">
        <v>16</v>
      </c>
      <c r="U95" s="524">
        <v>17</v>
      </c>
      <c r="V95" s="524">
        <v>18</v>
      </c>
      <c r="W95" s="524">
        <v>19</v>
      </c>
      <c r="X95" s="524">
        <v>20</v>
      </c>
      <c r="Y95" s="524" t="s">
        <v>185</v>
      </c>
      <c r="Z95" s="468"/>
    </row>
    <row r="96" spans="4:26" ht="12.75">
      <c r="D96" s="471" t="s">
        <v>297</v>
      </c>
      <c r="E96" s="577">
        <v>2549</v>
      </c>
      <c r="F96" s="577">
        <v>2649</v>
      </c>
      <c r="G96" s="577">
        <v>2750</v>
      </c>
      <c r="H96" s="577">
        <v>2849</v>
      </c>
      <c r="I96" s="577">
        <v>2949</v>
      </c>
      <c r="J96" s="577">
        <v>3051</v>
      </c>
      <c r="K96" s="577">
        <v>3151</v>
      </c>
      <c r="L96" s="577">
        <v>3251</v>
      </c>
      <c r="M96" s="577">
        <v>3350</v>
      </c>
      <c r="N96" s="577">
        <v>3451</v>
      </c>
      <c r="O96" s="577">
        <v>3553</v>
      </c>
      <c r="P96" s="577"/>
      <c r="Q96" s="577"/>
      <c r="R96" s="577"/>
      <c r="S96" s="577"/>
      <c r="T96" s="577"/>
      <c r="U96" s="577"/>
      <c r="V96" s="577"/>
      <c r="W96" s="577"/>
      <c r="X96" s="577"/>
      <c r="Y96" s="469">
        <f>COUNTA(E96:X96)</f>
        <v>11</v>
      </c>
      <c r="Z96" s="468"/>
    </row>
    <row r="97" spans="4:26" ht="12.75">
      <c r="D97" s="471" t="s">
        <v>229</v>
      </c>
      <c r="E97" s="577">
        <v>2549</v>
      </c>
      <c r="F97" s="577">
        <v>2649</v>
      </c>
      <c r="G97" s="577">
        <v>2750</v>
      </c>
      <c r="H97" s="577">
        <v>2849</v>
      </c>
      <c r="I97" s="577">
        <v>2949</v>
      </c>
      <c r="J97" s="577">
        <v>3051</v>
      </c>
      <c r="K97" s="577">
        <v>3151</v>
      </c>
      <c r="L97" s="577">
        <v>3251</v>
      </c>
      <c r="M97" s="577">
        <v>3350</v>
      </c>
      <c r="N97" s="577">
        <v>3451</v>
      </c>
      <c r="O97" s="577">
        <v>3553</v>
      </c>
      <c r="P97" s="577">
        <v>3653</v>
      </c>
      <c r="Q97" s="577">
        <v>3754</v>
      </c>
      <c r="R97" s="577"/>
      <c r="S97" s="577"/>
      <c r="T97" s="577"/>
      <c r="U97" s="577"/>
      <c r="V97" s="577"/>
      <c r="W97" s="577"/>
      <c r="X97" s="577"/>
      <c r="Y97" s="469">
        <f aca="true" t="shared" si="4" ref="Y97:Y140">COUNTA(E97:X97)</f>
        <v>13</v>
      </c>
      <c r="Z97" s="468"/>
    </row>
    <row r="98" spans="4:27" ht="12.75">
      <c r="D98" s="471" t="s">
        <v>230</v>
      </c>
      <c r="E98" s="577">
        <v>2649</v>
      </c>
      <c r="F98" s="577">
        <v>2849</v>
      </c>
      <c r="G98" s="577">
        <v>3051</v>
      </c>
      <c r="H98" s="577">
        <v>3151</v>
      </c>
      <c r="I98" s="577">
        <v>3251</v>
      </c>
      <c r="J98" s="577">
        <v>3350</v>
      </c>
      <c r="K98" s="577">
        <v>3451</v>
      </c>
      <c r="L98" s="577">
        <v>3553</v>
      </c>
      <c r="M98" s="577">
        <v>3653</v>
      </c>
      <c r="N98" s="577">
        <v>3754</v>
      </c>
      <c r="O98" s="577">
        <v>3855</v>
      </c>
      <c r="P98" s="577">
        <v>3954</v>
      </c>
      <c r="Q98" s="577">
        <v>4055</v>
      </c>
      <c r="R98" s="577">
        <v>4154</v>
      </c>
      <c r="S98" s="577">
        <v>4256</v>
      </c>
      <c r="T98" s="577"/>
      <c r="U98" s="577"/>
      <c r="V98" s="577"/>
      <c r="W98" s="577"/>
      <c r="X98" s="577"/>
      <c r="Y98" s="469">
        <f t="shared" si="4"/>
        <v>15</v>
      </c>
      <c r="Z98" s="468"/>
      <c r="AA98" s="468"/>
    </row>
    <row r="99" spans="4:26" ht="12.75">
      <c r="D99" s="471" t="s">
        <v>231</v>
      </c>
      <c r="E99" s="577">
        <v>2649</v>
      </c>
      <c r="F99" s="577">
        <v>2849</v>
      </c>
      <c r="G99" s="577">
        <v>3051</v>
      </c>
      <c r="H99" s="577">
        <v>3151</v>
      </c>
      <c r="I99" s="577">
        <v>3251</v>
      </c>
      <c r="J99" s="577">
        <v>3350</v>
      </c>
      <c r="K99" s="577">
        <v>3451</v>
      </c>
      <c r="L99" s="577">
        <v>3553</v>
      </c>
      <c r="M99" s="577">
        <v>3653</v>
      </c>
      <c r="N99" s="577">
        <v>3754</v>
      </c>
      <c r="O99" s="577">
        <v>3855</v>
      </c>
      <c r="P99" s="577">
        <v>3954</v>
      </c>
      <c r="Q99" s="577">
        <v>4055</v>
      </c>
      <c r="R99" s="577">
        <v>4154</v>
      </c>
      <c r="S99" s="577">
        <v>4256</v>
      </c>
      <c r="T99" s="577">
        <v>4356</v>
      </c>
      <c r="U99" s="577">
        <v>4457</v>
      </c>
      <c r="V99" s="577"/>
      <c r="W99" s="577"/>
      <c r="X99" s="577"/>
      <c r="Y99" s="469">
        <f t="shared" si="4"/>
        <v>17</v>
      </c>
      <c r="Z99" s="468"/>
    </row>
    <row r="100" spans="4:26" ht="12.75">
      <c r="D100" s="471" t="s">
        <v>232</v>
      </c>
      <c r="E100" s="577">
        <v>2649</v>
      </c>
      <c r="F100" s="577">
        <v>2849</v>
      </c>
      <c r="G100" s="577">
        <v>3051</v>
      </c>
      <c r="H100" s="577">
        <v>3151</v>
      </c>
      <c r="I100" s="577">
        <v>3251</v>
      </c>
      <c r="J100" s="577">
        <v>3350</v>
      </c>
      <c r="K100" s="577">
        <v>3451</v>
      </c>
      <c r="L100" s="577">
        <v>3553</v>
      </c>
      <c r="M100" s="577">
        <v>3653</v>
      </c>
      <c r="N100" s="577">
        <v>3754</v>
      </c>
      <c r="O100" s="577"/>
      <c r="P100" s="577"/>
      <c r="Q100" s="577"/>
      <c r="R100" s="577"/>
      <c r="S100" s="577"/>
      <c r="T100" s="577"/>
      <c r="U100" s="577"/>
      <c r="V100" s="577"/>
      <c r="W100" s="577"/>
      <c r="X100" s="577"/>
      <c r="Y100" s="469">
        <f t="shared" si="4"/>
        <v>10</v>
      </c>
      <c r="Z100" s="468"/>
    </row>
    <row r="101" spans="4:26" ht="12.75">
      <c r="D101" s="471" t="s">
        <v>233</v>
      </c>
      <c r="E101" s="577">
        <v>2649</v>
      </c>
      <c r="F101" s="577">
        <v>2849</v>
      </c>
      <c r="G101" s="577">
        <v>3051</v>
      </c>
      <c r="H101" s="577">
        <v>3151</v>
      </c>
      <c r="I101" s="577">
        <v>3251</v>
      </c>
      <c r="J101" s="577">
        <v>3350</v>
      </c>
      <c r="K101" s="577">
        <v>3451</v>
      </c>
      <c r="L101" s="577">
        <v>3553</v>
      </c>
      <c r="M101" s="577">
        <v>3653</v>
      </c>
      <c r="N101" s="577">
        <v>3754</v>
      </c>
      <c r="O101" s="577">
        <v>3855</v>
      </c>
      <c r="P101" s="577"/>
      <c r="Q101" s="577"/>
      <c r="R101" s="577"/>
      <c r="S101" s="577"/>
      <c r="T101" s="577"/>
      <c r="U101" s="577"/>
      <c r="V101" s="577"/>
      <c r="W101" s="577"/>
      <c r="X101" s="577"/>
      <c r="Y101" s="469">
        <f t="shared" si="4"/>
        <v>11</v>
      </c>
      <c r="Z101" s="468"/>
    </row>
    <row r="102" spans="4:26" ht="12.75">
      <c r="D102" s="471" t="s">
        <v>234</v>
      </c>
      <c r="E102" s="577">
        <v>2750</v>
      </c>
      <c r="F102" s="577">
        <v>3051</v>
      </c>
      <c r="G102" s="577">
        <v>3251</v>
      </c>
      <c r="H102" s="577">
        <v>3451</v>
      </c>
      <c r="I102" s="577">
        <v>3653</v>
      </c>
      <c r="J102" s="577">
        <v>3754</v>
      </c>
      <c r="K102" s="577">
        <v>3855</v>
      </c>
      <c r="L102" s="577">
        <v>3954</v>
      </c>
      <c r="M102" s="577">
        <v>4055</v>
      </c>
      <c r="N102" s="577">
        <v>4154</v>
      </c>
      <c r="O102" s="577">
        <v>4256</v>
      </c>
      <c r="P102" s="577">
        <v>4356</v>
      </c>
      <c r="Q102" s="577">
        <v>4457</v>
      </c>
      <c r="R102" s="577"/>
      <c r="S102" s="577"/>
      <c r="T102" s="577"/>
      <c r="U102" s="577"/>
      <c r="V102" s="577"/>
      <c r="W102" s="577"/>
      <c r="X102" s="577"/>
      <c r="Y102" s="469">
        <f t="shared" si="4"/>
        <v>13</v>
      </c>
      <c r="Z102" s="468"/>
    </row>
    <row r="103" spans="4:26" ht="12.75">
      <c r="D103" s="471" t="s">
        <v>235</v>
      </c>
      <c r="E103" s="577">
        <v>2750</v>
      </c>
      <c r="F103" s="577">
        <v>3051</v>
      </c>
      <c r="G103" s="577">
        <v>3251</v>
      </c>
      <c r="H103" s="577">
        <v>3451</v>
      </c>
      <c r="I103" s="577">
        <v>3653</v>
      </c>
      <c r="J103" s="577">
        <v>3754</v>
      </c>
      <c r="K103" s="577">
        <v>3855</v>
      </c>
      <c r="L103" s="577">
        <v>3954</v>
      </c>
      <c r="M103" s="577">
        <v>4055</v>
      </c>
      <c r="N103" s="577">
        <v>4154</v>
      </c>
      <c r="O103" s="577">
        <v>4256</v>
      </c>
      <c r="P103" s="577">
        <v>4356</v>
      </c>
      <c r="Q103" s="577">
        <v>4457</v>
      </c>
      <c r="R103" s="577">
        <v>4556</v>
      </c>
      <c r="S103" s="577">
        <v>4657</v>
      </c>
      <c r="T103" s="577"/>
      <c r="U103" s="577"/>
      <c r="V103" s="577"/>
      <c r="W103" s="577"/>
      <c r="X103" s="577"/>
      <c r="Y103" s="469">
        <f t="shared" si="4"/>
        <v>15</v>
      </c>
      <c r="Z103" s="468"/>
    </row>
    <row r="104" spans="4:26" ht="12.75">
      <c r="D104" s="472" t="s">
        <v>186</v>
      </c>
      <c r="E104" s="577">
        <v>2549</v>
      </c>
      <c r="F104" s="577">
        <v>2649</v>
      </c>
      <c r="G104" s="577">
        <v>2750</v>
      </c>
      <c r="H104" s="577">
        <v>2849</v>
      </c>
      <c r="I104" s="577">
        <v>2949</v>
      </c>
      <c r="J104" s="577">
        <v>3051</v>
      </c>
      <c r="K104" s="577">
        <v>3151</v>
      </c>
      <c r="L104" s="577">
        <v>3251</v>
      </c>
      <c r="M104" s="577">
        <v>3350</v>
      </c>
      <c r="N104" s="577">
        <v>3451</v>
      </c>
      <c r="O104" s="577">
        <v>3553</v>
      </c>
      <c r="P104" s="577">
        <v>3653</v>
      </c>
      <c r="Q104" s="577">
        <v>3754</v>
      </c>
      <c r="R104" s="577"/>
      <c r="S104" s="577"/>
      <c r="T104" s="577"/>
      <c r="U104" s="577"/>
      <c r="V104" s="577"/>
      <c r="W104" s="577"/>
      <c r="X104" s="577"/>
      <c r="Y104" s="469">
        <f t="shared" si="4"/>
        <v>13</v>
      </c>
      <c r="Z104" s="468"/>
    </row>
    <row r="105" spans="4:26" ht="12.75">
      <c r="D105" s="472" t="s">
        <v>187</v>
      </c>
      <c r="E105" s="577">
        <v>2649</v>
      </c>
      <c r="F105" s="577">
        <v>2849</v>
      </c>
      <c r="G105" s="577">
        <v>3051</v>
      </c>
      <c r="H105" s="577">
        <v>3151</v>
      </c>
      <c r="I105" s="577">
        <v>3251</v>
      </c>
      <c r="J105" s="577">
        <v>3350</v>
      </c>
      <c r="K105" s="577">
        <v>3451</v>
      </c>
      <c r="L105" s="577">
        <v>3553</v>
      </c>
      <c r="M105" s="577">
        <v>3653</v>
      </c>
      <c r="N105" s="577">
        <v>3754</v>
      </c>
      <c r="O105" s="577">
        <v>3855</v>
      </c>
      <c r="P105" s="577">
        <v>3954</v>
      </c>
      <c r="Q105" s="577">
        <v>4055</v>
      </c>
      <c r="R105" s="577">
        <v>4154</v>
      </c>
      <c r="S105" s="577">
        <v>4256</v>
      </c>
      <c r="T105" s="577"/>
      <c r="U105" s="577"/>
      <c r="V105" s="577"/>
      <c r="W105" s="577"/>
      <c r="X105" s="577"/>
      <c r="Y105" s="469">
        <f t="shared" si="4"/>
        <v>15</v>
      </c>
      <c r="Z105" s="468"/>
    </row>
    <row r="106" spans="4:26" ht="12.75">
      <c r="D106" s="472" t="s">
        <v>188</v>
      </c>
      <c r="E106" s="577">
        <v>2649</v>
      </c>
      <c r="F106" s="577">
        <v>2849</v>
      </c>
      <c r="G106" s="577">
        <v>3051</v>
      </c>
      <c r="H106" s="577">
        <v>3151</v>
      </c>
      <c r="I106" s="577">
        <v>3251</v>
      </c>
      <c r="J106" s="577">
        <v>3350</v>
      </c>
      <c r="K106" s="577">
        <v>3451</v>
      </c>
      <c r="L106" s="577">
        <v>3553</v>
      </c>
      <c r="M106" s="577">
        <v>3653</v>
      </c>
      <c r="N106" s="577">
        <v>3754</v>
      </c>
      <c r="O106" s="577">
        <v>3855</v>
      </c>
      <c r="P106" s="577">
        <v>3954</v>
      </c>
      <c r="Q106" s="577">
        <v>4055</v>
      </c>
      <c r="R106" s="577">
        <v>4154</v>
      </c>
      <c r="S106" s="577">
        <v>4256</v>
      </c>
      <c r="T106" s="577">
        <v>4356</v>
      </c>
      <c r="U106" s="577">
        <v>4457</v>
      </c>
      <c r="V106" s="577"/>
      <c r="W106" s="577"/>
      <c r="X106" s="577"/>
      <c r="Y106" s="469">
        <f t="shared" si="4"/>
        <v>17</v>
      </c>
      <c r="Z106" s="468"/>
    </row>
    <row r="107" spans="4:26" ht="12.75">
      <c r="D107" s="472" t="s">
        <v>189</v>
      </c>
      <c r="E107" s="577">
        <v>2750</v>
      </c>
      <c r="F107" s="577">
        <v>3051</v>
      </c>
      <c r="G107" s="577">
        <v>3251</v>
      </c>
      <c r="H107" s="577">
        <v>3451</v>
      </c>
      <c r="I107" s="577">
        <v>3653</v>
      </c>
      <c r="J107" s="577">
        <v>3754</v>
      </c>
      <c r="K107" s="577">
        <v>3855</v>
      </c>
      <c r="L107" s="577">
        <v>3954</v>
      </c>
      <c r="M107" s="577">
        <v>4055</v>
      </c>
      <c r="N107" s="577">
        <v>4154</v>
      </c>
      <c r="O107" s="577">
        <v>4256</v>
      </c>
      <c r="P107" s="577">
        <v>4356</v>
      </c>
      <c r="Q107" s="577">
        <v>4457</v>
      </c>
      <c r="R107" s="577">
        <v>4556</v>
      </c>
      <c r="S107" s="577">
        <v>4657</v>
      </c>
      <c r="T107" s="577">
        <v>4758</v>
      </c>
      <c r="U107" s="577"/>
      <c r="V107" s="577"/>
      <c r="W107" s="577"/>
      <c r="X107" s="577"/>
      <c r="Y107" s="469">
        <f t="shared" si="4"/>
        <v>16</v>
      </c>
      <c r="Z107" s="468"/>
    </row>
    <row r="108" spans="4:26" ht="12.75">
      <c r="D108" s="472" t="s">
        <v>190</v>
      </c>
      <c r="E108" s="577">
        <v>2750</v>
      </c>
      <c r="F108" s="577">
        <v>3051</v>
      </c>
      <c r="G108" s="577">
        <v>3251</v>
      </c>
      <c r="H108" s="577">
        <v>3451</v>
      </c>
      <c r="I108" s="577">
        <v>3653</v>
      </c>
      <c r="J108" s="577">
        <v>3754</v>
      </c>
      <c r="K108" s="577">
        <v>3855</v>
      </c>
      <c r="L108" s="577">
        <v>3954</v>
      </c>
      <c r="M108" s="577">
        <v>4055</v>
      </c>
      <c r="N108" s="577">
        <v>4154</v>
      </c>
      <c r="O108" s="577">
        <v>4256</v>
      </c>
      <c r="P108" s="577">
        <v>4356</v>
      </c>
      <c r="Q108" s="577">
        <v>4457</v>
      </c>
      <c r="R108" s="577">
        <v>4556</v>
      </c>
      <c r="S108" s="577">
        <v>4657</v>
      </c>
      <c r="T108" s="577">
        <v>4758</v>
      </c>
      <c r="U108" s="577">
        <v>4858</v>
      </c>
      <c r="V108" s="577">
        <v>4958</v>
      </c>
      <c r="W108" s="577"/>
      <c r="X108" s="577"/>
      <c r="Y108" s="469">
        <f t="shared" si="4"/>
        <v>18</v>
      </c>
      <c r="Z108" s="468"/>
    </row>
    <row r="109" spans="4:26" ht="12.75">
      <c r="D109" s="472" t="s">
        <v>191</v>
      </c>
      <c r="E109" s="577">
        <v>2784</v>
      </c>
      <c r="F109" s="577">
        <v>2991</v>
      </c>
      <c r="G109" s="577">
        <v>3204</v>
      </c>
      <c r="H109" s="577">
        <v>3407</v>
      </c>
      <c r="I109" s="577">
        <v>3632</v>
      </c>
      <c r="J109" s="577">
        <v>3741</v>
      </c>
      <c r="K109" s="577">
        <v>3845</v>
      </c>
      <c r="L109" s="577">
        <v>3951</v>
      </c>
      <c r="M109" s="577">
        <v>4053</v>
      </c>
      <c r="N109" s="577">
        <v>4161</v>
      </c>
      <c r="O109" s="577">
        <v>4267</v>
      </c>
      <c r="P109" s="577">
        <v>4369</v>
      </c>
      <c r="Q109" s="577">
        <v>4475</v>
      </c>
      <c r="R109" s="577">
        <v>4607</v>
      </c>
      <c r="S109" s="577">
        <v>4739</v>
      </c>
      <c r="T109" s="577">
        <v>4871</v>
      </c>
      <c r="U109" s="577">
        <v>5003</v>
      </c>
      <c r="V109" s="577">
        <v>5067</v>
      </c>
      <c r="W109" s="577"/>
      <c r="X109" s="577"/>
      <c r="Y109" s="469">
        <f t="shared" si="4"/>
        <v>18</v>
      </c>
      <c r="Z109" s="468"/>
    </row>
    <row r="110" spans="4:26" ht="12.75">
      <c r="D110" s="472" t="s">
        <v>192</v>
      </c>
      <c r="E110" s="577">
        <v>2888</v>
      </c>
      <c r="F110" s="577">
        <v>3104</v>
      </c>
      <c r="G110" s="577">
        <v>3306</v>
      </c>
      <c r="H110" s="577">
        <v>3520</v>
      </c>
      <c r="I110" s="577">
        <v>3741</v>
      </c>
      <c r="J110" s="577">
        <v>3951</v>
      </c>
      <c r="K110" s="577">
        <v>4161</v>
      </c>
      <c r="L110" s="577">
        <v>4267</v>
      </c>
      <c r="M110" s="577">
        <v>4369</v>
      </c>
      <c r="N110" s="577">
        <v>4475</v>
      </c>
      <c r="O110" s="577">
        <v>4607</v>
      </c>
      <c r="P110" s="577">
        <v>4739</v>
      </c>
      <c r="Q110" s="577">
        <v>4871</v>
      </c>
      <c r="R110" s="577">
        <v>5003</v>
      </c>
      <c r="S110" s="577">
        <v>5136</v>
      </c>
      <c r="T110" s="577">
        <v>5277</v>
      </c>
      <c r="U110" s="577">
        <v>5420</v>
      </c>
      <c r="V110" s="577">
        <v>5568</v>
      </c>
      <c r="W110" s="577"/>
      <c r="X110" s="577"/>
      <c r="Y110" s="469">
        <f t="shared" si="4"/>
        <v>18</v>
      </c>
      <c r="Z110" s="468"/>
    </row>
    <row r="111" spans="4:26" ht="12.75">
      <c r="D111" s="472" t="s">
        <v>193</v>
      </c>
      <c r="E111" s="577">
        <v>2223</v>
      </c>
      <c r="F111" s="577">
        <v>2328</v>
      </c>
      <c r="G111" s="577">
        <v>2433</v>
      </c>
      <c r="H111" s="577">
        <v>2548</v>
      </c>
      <c r="I111" s="577">
        <v>2674</v>
      </c>
      <c r="J111" s="577">
        <v>2783</v>
      </c>
      <c r="K111" s="577">
        <v>2892</v>
      </c>
      <c r="L111" s="577">
        <v>2997</v>
      </c>
      <c r="M111" s="577">
        <v>3099</v>
      </c>
      <c r="N111" s="577">
        <v>3212</v>
      </c>
      <c r="O111" s="577">
        <v>3313</v>
      </c>
      <c r="P111" s="577"/>
      <c r="Q111" s="577"/>
      <c r="R111" s="577"/>
      <c r="S111" s="577"/>
      <c r="T111" s="577"/>
      <c r="U111" s="577"/>
      <c r="V111" s="577"/>
      <c r="W111" s="577"/>
      <c r="X111" s="577"/>
      <c r="Y111" s="469">
        <f t="shared" si="4"/>
        <v>11</v>
      </c>
      <c r="Z111" s="468"/>
    </row>
    <row r="112" spans="4:26" ht="12.75">
      <c r="D112" s="472" t="s">
        <v>194</v>
      </c>
      <c r="E112" s="577">
        <v>2275</v>
      </c>
      <c r="F112" s="577">
        <v>2381</v>
      </c>
      <c r="G112" s="577">
        <v>2494</v>
      </c>
      <c r="H112" s="577">
        <v>2619</v>
      </c>
      <c r="I112" s="577">
        <v>2728</v>
      </c>
      <c r="J112" s="577">
        <v>2838</v>
      </c>
      <c r="K112" s="577">
        <v>2941</v>
      </c>
      <c r="L112" s="577">
        <v>3044</v>
      </c>
      <c r="M112" s="577">
        <v>3157</v>
      </c>
      <c r="N112" s="577">
        <v>3258</v>
      </c>
      <c r="O112" s="577">
        <v>3359</v>
      </c>
      <c r="P112" s="577">
        <v>3460</v>
      </c>
      <c r="Q112" s="577">
        <v>3572</v>
      </c>
      <c r="R112" s="577"/>
      <c r="S112" s="577"/>
      <c r="T112" s="577"/>
      <c r="U112" s="577"/>
      <c r="V112" s="577"/>
      <c r="W112" s="577"/>
      <c r="X112" s="577"/>
      <c r="Y112" s="469">
        <f t="shared" si="4"/>
        <v>13</v>
      </c>
      <c r="Z112" s="468"/>
    </row>
    <row r="113" spans="4:26" ht="12.75">
      <c r="D113" s="472" t="s">
        <v>195</v>
      </c>
      <c r="E113" s="577">
        <v>2325</v>
      </c>
      <c r="F113" s="577">
        <v>2440</v>
      </c>
      <c r="G113" s="577">
        <v>2565</v>
      </c>
      <c r="H113" s="577">
        <v>2674</v>
      </c>
      <c r="I113" s="577">
        <v>2784</v>
      </c>
      <c r="J113" s="577">
        <v>2888</v>
      </c>
      <c r="K113" s="577">
        <v>2991</v>
      </c>
      <c r="L113" s="577">
        <v>3104</v>
      </c>
      <c r="M113" s="577">
        <v>3204</v>
      </c>
      <c r="N113" s="577">
        <v>3306</v>
      </c>
      <c r="O113" s="577">
        <v>3407</v>
      </c>
      <c r="P113" s="577">
        <v>3520</v>
      </c>
      <c r="Q113" s="577">
        <v>3632</v>
      </c>
      <c r="R113" s="577">
        <v>3741</v>
      </c>
      <c r="S113" s="577">
        <v>3845</v>
      </c>
      <c r="T113" s="577">
        <v>3951</v>
      </c>
      <c r="U113" s="577">
        <v>4053</v>
      </c>
      <c r="V113" s="577">
        <v>4107</v>
      </c>
      <c r="W113" s="577"/>
      <c r="X113" s="577"/>
      <c r="Y113" s="469">
        <f t="shared" si="4"/>
        <v>18</v>
      </c>
      <c r="Z113" s="468"/>
    </row>
    <row r="114" spans="4:26" ht="12.75">
      <c r="D114" s="472" t="s">
        <v>196</v>
      </c>
      <c r="E114" s="577">
        <v>2440</v>
      </c>
      <c r="F114" s="577">
        <v>2565</v>
      </c>
      <c r="G114" s="577">
        <v>2784</v>
      </c>
      <c r="H114" s="577">
        <v>2991</v>
      </c>
      <c r="I114" s="577">
        <v>3104</v>
      </c>
      <c r="J114" s="577">
        <v>3204</v>
      </c>
      <c r="K114" s="577">
        <v>3306</v>
      </c>
      <c r="L114" s="577">
        <v>3407</v>
      </c>
      <c r="M114" s="577">
        <v>3520</v>
      </c>
      <c r="N114" s="577">
        <v>3632</v>
      </c>
      <c r="O114" s="577">
        <v>3741</v>
      </c>
      <c r="P114" s="577">
        <v>3845</v>
      </c>
      <c r="Q114" s="577">
        <v>3951</v>
      </c>
      <c r="R114" s="577">
        <v>4053</v>
      </c>
      <c r="S114" s="577">
        <v>4161</v>
      </c>
      <c r="T114" s="577">
        <v>4267</v>
      </c>
      <c r="U114" s="577">
        <v>4369</v>
      </c>
      <c r="V114" s="577">
        <v>4475</v>
      </c>
      <c r="W114" s="577">
        <v>4607</v>
      </c>
      <c r="X114" s="577">
        <v>4672</v>
      </c>
      <c r="Y114" s="469">
        <f t="shared" si="4"/>
        <v>20</v>
      </c>
      <c r="Z114" s="468"/>
    </row>
    <row r="115" spans="4:26" ht="12.75">
      <c r="D115" s="472" t="s">
        <v>197</v>
      </c>
      <c r="E115" s="577">
        <v>2565</v>
      </c>
      <c r="F115" s="577">
        <v>2784</v>
      </c>
      <c r="G115" s="577">
        <v>2991</v>
      </c>
      <c r="H115" s="577">
        <v>3204</v>
      </c>
      <c r="I115" s="577">
        <v>3407</v>
      </c>
      <c r="J115" s="577">
        <v>3632</v>
      </c>
      <c r="K115" s="577">
        <v>3741</v>
      </c>
      <c r="L115" s="577">
        <v>3845</v>
      </c>
      <c r="M115" s="577">
        <v>3951</v>
      </c>
      <c r="N115" s="577">
        <v>4053</v>
      </c>
      <c r="O115" s="577">
        <v>4161</v>
      </c>
      <c r="P115" s="577">
        <v>4267</v>
      </c>
      <c r="Q115" s="577">
        <v>4369</v>
      </c>
      <c r="R115" s="577">
        <v>4475</v>
      </c>
      <c r="S115" s="577">
        <v>4607</v>
      </c>
      <c r="T115" s="577">
        <v>4739</v>
      </c>
      <c r="U115" s="577">
        <v>4871</v>
      </c>
      <c r="V115" s="577">
        <v>5003</v>
      </c>
      <c r="W115" s="577">
        <v>5067</v>
      </c>
      <c r="X115" s="577"/>
      <c r="Y115" s="469">
        <f t="shared" si="4"/>
        <v>19</v>
      </c>
      <c r="Z115" s="468"/>
    </row>
    <row r="116" spans="4:26" ht="12.75">
      <c r="D116" s="472" t="s">
        <v>198</v>
      </c>
      <c r="E116" s="577">
        <v>2221</v>
      </c>
      <c r="F116" s="577">
        <v>2266</v>
      </c>
      <c r="G116" s="577">
        <v>2310</v>
      </c>
      <c r="H116" s="577">
        <v>2355</v>
      </c>
      <c r="I116" s="577">
        <v>2400</v>
      </c>
      <c r="J116" s="577">
        <v>2446</v>
      </c>
      <c r="K116" s="577">
        <v>2492</v>
      </c>
      <c r="L116" s="577">
        <v>2535</v>
      </c>
      <c r="M116" s="577">
        <v>2586</v>
      </c>
      <c r="N116" s="577">
        <v>2635</v>
      </c>
      <c r="O116" s="577">
        <v>2686</v>
      </c>
      <c r="P116" s="577">
        <v>2737</v>
      </c>
      <c r="Q116" s="577">
        <v>2789</v>
      </c>
      <c r="R116" s="577">
        <v>2838</v>
      </c>
      <c r="S116" s="577">
        <v>2889</v>
      </c>
      <c r="T116" s="577">
        <v>2994</v>
      </c>
      <c r="U116" s="577">
        <v>3100</v>
      </c>
      <c r="V116" s="577">
        <v>3204</v>
      </c>
      <c r="W116" s="577"/>
      <c r="X116" s="577"/>
      <c r="Y116" s="469">
        <f t="shared" si="4"/>
        <v>18</v>
      </c>
      <c r="Z116" s="468"/>
    </row>
    <row r="117" spans="4:26" ht="12.75">
      <c r="D117" s="472" t="s">
        <v>199</v>
      </c>
      <c r="E117" s="577">
        <v>2303</v>
      </c>
      <c r="F117" s="577">
        <v>2359</v>
      </c>
      <c r="G117" s="577">
        <v>2411</v>
      </c>
      <c r="H117" s="577">
        <v>2467</v>
      </c>
      <c r="I117" s="577">
        <v>2520</v>
      </c>
      <c r="J117" s="577">
        <v>2575</v>
      </c>
      <c r="K117" s="577">
        <v>2628</v>
      </c>
      <c r="L117" s="577">
        <v>2682</v>
      </c>
      <c r="M117" s="577">
        <v>2737</v>
      </c>
      <c r="N117" s="577">
        <v>2793</v>
      </c>
      <c r="O117" s="577">
        <v>2845</v>
      </c>
      <c r="P117" s="577">
        <v>2900</v>
      </c>
      <c r="Q117" s="577">
        <v>2953</v>
      </c>
      <c r="R117" s="577">
        <v>3067</v>
      </c>
      <c r="S117" s="577">
        <v>3179</v>
      </c>
      <c r="T117" s="577">
        <v>3293</v>
      </c>
      <c r="U117" s="577">
        <v>3407</v>
      </c>
      <c r="V117" s="577">
        <v>3520</v>
      </c>
      <c r="W117" s="577"/>
      <c r="X117" s="577"/>
      <c r="Y117" s="469">
        <f t="shared" si="4"/>
        <v>18</v>
      </c>
      <c r="Z117" s="468"/>
    </row>
    <row r="118" spans="4:26" ht="12.75">
      <c r="D118" s="472" t="s">
        <v>200</v>
      </c>
      <c r="E118" s="577">
        <v>2316</v>
      </c>
      <c r="F118" s="577">
        <v>2428</v>
      </c>
      <c r="G118" s="577">
        <v>2542</v>
      </c>
      <c r="H118" s="577">
        <v>2645</v>
      </c>
      <c r="I118" s="577">
        <v>2751</v>
      </c>
      <c r="J118" s="577">
        <v>2854</v>
      </c>
      <c r="K118" s="577">
        <v>2960</v>
      </c>
      <c r="L118" s="577">
        <v>3064</v>
      </c>
      <c r="M118" s="577">
        <v>3168</v>
      </c>
      <c r="N118" s="577">
        <v>3274</v>
      </c>
      <c r="O118" s="577">
        <v>3377</v>
      </c>
      <c r="P118" s="577">
        <v>3482</v>
      </c>
      <c r="Q118" s="577">
        <v>3586</v>
      </c>
      <c r="R118" s="577">
        <v>3691</v>
      </c>
      <c r="S118" s="577">
        <v>3795</v>
      </c>
      <c r="T118" s="577">
        <v>3899</v>
      </c>
      <c r="U118" s="577">
        <v>4004</v>
      </c>
      <c r="V118" s="577">
        <v>4107</v>
      </c>
      <c r="W118" s="577"/>
      <c r="X118" s="577"/>
      <c r="Y118" s="469">
        <f t="shared" si="4"/>
        <v>18</v>
      </c>
      <c r="Z118" s="468"/>
    </row>
    <row r="119" spans="4:26" ht="12.75">
      <c r="D119" s="472" t="s">
        <v>201</v>
      </c>
      <c r="E119" s="577">
        <v>2325</v>
      </c>
      <c r="F119" s="577">
        <v>2464</v>
      </c>
      <c r="G119" s="577">
        <v>2601</v>
      </c>
      <c r="H119" s="577">
        <v>2739</v>
      </c>
      <c r="I119" s="577">
        <v>2877</v>
      </c>
      <c r="J119" s="577">
        <v>3015</v>
      </c>
      <c r="K119" s="577">
        <v>3152</v>
      </c>
      <c r="L119" s="577">
        <v>3291</v>
      </c>
      <c r="M119" s="577">
        <v>3429</v>
      </c>
      <c r="N119" s="577">
        <v>3566</v>
      </c>
      <c r="O119" s="577">
        <v>3705</v>
      </c>
      <c r="P119" s="577">
        <v>3843</v>
      </c>
      <c r="Q119" s="577">
        <v>3982</v>
      </c>
      <c r="R119" s="577">
        <v>4120</v>
      </c>
      <c r="S119" s="577">
        <v>4258</v>
      </c>
      <c r="T119" s="577">
        <v>4395</v>
      </c>
      <c r="U119" s="577">
        <v>4534</v>
      </c>
      <c r="V119" s="577">
        <v>4672</v>
      </c>
      <c r="W119" s="577"/>
      <c r="X119" s="577"/>
      <c r="Y119" s="469">
        <f t="shared" si="4"/>
        <v>18</v>
      </c>
      <c r="Z119" s="468"/>
    </row>
    <row r="120" spans="4:26" ht="12.75">
      <c r="D120" s="472" t="s">
        <v>202</v>
      </c>
      <c r="E120" s="577">
        <v>2991</v>
      </c>
      <c r="F120" s="577">
        <v>3104</v>
      </c>
      <c r="G120" s="577">
        <v>3204</v>
      </c>
      <c r="H120" s="577">
        <v>3407</v>
      </c>
      <c r="I120" s="577">
        <v>3632</v>
      </c>
      <c r="J120" s="577">
        <v>3741</v>
      </c>
      <c r="K120" s="577">
        <v>3845</v>
      </c>
      <c r="L120" s="577">
        <v>3951</v>
      </c>
      <c r="M120" s="577">
        <v>4053</v>
      </c>
      <c r="N120" s="577">
        <v>4161</v>
      </c>
      <c r="O120" s="577">
        <v>4267</v>
      </c>
      <c r="P120" s="577">
        <v>4369</v>
      </c>
      <c r="Q120" s="577">
        <v>4475</v>
      </c>
      <c r="R120" s="577">
        <v>4607</v>
      </c>
      <c r="S120" s="577">
        <v>4721</v>
      </c>
      <c r="T120" s="577">
        <v>4838</v>
      </c>
      <c r="U120" s="577">
        <v>4952</v>
      </c>
      <c r="V120" s="577">
        <v>5067</v>
      </c>
      <c r="W120" s="577"/>
      <c r="X120" s="577"/>
      <c r="Y120" s="469">
        <f t="shared" si="4"/>
        <v>18</v>
      </c>
      <c r="Z120" s="468"/>
    </row>
    <row r="121" spans="4:26" ht="12.75">
      <c r="D121" s="471">
        <v>1</v>
      </c>
      <c r="E121" s="577">
        <v>1385</v>
      </c>
      <c r="F121" s="577">
        <v>1445</v>
      </c>
      <c r="G121" s="577">
        <v>1505</v>
      </c>
      <c r="H121" s="577">
        <v>1532</v>
      </c>
      <c r="I121" s="577">
        <v>1564</v>
      </c>
      <c r="J121" s="577">
        <v>1596</v>
      </c>
      <c r="K121" s="577">
        <v>1638</v>
      </c>
      <c r="L121" s="577"/>
      <c r="M121" s="577"/>
      <c r="N121" s="577"/>
      <c r="O121" s="577"/>
      <c r="P121" s="577"/>
      <c r="Q121" s="577"/>
      <c r="R121" s="577"/>
      <c r="S121" s="577"/>
      <c r="T121" s="577"/>
      <c r="U121" s="577"/>
      <c r="V121" s="577"/>
      <c r="W121" s="577"/>
      <c r="X121" s="577"/>
      <c r="Y121" s="469">
        <f t="shared" si="4"/>
        <v>7</v>
      </c>
      <c r="Z121" s="468"/>
    </row>
    <row r="122" spans="4:26" ht="12.75">
      <c r="D122" s="471">
        <v>2</v>
      </c>
      <c r="E122" s="577">
        <v>1418</v>
      </c>
      <c r="F122" s="577">
        <v>1476</v>
      </c>
      <c r="G122" s="577">
        <v>1532</v>
      </c>
      <c r="H122" s="577">
        <v>1596</v>
      </c>
      <c r="I122" s="577">
        <v>1638</v>
      </c>
      <c r="J122" s="577">
        <v>1686</v>
      </c>
      <c r="K122" s="577">
        <v>1745</v>
      </c>
      <c r="L122" s="577">
        <v>1800</v>
      </c>
      <c r="M122" s="577"/>
      <c r="N122" s="577"/>
      <c r="O122" s="577"/>
      <c r="P122" s="577"/>
      <c r="Q122" s="577"/>
      <c r="R122" s="577"/>
      <c r="S122" s="577"/>
      <c r="T122" s="577"/>
      <c r="U122" s="577"/>
      <c r="V122" s="577"/>
      <c r="W122" s="577"/>
      <c r="X122" s="577"/>
      <c r="Y122" s="469">
        <f t="shared" si="4"/>
        <v>8</v>
      </c>
      <c r="Z122" s="468"/>
    </row>
    <row r="123" spans="4:26" ht="12.75">
      <c r="D123" s="471">
        <v>3</v>
      </c>
      <c r="E123" s="577">
        <v>1418</v>
      </c>
      <c r="F123" s="577">
        <v>1532</v>
      </c>
      <c r="G123" s="577">
        <v>1596</v>
      </c>
      <c r="H123" s="577">
        <v>1686</v>
      </c>
      <c r="I123" s="577">
        <v>1745</v>
      </c>
      <c r="J123" s="577">
        <v>1800</v>
      </c>
      <c r="K123" s="577">
        <v>1855</v>
      </c>
      <c r="L123" s="577">
        <v>1908</v>
      </c>
      <c r="M123" s="577">
        <v>1961</v>
      </c>
      <c r="N123" s="577"/>
      <c r="O123" s="577"/>
      <c r="P123" s="577"/>
      <c r="Q123" s="577"/>
      <c r="R123" s="577"/>
      <c r="S123" s="577"/>
      <c r="T123" s="577"/>
      <c r="U123" s="577"/>
      <c r="V123" s="577"/>
      <c r="W123" s="577"/>
      <c r="X123" s="577"/>
      <c r="Y123" s="469">
        <f t="shared" si="4"/>
        <v>9</v>
      </c>
      <c r="Z123" s="468"/>
    </row>
    <row r="124" spans="4:26" ht="12.75">
      <c r="D124" s="471">
        <v>4</v>
      </c>
      <c r="E124" s="577">
        <v>1445</v>
      </c>
      <c r="F124" s="577">
        <v>1505</v>
      </c>
      <c r="G124" s="577">
        <v>1564</v>
      </c>
      <c r="H124" s="577">
        <v>1638</v>
      </c>
      <c r="I124" s="577">
        <v>1745</v>
      </c>
      <c r="J124" s="577">
        <v>1800</v>
      </c>
      <c r="K124" s="577">
        <v>1855</v>
      </c>
      <c r="L124" s="577">
        <v>1908</v>
      </c>
      <c r="M124" s="577">
        <v>1961</v>
      </c>
      <c r="N124" s="577">
        <v>2012</v>
      </c>
      <c r="O124" s="577">
        <v>2063</v>
      </c>
      <c r="P124" s="577"/>
      <c r="Q124" s="577"/>
      <c r="R124" s="577"/>
      <c r="S124" s="577"/>
      <c r="T124" s="577"/>
      <c r="U124" s="577"/>
      <c r="V124" s="577"/>
      <c r="W124" s="577"/>
      <c r="X124" s="577"/>
      <c r="Y124" s="469">
        <f t="shared" si="4"/>
        <v>11</v>
      </c>
      <c r="Z124" s="468"/>
    </row>
    <row r="125" spans="4:26" ht="12.75">
      <c r="D125" s="471">
        <v>5</v>
      </c>
      <c r="E125" s="577">
        <v>1476</v>
      </c>
      <c r="F125" s="577">
        <v>1505</v>
      </c>
      <c r="G125" s="577">
        <v>1596</v>
      </c>
      <c r="H125" s="577">
        <v>1686</v>
      </c>
      <c r="I125" s="577">
        <v>1800</v>
      </c>
      <c r="J125" s="577">
        <v>1855</v>
      </c>
      <c r="K125" s="577">
        <v>1908</v>
      </c>
      <c r="L125" s="577">
        <v>1961</v>
      </c>
      <c r="M125" s="577">
        <v>2012</v>
      </c>
      <c r="N125" s="577">
        <v>2063</v>
      </c>
      <c r="O125" s="577">
        <v>2112</v>
      </c>
      <c r="P125" s="577">
        <v>2168</v>
      </c>
      <c r="Q125" s="577"/>
      <c r="R125" s="577"/>
      <c r="S125" s="577"/>
      <c r="T125" s="577"/>
      <c r="U125" s="577"/>
      <c r="V125" s="577"/>
      <c r="W125" s="577"/>
      <c r="X125" s="577"/>
      <c r="Y125" s="469">
        <f t="shared" si="4"/>
        <v>12</v>
      </c>
      <c r="Z125" s="468"/>
    </row>
    <row r="126" spans="4:26" ht="12.75">
      <c r="D126" s="471">
        <v>6</v>
      </c>
      <c r="E126" s="577">
        <v>1532</v>
      </c>
      <c r="F126" s="577">
        <v>1596</v>
      </c>
      <c r="G126" s="577">
        <v>1800</v>
      </c>
      <c r="H126" s="577">
        <v>1908</v>
      </c>
      <c r="I126" s="577">
        <v>1961</v>
      </c>
      <c r="J126" s="577">
        <v>2012</v>
      </c>
      <c r="K126" s="577">
        <v>2063</v>
      </c>
      <c r="L126" s="577">
        <v>2112</v>
      </c>
      <c r="M126" s="577">
        <v>2168</v>
      </c>
      <c r="N126" s="577">
        <v>2221</v>
      </c>
      <c r="O126" s="577">
        <v>2272</v>
      </c>
      <c r="P126" s="577"/>
      <c r="Q126" s="577"/>
      <c r="R126" s="577"/>
      <c r="S126" s="577"/>
      <c r="T126" s="577"/>
      <c r="U126" s="577"/>
      <c r="V126" s="577"/>
      <c r="W126" s="577"/>
      <c r="X126" s="577"/>
      <c r="Y126" s="469">
        <f t="shared" si="4"/>
        <v>11</v>
      </c>
      <c r="Z126" s="468"/>
    </row>
    <row r="127" spans="4:26" ht="12.75">
      <c r="D127" s="471">
        <v>7</v>
      </c>
      <c r="E127" s="577">
        <v>1638</v>
      </c>
      <c r="F127" s="577">
        <v>1686</v>
      </c>
      <c r="G127" s="577">
        <v>1800</v>
      </c>
      <c r="H127" s="577">
        <v>2012</v>
      </c>
      <c r="I127" s="577">
        <v>2112</v>
      </c>
      <c r="J127" s="577">
        <v>2168</v>
      </c>
      <c r="K127" s="577">
        <v>2221</v>
      </c>
      <c r="L127" s="577">
        <v>2272</v>
      </c>
      <c r="M127" s="577">
        <v>2325</v>
      </c>
      <c r="N127" s="577">
        <v>2382</v>
      </c>
      <c r="O127" s="577">
        <v>2440</v>
      </c>
      <c r="P127" s="577">
        <v>2505</v>
      </c>
      <c r="Q127" s="577"/>
      <c r="R127" s="577"/>
      <c r="S127" s="577"/>
      <c r="T127" s="577"/>
      <c r="U127" s="577"/>
      <c r="V127" s="577"/>
      <c r="W127" s="577"/>
      <c r="X127" s="577"/>
      <c r="Y127" s="469">
        <f t="shared" si="4"/>
        <v>12</v>
      </c>
      <c r="Z127" s="468"/>
    </row>
    <row r="128" spans="4:26" ht="12.75">
      <c r="D128" s="471">
        <v>8</v>
      </c>
      <c r="E128" s="577">
        <v>1855</v>
      </c>
      <c r="F128" s="577">
        <v>1908</v>
      </c>
      <c r="G128" s="577">
        <v>2012</v>
      </c>
      <c r="H128" s="577">
        <v>2221</v>
      </c>
      <c r="I128" s="577">
        <v>2325</v>
      </c>
      <c r="J128" s="577">
        <v>2440</v>
      </c>
      <c r="K128" s="577">
        <v>2505</v>
      </c>
      <c r="L128" s="577">
        <v>2565</v>
      </c>
      <c r="M128" s="577">
        <v>2617</v>
      </c>
      <c r="N128" s="577">
        <v>2674</v>
      </c>
      <c r="O128" s="577">
        <v>2731</v>
      </c>
      <c r="P128" s="577">
        <v>2784</v>
      </c>
      <c r="Q128" s="577">
        <v>2834</v>
      </c>
      <c r="R128" s="577"/>
      <c r="S128" s="577"/>
      <c r="T128" s="577"/>
      <c r="U128" s="577"/>
      <c r="V128" s="577"/>
      <c r="W128" s="577"/>
      <c r="X128" s="577"/>
      <c r="Y128" s="469">
        <f t="shared" si="4"/>
        <v>13</v>
      </c>
      <c r="Z128" s="468"/>
    </row>
    <row r="129" spans="4:26" ht="12.75">
      <c r="D129" s="471">
        <v>9</v>
      </c>
      <c r="E129" s="577">
        <v>2112</v>
      </c>
      <c r="F129" s="577">
        <v>2221</v>
      </c>
      <c r="G129" s="577">
        <v>2440</v>
      </c>
      <c r="H129" s="577">
        <v>2565</v>
      </c>
      <c r="I129" s="577">
        <v>2674</v>
      </c>
      <c r="J129" s="577">
        <v>2784</v>
      </c>
      <c r="K129" s="577">
        <v>2888</v>
      </c>
      <c r="L129" s="577">
        <v>2991</v>
      </c>
      <c r="M129" s="577">
        <v>3104</v>
      </c>
      <c r="N129" s="577">
        <v>3204</v>
      </c>
      <c r="O129" s="577"/>
      <c r="P129" s="577"/>
      <c r="Q129" s="577"/>
      <c r="R129" s="577"/>
      <c r="S129" s="577"/>
      <c r="T129" s="577"/>
      <c r="U129" s="577"/>
      <c r="V129" s="577"/>
      <c r="W129" s="577"/>
      <c r="X129" s="577"/>
      <c r="Y129" s="469">
        <f t="shared" si="4"/>
        <v>10</v>
      </c>
      <c r="Z129" s="468"/>
    </row>
    <row r="130" spans="4:26" ht="12.75">
      <c r="D130" s="471">
        <v>10</v>
      </c>
      <c r="E130" s="577">
        <v>2112</v>
      </c>
      <c r="F130" s="577">
        <v>2325</v>
      </c>
      <c r="G130" s="577">
        <v>2440</v>
      </c>
      <c r="H130" s="577">
        <v>2565</v>
      </c>
      <c r="I130" s="577">
        <v>2674</v>
      </c>
      <c r="J130" s="577">
        <v>2784</v>
      </c>
      <c r="K130" s="577">
        <v>2888</v>
      </c>
      <c r="L130" s="577">
        <v>2991</v>
      </c>
      <c r="M130" s="577">
        <v>3104</v>
      </c>
      <c r="N130" s="577">
        <v>3204</v>
      </c>
      <c r="O130" s="577">
        <v>3306</v>
      </c>
      <c r="P130" s="577">
        <v>3407</v>
      </c>
      <c r="Q130" s="577">
        <v>3520</v>
      </c>
      <c r="R130" s="577"/>
      <c r="S130" s="577"/>
      <c r="T130" s="577"/>
      <c r="U130" s="577"/>
      <c r="V130" s="577"/>
      <c r="W130" s="577"/>
      <c r="X130" s="577"/>
      <c r="Y130" s="469">
        <f t="shared" si="4"/>
        <v>13</v>
      </c>
      <c r="Z130" s="468"/>
    </row>
    <row r="131" spans="4:26" ht="12.75">
      <c r="D131" s="471">
        <v>11</v>
      </c>
      <c r="E131" s="577">
        <v>2221</v>
      </c>
      <c r="F131" s="577">
        <v>2325</v>
      </c>
      <c r="G131" s="577">
        <v>2440</v>
      </c>
      <c r="H131" s="577">
        <v>2565</v>
      </c>
      <c r="I131" s="577">
        <v>2674</v>
      </c>
      <c r="J131" s="577">
        <v>2784</v>
      </c>
      <c r="K131" s="577">
        <v>2888</v>
      </c>
      <c r="L131" s="577">
        <v>3104</v>
      </c>
      <c r="M131" s="577">
        <v>3204</v>
      </c>
      <c r="N131" s="577">
        <v>3306</v>
      </c>
      <c r="O131" s="577">
        <v>3407</v>
      </c>
      <c r="P131" s="577">
        <v>3520</v>
      </c>
      <c r="Q131" s="577">
        <v>3632</v>
      </c>
      <c r="R131" s="577">
        <v>3741</v>
      </c>
      <c r="S131" s="577">
        <v>3845</v>
      </c>
      <c r="T131" s="577">
        <v>3951</v>
      </c>
      <c r="U131" s="577">
        <v>4053</v>
      </c>
      <c r="V131" s="577">
        <v>4107</v>
      </c>
      <c r="W131" s="577"/>
      <c r="X131" s="577"/>
      <c r="Y131" s="469">
        <f t="shared" si="4"/>
        <v>18</v>
      </c>
      <c r="Z131" s="468"/>
    </row>
    <row r="132" spans="4:26" ht="12.75">
      <c r="D132" s="471">
        <v>12</v>
      </c>
      <c r="E132" s="577">
        <v>2991</v>
      </c>
      <c r="F132" s="577">
        <v>3104</v>
      </c>
      <c r="G132" s="577">
        <v>3204</v>
      </c>
      <c r="H132" s="577">
        <v>3306</v>
      </c>
      <c r="I132" s="577">
        <v>3407</v>
      </c>
      <c r="J132" s="577">
        <v>3520</v>
      </c>
      <c r="K132" s="577">
        <v>3741</v>
      </c>
      <c r="L132" s="577">
        <v>3845</v>
      </c>
      <c r="M132" s="577">
        <v>3951</v>
      </c>
      <c r="N132" s="577">
        <v>4053</v>
      </c>
      <c r="O132" s="577">
        <v>4161</v>
      </c>
      <c r="P132" s="577">
        <v>4267</v>
      </c>
      <c r="Q132" s="577">
        <v>4369</v>
      </c>
      <c r="R132" s="577">
        <v>4475</v>
      </c>
      <c r="S132" s="577">
        <v>4607</v>
      </c>
      <c r="T132" s="577">
        <v>4672</v>
      </c>
      <c r="U132" s="577"/>
      <c r="V132" s="577"/>
      <c r="W132" s="577"/>
      <c r="X132" s="577"/>
      <c r="Y132" s="469">
        <f t="shared" si="4"/>
        <v>16</v>
      </c>
      <c r="Z132" s="468"/>
    </row>
    <row r="133" spans="4:26" ht="12.75">
      <c r="D133" s="471">
        <v>13</v>
      </c>
      <c r="E133" s="577">
        <v>3632</v>
      </c>
      <c r="F133" s="577">
        <v>3741</v>
      </c>
      <c r="G133" s="577">
        <v>3845</v>
      </c>
      <c r="H133" s="577">
        <v>3951</v>
      </c>
      <c r="I133" s="577">
        <v>4053</v>
      </c>
      <c r="J133" s="577">
        <v>4267</v>
      </c>
      <c r="K133" s="577">
        <v>4369</v>
      </c>
      <c r="L133" s="577">
        <v>4475</v>
      </c>
      <c r="M133" s="577">
        <v>4607</v>
      </c>
      <c r="N133" s="577">
        <v>4739</v>
      </c>
      <c r="O133" s="577">
        <v>4871</v>
      </c>
      <c r="P133" s="577">
        <v>5003</v>
      </c>
      <c r="Q133" s="577">
        <v>5067</v>
      </c>
      <c r="R133" s="577"/>
      <c r="S133" s="577"/>
      <c r="T133" s="577"/>
      <c r="U133" s="577"/>
      <c r="V133" s="577"/>
      <c r="W133" s="577"/>
      <c r="X133" s="577"/>
      <c r="Y133" s="469">
        <f t="shared" si="4"/>
        <v>13</v>
      </c>
      <c r="Z133" s="468"/>
    </row>
    <row r="134" spans="4:26" ht="12.75">
      <c r="D134" s="471">
        <v>14</v>
      </c>
      <c r="E134" s="577">
        <v>4161</v>
      </c>
      <c r="F134" s="577">
        <v>4267</v>
      </c>
      <c r="G134" s="577">
        <v>4475</v>
      </c>
      <c r="H134" s="577">
        <v>4607</v>
      </c>
      <c r="I134" s="577">
        <v>4739</v>
      </c>
      <c r="J134" s="577">
        <v>4871</v>
      </c>
      <c r="K134" s="577">
        <v>5003</v>
      </c>
      <c r="L134" s="577">
        <v>5136</v>
      </c>
      <c r="M134" s="577">
        <v>5277</v>
      </c>
      <c r="N134" s="577">
        <v>5420</v>
      </c>
      <c r="O134" s="577">
        <v>5568</v>
      </c>
      <c r="P134" s="577"/>
      <c r="Q134" s="577"/>
      <c r="R134" s="577"/>
      <c r="S134" s="577"/>
      <c r="T134" s="577"/>
      <c r="U134" s="577"/>
      <c r="V134" s="577"/>
      <c r="W134" s="577"/>
      <c r="X134" s="577"/>
      <c r="Y134" s="469">
        <f t="shared" si="4"/>
        <v>11</v>
      </c>
      <c r="Z134" s="468"/>
    </row>
    <row r="135" spans="4:26" ht="12.75">
      <c r="D135" s="471">
        <v>15</v>
      </c>
      <c r="E135" s="577">
        <v>4369</v>
      </c>
      <c r="F135" s="577">
        <v>4475</v>
      </c>
      <c r="G135" s="577">
        <v>4607</v>
      </c>
      <c r="H135" s="577">
        <v>4871</v>
      </c>
      <c r="I135" s="577">
        <v>5003</v>
      </c>
      <c r="J135" s="577">
        <v>5136</v>
      </c>
      <c r="K135" s="577">
        <v>5277</v>
      </c>
      <c r="L135" s="577">
        <v>5420</v>
      </c>
      <c r="M135" s="577">
        <v>5568</v>
      </c>
      <c r="N135" s="577">
        <v>5744</v>
      </c>
      <c r="O135" s="577">
        <v>5929</v>
      </c>
      <c r="P135" s="577">
        <v>6117</v>
      </c>
      <c r="Q135" s="577"/>
      <c r="R135" s="577"/>
      <c r="S135" s="577"/>
      <c r="T135" s="577"/>
      <c r="U135" s="577"/>
      <c r="V135" s="577"/>
      <c r="W135" s="577"/>
      <c r="X135" s="577"/>
      <c r="Y135" s="469">
        <f t="shared" si="4"/>
        <v>12</v>
      </c>
      <c r="Z135" s="468"/>
    </row>
    <row r="136" spans="4:26" ht="12.75">
      <c r="D136" s="471" t="s">
        <v>203</v>
      </c>
      <c r="E136" s="577">
        <f>ROUND(+E116/2,0)</f>
        <v>1111</v>
      </c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469">
        <f t="shared" si="4"/>
        <v>1</v>
      </c>
      <c r="Z136" s="468"/>
    </row>
    <row r="137" spans="4:26" ht="12.75">
      <c r="D137" s="471" t="s">
        <v>204</v>
      </c>
      <c r="E137" s="577">
        <f>ROUND(+E117/2,0)</f>
        <v>1152</v>
      </c>
      <c r="F137" s="577"/>
      <c r="G137" s="577"/>
      <c r="H137" s="577"/>
      <c r="I137" s="577"/>
      <c r="J137" s="577"/>
      <c r="K137" s="577"/>
      <c r="L137" s="577"/>
      <c r="M137" s="577"/>
      <c r="N137" s="577"/>
      <c r="O137" s="577"/>
      <c r="P137" s="577"/>
      <c r="Q137" s="577"/>
      <c r="R137" s="577"/>
      <c r="S137" s="577"/>
      <c r="T137" s="577"/>
      <c r="U137" s="577"/>
      <c r="V137" s="577"/>
      <c r="W137" s="577"/>
      <c r="X137" s="577"/>
      <c r="Y137" s="469">
        <f t="shared" si="4"/>
        <v>1</v>
      </c>
      <c r="Z137" s="468"/>
    </row>
    <row r="138" spans="4:26" ht="12.75">
      <c r="D138" s="471" t="s">
        <v>298</v>
      </c>
      <c r="E138" s="577">
        <v>1385</v>
      </c>
      <c r="F138" s="577">
        <v>1445</v>
      </c>
      <c r="G138" s="577">
        <v>1505</v>
      </c>
      <c r="H138" s="577">
        <v>1532</v>
      </c>
      <c r="I138" s="577">
        <v>1564</v>
      </c>
      <c r="J138" s="577">
        <v>1596</v>
      </c>
      <c r="K138" s="577">
        <v>1638</v>
      </c>
      <c r="L138" s="577"/>
      <c r="M138" s="577"/>
      <c r="N138" s="577"/>
      <c r="O138" s="577"/>
      <c r="P138" s="577"/>
      <c r="Q138" s="577"/>
      <c r="R138" s="577"/>
      <c r="S138" s="577"/>
      <c r="T138" s="577"/>
      <c r="U138" s="577"/>
      <c r="V138" s="577"/>
      <c r="W138" s="577"/>
      <c r="X138" s="577"/>
      <c r="Y138" s="469">
        <f t="shared" si="4"/>
        <v>7</v>
      </c>
      <c r="Z138" s="468"/>
    </row>
    <row r="139" spans="4:26" ht="12.75">
      <c r="D139" s="471" t="s">
        <v>299</v>
      </c>
      <c r="E139" s="577">
        <v>1418</v>
      </c>
      <c r="F139" s="577">
        <v>1476</v>
      </c>
      <c r="G139" s="577">
        <v>1532</v>
      </c>
      <c r="H139" s="577">
        <v>1596</v>
      </c>
      <c r="I139" s="577">
        <v>1638</v>
      </c>
      <c r="J139" s="577">
        <v>1686</v>
      </c>
      <c r="K139" s="577">
        <v>1745</v>
      </c>
      <c r="L139" s="577">
        <v>1800</v>
      </c>
      <c r="M139" s="577"/>
      <c r="N139" s="577"/>
      <c r="O139" s="577"/>
      <c r="P139" s="577"/>
      <c r="Q139" s="577"/>
      <c r="R139" s="577"/>
      <c r="S139" s="577"/>
      <c r="T139" s="577"/>
      <c r="U139" s="577"/>
      <c r="V139" s="577"/>
      <c r="W139" s="577"/>
      <c r="X139" s="577"/>
      <c r="Y139" s="469">
        <f t="shared" si="4"/>
        <v>8</v>
      </c>
      <c r="Z139" s="468"/>
    </row>
    <row r="140" spans="4:26" ht="12.75">
      <c r="D140" s="471" t="s">
        <v>300</v>
      </c>
      <c r="E140" s="577">
        <v>1418</v>
      </c>
      <c r="F140" s="577">
        <v>1532</v>
      </c>
      <c r="G140" s="577">
        <v>1596</v>
      </c>
      <c r="H140" s="577">
        <v>1686</v>
      </c>
      <c r="I140" s="577">
        <v>1745</v>
      </c>
      <c r="J140" s="577">
        <v>1800</v>
      </c>
      <c r="K140" s="577">
        <v>1855</v>
      </c>
      <c r="L140" s="577"/>
      <c r="M140" s="577"/>
      <c r="N140" s="577"/>
      <c r="O140" s="577"/>
      <c r="P140" s="577"/>
      <c r="Q140" s="577"/>
      <c r="R140" s="577"/>
      <c r="S140" s="577"/>
      <c r="T140" s="577"/>
      <c r="U140" s="577"/>
      <c r="V140" s="577"/>
      <c r="W140" s="577"/>
      <c r="X140" s="577"/>
      <c r="Y140" s="469">
        <f t="shared" si="4"/>
        <v>7</v>
      </c>
      <c r="Z140" s="468"/>
    </row>
    <row r="146" ht="12.75">
      <c r="D146" s="42" t="s">
        <v>221</v>
      </c>
    </row>
    <row r="147" ht="12.75">
      <c r="D147" s="42" t="s">
        <v>222</v>
      </c>
    </row>
    <row r="148" spans="4:6" ht="12.75">
      <c r="D148" s="471" t="s">
        <v>223</v>
      </c>
      <c r="E148" s="471" t="s">
        <v>208</v>
      </c>
      <c r="F148" s="578" t="s">
        <v>224</v>
      </c>
    </row>
    <row r="149" spans="4:9" ht="12.75">
      <c r="D149" s="468">
        <v>10</v>
      </c>
      <c r="E149" s="471" t="s">
        <v>228</v>
      </c>
      <c r="F149" s="578">
        <v>1.01</v>
      </c>
      <c r="H149" s="469" t="s">
        <v>228</v>
      </c>
      <c r="I149" s="469">
        <v>10</v>
      </c>
    </row>
    <row r="150" spans="4:9" ht="12.75">
      <c r="D150" s="468">
        <v>13</v>
      </c>
      <c r="E150" s="471" t="s">
        <v>229</v>
      </c>
      <c r="F150" s="578">
        <v>1.07</v>
      </c>
      <c r="H150" s="469" t="s">
        <v>229</v>
      </c>
      <c r="I150" s="469">
        <v>13</v>
      </c>
    </row>
    <row r="151" spans="4:9" ht="12.75">
      <c r="D151" s="468">
        <v>15</v>
      </c>
      <c r="E151" s="471" t="s">
        <v>230</v>
      </c>
      <c r="F151" s="578">
        <v>1.21</v>
      </c>
      <c r="H151" s="469" t="s">
        <v>230</v>
      </c>
      <c r="I151" s="469">
        <v>15</v>
      </c>
    </row>
    <row r="152" spans="4:9" ht="12.75">
      <c r="D152" s="468">
        <v>17</v>
      </c>
      <c r="E152" s="471" t="s">
        <v>231</v>
      </c>
      <c r="F152" s="578">
        <v>1.27</v>
      </c>
      <c r="H152" s="469" t="s">
        <v>231</v>
      </c>
      <c r="I152" s="469">
        <v>17</v>
      </c>
    </row>
    <row r="153" spans="4:9" ht="12.75">
      <c r="D153" s="468">
        <v>10</v>
      </c>
      <c r="E153" s="471" t="s">
        <v>232</v>
      </c>
      <c r="F153" s="578">
        <v>1.07</v>
      </c>
      <c r="H153" s="469" t="s">
        <v>232</v>
      </c>
      <c r="I153" s="469">
        <v>10</v>
      </c>
    </row>
    <row r="154" spans="4:9" ht="12.75">
      <c r="D154" s="468">
        <v>11</v>
      </c>
      <c r="E154" s="471" t="s">
        <v>233</v>
      </c>
      <c r="F154" s="578">
        <v>1.1</v>
      </c>
      <c r="H154" s="469" t="s">
        <v>233</v>
      </c>
      <c r="I154" s="469">
        <v>11</v>
      </c>
    </row>
    <row r="155" spans="4:9" ht="12.75">
      <c r="D155" s="579">
        <v>13</v>
      </c>
      <c r="E155" s="471" t="s">
        <v>234</v>
      </c>
      <c r="F155" s="578">
        <v>1.27</v>
      </c>
      <c r="H155" s="469" t="s">
        <v>234</v>
      </c>
      <c r="I155" s="527">
        <v>13</v>
      </c>
    </row>
    <row r="156" spans="4:9" ht="12.75">
      <c r="D156" s="579">
        <v>15</v>
      </c>
      <c r="E156" s="471" t="s">
        <v>235</v>
      </c>
      <c r="F156" s="578">
        <v>1.32</v>
      </c>
      <c r="H156" s="469" t="s">
        <v>235</v>
      </c>
      <c r="I156" s="527">
        <v>15</v>
      </c>
    </row>
    <row r="157" spans="4:9" ht="12.75">
      <c r="D157" s="579">
        <v>13</v>
      </c>
      <c r="E157" s="471" t="s">
        <v>186</v>
      </c>
      <c r="F157" s="580">
        <v>1.07</v>
      </c>
      <c r="H157" s="526" t="s">
        <v>186</v>
      </c>
      <c r="I157" s="469">
        <v>13</v>
      </c>
    </row>
    <row r="158" spans="4:9" ht="12.75">
      <c r="D158" s="471">
        <v>15</v>
      </c>
      <c r="E158" s="471" t="s">
        <v>187</v>
      </c>
      <c r="F158" s="580">
        <v>1.21</v>
      </c>
      <c r="H158" s="526" t="s">
        <v>187</v>
      </c>
      <c r="I158" s="469">
        <v>15</v>
      </c>
    </row>
    <row r="159" spans="4:9" ht="12.75">
      <c r="D159" s="471">
        <v>17</v>
      </c>
      <c r="E159" s="471" t="s">
        <v>188</v>
      </c>
      <c r="F159" s="580">
        <v>1.27</v>
      </c>
      <c r="G159" s="526"/>
      <c r="H159" s="526" t="s">
        <v>188</v>
      </c>
      <c r="I159" s="469">
        <v>17</v>
      </c>
    </row>
    <row r="160" spans="4:9" ht="12.75">
      <c r="D160" s="471">
        <v>16</v>
      </c>
      <c r="E160" s="471" t="s">
        <v>189</v>
      </c>
      <c r="F160" s="580">
        <v>1.35</v>
      </c>
      <c r="G160" s="523"/>
      <c r="H160" s="526" t="s">
        <v>189</v>
      </c>
      <c r="I160" s="469">
        <v>16</v>
      </c>
    </row>
    <row r="161" spans="4:9" ht="12.75">
      <c r="D161" s="471">
        <v>18</v>
      </c>
      <c r="E161" s="471" t="s">
        <v>190</v>
      </c>
      <c r="F161" s="580">
        <v>1.41</v>
      </c>
      <c r="H161" s="526" t="s">
        <v>190</v>
      </c>
      <c r="I161" s="527">
        <v>18</v>
      </c>
    </row>
    <row r="162" spans="4:9" ht="12.75">
      <c r="D162" s="471">
        <v>18</v>
      </c>
      <c r="E162" s="471" t="s">
        <v>191</v>
      </c>
      <c r="F162" s="580">
        <v>1.44</v>
      </c>
      <c r="H162" s="526" t="s">
        <v>191</v>
      </c>
      <c r="I162" s="527">
        <v>18</v>
      </c>
    </row>
    <row r="163" spans="4:9" ht="12.75">
      <c r="D163" s="471">
        <v>18</v>
      </c>
      <c r="E163" s="471" t="s">
        <v>192</v>
      </c>
      <c r="F163" s="580">
        <v>1.58</v>
      </c>
      <c r="H163" s="526" t="s">
        <v>192</v>
      </c>
      <c r="I163" s="527">
        <v>18</v>
      </c>
    </row>
    <row r="164" spans="4:13" ht="12.75">
      <c r="D164" s="471">
        <v>11</v>
      </c>
      <c r="E164" s="471" t="s">
        <v>193</v>
      </c>
      <c r="F164" s="580">
        <v>0.94</v>
      </c>
      <c r="H164" s="526" t="s">
        <v>193</v>
      </c>
      <c r="I164" s="527">
        <v>11</v>
      </c>
      <c r="J164" s="527"/>
      <c r="K164" s="527"/>
      <c r="M164" s="66" t="s">
        <v>215</v>
      </c>
    </row>
    <row r="165" spans="4:13" ht="12.75">
      <c r="D165" s="471">
        <v>13</v>
      </c>
      <c r="E165" s="471" t="s">
        <v>194</v>
      </c>
      <c r="F165" s="580">
        <v>1.02</v>
      </c>
      <c r="H165" s="526" t="s">
        <v>194</v>
      </c>
      <c r="I165" s="527">
        <v>13</v>
      </c>
      <c r="J165" s="527"/>
      <c r="K165" s="527"/>
      <c r="M165" s="66" t="s">
        <v>214</v>
      </c>
    </row>
    <row r="166" spans="4:9" ht="12.75">
      <c r="D166" s="471">
        <v>18</v>
      </c>
      <c r="E166" s="471" t="s">
        <v>195</v>
      </c>
      <c r="F166" s="580">
        <v>1.17</v>
      </c>
      <c r="H166" s="526" t="s">
        <v>195</v>
      </c>
      <c r="I166" s="527">
        <v>18</v>
      </c>
    </row>
    <row r="167" spans="4:9" ht="12.75">
      <c r="D167" s="471">
        <v>20</v>
      </c>
      <c r="E167" s="471" t="s">
        <v>196</v>
      </c>
      <c r="F167" s="580">
        <v>1.33</v>
      </c>
      <c r="H167" s="526" t="s">
        <v>196</v>
      </c>
      <c r="I167" s="527">
        <v>20</v>
      </c>
    </row>
    <row r="168" spans="4:13" ht="12.75">
      <c r="D168" s="471">
        <v>19</v>
      </c>
      <c r="E168" s="471" t="s">
        <v>197</v>
      </c>
      <c r="F168" s="580">
        <v>1.44</v>
      </c>
      <c r="H168" s="526" t="s">
        <v>197</v>
      </c>
      <c r="I168" s="527">
        <v>19</v>
      </c>
      <c r="M168" s="66" t="s">
        <v>227</v>
      </c>
    </row>
    <row r="169" spans="4:9" ht="12.75">
      <c r="D169" s="471">
        <v>18</v>
      </c>
      <c r="E169" s="471" t="s">
        <v>198</v>
      </c>
      <c r="F169" s="580">
        <v>0.91</v>
      </c>
      <c r="H169" s="526" t="s">
        <v>198</v>
      </c>
      <c r="I169" s="527">
        <v>18</v>
      </c>
    </row>
    <row r="170" spans="4:9" ht="12.75">
      <c r="D170" s="471">
        <v>18</v>
      </c>
      <c r="E170" s="471" t="s">
        <v>199</v>
      </c>
      <c r="F170" s="580">
        <v>1</v>
      </c>
      <c r="H170" s="526" t="s">
        <v>199</v>
      </c>
      <c r="I170" s="527">
        <v>18</v>
      </c>
    </row>
    <row r="171" spans="4:9" ht="12.75">
      <c r="D171" s="471">
        <v>18</v>
      </c>
      <c r="E171" s="471" t="s">
        <v>200</v>
      </c>
      <c r="F171" s="580">
        <v>1.17</v>
      </c>
      <c r="H171" s="526" t="s">
        <v>200</v>
      </c>
      <c r="I171" s="527">
        <v>18</v>
      </c>
    </row>
    <row r="172" spans="4:9" ht="12.75">
      <c r="D172" s="471">
        <v>18</v>
      </c>
      <c r="E172" s="471" t="s">
        <v>201</v>
      </c>
      <c r="F172" s="580">
        <v>1.33</v>
      </c>
      <c r="H172" s="526" t="s">
        <v>201</v>
      </c>
      <c r="I172" s="527">
        <v>18</v>
      </c>
    </row>
    <row r="173" spans="4:9" ht="12.75">
      <c r="D173" s="471">
        <v>18</v>
      </c>
      <c r="E173" s="471" t="s">
        <v>202</v>
      </c>
      <c r="F173" s="580">
        <v>1.44</v>
      </c>
      <c r="H173" s="526" t="s">
        <v>202</v>
      </c>
      <c r="I173" s="527">
        <v>18</v>
      </c>
    </row>
    <row r="174" spans="4:9" ht="12.75">
      <c r="D174" s="471">
        <v>7</v>
      </c>
      <c r="E174" s="471">
        <v>1</v>
      </c>
      <c r="F174" s="580">
        <v>0.47</v>
      </c>
      <c r="H174" s="469">
        <v>1</v>
      </c>
      <c r="I174" s="527">
        <v>7</v>
      </c>
    </row>
    <row r="175" spans="4:9" ht="12.75">
      <c r="D175" s="471">
        <v>8</v>
      </c>
      <c r="E175" s="471">
        <v>2</v>
      </c>
      <c r="F175" s="580">
        <v>0.51</v>
      </c>
      <c r="H175" s="469">
        <v>2</v>
      </c>
      <c r="I175" s="527">
        <v>8</v>
      </c>
    </row>
    <row r="176" spans="4:9" ht="12.75">
      <c r="D176" s="471">
        <v>9</v>
      </c>
      <c r="E176" s="471">
        <v>3</v>
      </c>
      <c r="F176" s="580">
        <v>0.56</v>
      </c>
      <c r="H176" s="469">
        <v>3</v>
      </c>
      <c r="I176" s="527">
        <v>9</v>
      </c>
    </row>
    <row r="177" spans="4:9" ht="12.75">
      <c r="D177" s="471">
        <v>11</v>
      </c>
      <c r="E177" s="471">
        <v>4</v>
      </c>
      <c r="F177" s="580">
        <v>0.59</v>
      </c>
      <c r="H177" s="469">
        <v>4</v>
      </c>
      <c r="I177" s="527">
        <v>11</v>
      </c>
    </row>
    <row r="178" spans="4:9" ht="12.75">
      <c r="D178" s="471">
        <v>12</v>
      </c>
      <c r="E178" s="471">
        <v>5</v>
      </c>
      <c r="F178" s="580">
        <v>0.62</v>
      </c>
      <c r="H178" s="469">
        <v>5</v>
      </c>
      <c r="I178" s="527">
        <v>12</v>
      </c>
    </row>
    <row r="179" spans="4:9" ht="12.75">
      <c r="D179" s="471">
        <v>11</v>
      </c>
      <c r="E179" s="471">
        <v>6</v>
      </c>
      <c r="F179" s="580">
        <v>0.65</v>
      </c>
      <c r="H179" s="469">
        <v>6</v>
      </c>
      <c r="I179" s="527">
        <v>11</v>
      </c>
    </row>
    <row r="180" spans="4:9" ht="12.75">
      <c r="D180" s="471">
        <v>12</v>
      </c>
      <c r="E180" s="471">
        <v>7</v>
      </c>
      <c r="F180" s="580">
        <v>0.71</v>
      </c>
      <c r="H180" s="469">
        <v>7</v>
      </c>
      <c r="I180" s="527">
        <v>12</v>
      </c>
    </row>
    <row r="181" spans="4:9" ht="12.75">
      <c r="D181" s="471">
        <v>13</v>
      </c>
      <c r="E181" s="471">
        <v>8</v>
      </c>
      <c r="F181" s="580">
        <v>0.81</v>
      </c>
      <c r="H181" s="469">
        <v>8</v>
      </c>
      <c r="I181" s="527">
        <v>13</v>
      </c>
    </row>
    <row r="182" spans="4:9" ht="12.75">
      <c r="D182" s="471">
        <v>10</v>
      </c>
      <c r="E182" s="471">
        <v>9</v>
      </c>
      <c r="F182" s="580">
        <v>0.91</v>
      </c>
      <c r="H182" s="469">
        <v>9</v>
      </c>
      <c r="I182" s="527">
        <v>10</v>
      </c>
    </row>
    <row r="183" spans="4:9" ht="12.75">
      <c r="D183" s="471">
        <v>13</v>
      </c>
      <c r="E183" s="471">
        <v>10</v>
      </c>
      <c r="F183" s="580">
        <v>1</v>
      </c>
      <c r="H183" s="469">
        <v>10</v>
      </c>
      <c r="I183" s="527">
        <v>13</v>
      </c>
    </row>
    <row r="184" spans="4:9" ht="12.75">
      <c r="D184" s="471">
        <v>18</v>
      </c>
      <c r="E184" s="471">
        <v>11</v>
      </c>
      <c r="F184" s="580">
        <v>1.17</v>
      </c>
      <c r="H184" s="469">
        <v>11</v>
      </c>
      <c r="I184" s="527">
        <v>18</v>
      </c>
    </row>
    <row r="185" spans="4:9" ht="12.75">
      <c r="D185" s="471">
        <v>16</v>
      </c>
      <c r="E185" s="471">
        <v>12</v>
      </c>
      <c r="F185" s="580">
        <v>1.33</v>
      </c>
      <c r="H185" s="469">
        <v>12</v>
      </c>
      <c r="I185" s="527">
        <v>16</v>
      </c>
    </row>
    <row r="186" spans="4:9" ht="12.75">
      <c r="D186" s="471">
        <v>13</v>
      </c>
      <c r="E186" s="471">
        <v>13</v>
      </c>
      <c r="F186" s="580">
        <v>1.44</v>
      </c>
      <c r="H186" s="469">
        <v>13</v>
      </c>
      <c r="I186" s="527">
        <v>13</v>
      </c>
    </row>
    <row r="187" spans="4:9" ht="12.75">
      <c r="D187" s="471">
        <v>11</v>
      </c>
      <c r="E187" s="471">
        <v>14</v>
      </c>
      <c r="F187" s="580">
        <v>1.58</v>
      </c>
      <c r="H187" s="469">
        <v>14</v>
      </c>
      <c r="I187" s="527">
        <v>11</v>
      </c>
    </row>
    <row r="188" spans="4:9" ht="12.75">
      <c r="D188" s="471">
        <v>12</v>
      </c>
      <c r="E188" s="471">
        <v>15</v>
      </c>
      <c r="F188" s="580">
        <v>1.74</v>
      </c>
      <c r="H188" s="469">
        <v>15</v>
      </c>
      <c r="I188" s="527">
        <v>12</v>
      </c>
    </row>
    <row r="189" spans="4:9" ht="12.75">
      <c r="D189" s="471">
        <v>1</v>
      </c>
      <c r="E189" s="471" t="s">
        <v>203</v>
      </c>
      <c r="F189" s="580">
        <v>0.32</v>
      </c>
      <c r="H189" s="469" t="s">
        <v>203</v>
      </c>
      <c r="I189" s="527">
        <v>1</v>
      </c>
    </row>
    <row r="190" spans="4:9" ht="12.75">
      <c r="D190" s="471">
        <v>1</v>
      </c>
      <c r="E190" s="471" t="s">
        <v>204</v>
      </c>
      <c r="F190" s="580">
        <v>0.33</v>
      </c>
      <c r="H190" s="469" t="s">
        <v>204</v>
      </c>
      <c r="I190" s="527">
        <v>1</v>
      </c>
    </row>
  </sheetData>
  <sheetProtection password="DE55" sheet="1" objects="1" scenarios="1"/>
  <mergeCells count="2">
    <mergeCell ref="M86:N86"/>
    <mergeCell ref="P86:Q86"/>
  </mergeCells>
  <printOptions/>
  <pageMargins left="0.75" right="0.75" top="1" bottom="1" header="0.5" footer="0.5"/>
  <pageSetup horizontalDpi="600" verticalDpi="600" orientation="landscape" paperSize="9" scale="50" r:id="rId3"/>
  <headerFooter alignWithMargins="0">
    <oddHeader>&amp;L&amp;"Arial,Vet"&amp;9&amp;F&amp;R&amp;"Arial,Vet"&amp;9&amp;A</oddHeader>
    <oddFooter>&amp;L&amp;"Arial,Vet"&amp;9vos/abb&amp;C&amp;"Arial,Vet"&amp;9&amp;P&amp;R&amp;"Arial,Vet"&amp;9&amp;D</oddFooter>
  </headerFooter>
  <rowBreaks count="1" manualBreakCount="1">
    <brk id="48" min="1" max="17" man="1"/>
  </rowBreaks>
  <colBreaks count="1" manualBreakCount="1">
    <brk id="18" min="1" max="6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Y90"/>
  <sheetViews>
    <sheetView showGridLines="0" zoomScale="80" zoomScaleNormal="80" workbookViewId="0" topLeftCell="A1">
      <selection activeCell="B2" sqref="B2"/>
    </sheetView>
  </sheetViews>
  <sheetFormatPr defaultColWidth="9.140625" defaultRowHeight="12.75"/>
  <cols>
    <col min="1" max="1" width="5.7109375" style="260" customWidth="1"/>
    <col min="2" max="3" width="2.7109375" style="260" customWidth="1"/>
    <col min="4" max="4" width="30.57421875" style="260" customWidth="1"/>
    <col min="5" max="5" width="2.7109375" style="260" customWidth="1"/>
    <col min="6" max="6" width="70.7109375" style="260" customWidth="1"/>
    <col min="7" max="8" width="2.7109375" style="260" customWidth="1"/>
    <col min="9" max="16384" width="9.140625" style="260" customWidth="1"/>
  </cols>
  <sheetData>
    <row r="1" ht="13.5" thickBot="1"/>
    <row r="2" spans="2:8" ht="12.75">
      <c r="B2" s="261"/>
      <c r="C2" s="262"/>
      <c r="D2" s="262"/>
      <c r="E2" s="262"/>
      <c r="F2" s="262"/>
      <c r="G2" s="262"/>
      <c r="H2" s="263"/>
    </row>
    <row r="3" spans="2:8" ht="12.75">
      <c r="B3" s="264"/>
      <c r="C3" s="265"/>
      <c r="D3" s="265"/>
      <c r="E3" s="265"/>
      <c r="F3" s="265"/>
      <c r="G3" s="265"/>
      <c r="H3" s="266"/>
    </row>
    <row r="4" spans="2:51" s="275" customFormat="1" ht="18">
      <c r="B4" s="274"/>
      <c r="C4" s="14" t="s">
        <v>348</v>
      </c>
      <c r="E4" s="85"/>
      <c r="F4" s="85"/>
      <c r="G4" s="85"/>
      <c r="H4" s="245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</row>
    <row r="5" spans="2:51" ht="12.75">
      <c r="B5" s="264"/>
      <c r="C5" s="265"/>
      <c r="D5" s="42"/>
      <c r="E5" s="238"/>
      <c r="F5" s="238"/>
      <c r="G5" s="238"/>
      <c r="H5" s="241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</row>
    <row r="6" spans="2:51" ht="12.75">
      <c r="B6" s="264"/>
      <c r="C6" s="265"/>
      <c r="D6" s="42"/>
      <c r="E6" s="238"/>
      <c r="F6" s="238"/>
      <c r="G6" s="238"/>
      <c r="H6" s="241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</row>
    <row r="7" spans="2:51" ht="12.75">
      <c r="B7" s="264"/>
      <c r="C7" s="265"/>
      <c r="D7" s="42"/>
      <c r="E7" s="238"/>
      <c r="F7" s="238"/>
      <c r="G7" s="238"/>
      <c r="H7" s="241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</row>
    <row r="8" spans="2:51" ht="12.75">
      <c r="B8" s="264"/>
      <c r="C8" s="272"/>
      <c r="D8" s="28"/>
      <c r="E8" s="246"/>
      <c r="F8" s="246"/>
      <c r="G8" s="246"/>
      <c r="H8" s="241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</row>
    <row r="9" spans="2:51" ht="12.75">
      <c r="B9" s="264"/>
      <c r="C9" s="272"/>
      <c r="D9" s="246" t="s">
        <v>358</v>
      </c>
      <c r="E9" s="246"/>
      <c r="F9" s="267"/>
      <c r="G9" s="273"/>
      <c r="H9" s="241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</row>
    <row r="10" spans="2:51" ht="12.75">
      <c r="B10" s="264"/>
      <c r="C10" s="272"/>
      <c r="D10" s="246" t="s">
        <v>33</v>
      </c>
      <c r="E10" s="246"/>
      <c r="F10" s="267"/>
      <c r="G10" s="273"/>
      <c r="H10" s="241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</row>
    <row r="11" spans="2:51" ht="12.75">
      <c r="B11" s="264"/>
      <c r="C11" s="272"/>
      <c r="D11" s="246" t="s">
        <v>34</v>
      </c>
      <c r="E11" s="246"/>
      <c r="F11" s="267"/>
      <c r="G11" s="273"/>
      <c r="H11" s="241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</row>
    <row r="12" spans="2:51" ht="12.75">
      <c r="B12" s="264"/>
      <c r="C12" s="272"/>
      <c r="D12" s="246" t="s">
        <v>38</v>
      </c>
      <c r="E12" s="246"/>
      <c r="F12" s="267"/>
      <c r="G12" s="273"/>
      <c r="H12" s="241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</row>
    <row r="13" spans="2:51" ht="12.75">
      <c r="B13" s="264"/>
      <c r="C13" s="272"/>
      <c r="D13" s="246" t="s">
        <v>35</v>
      </c>
      <c r="E13" s="246"/>
      <c r="F13" s="267"/>
      <c r="G13" s="273"/>
      <c r="H13" s="241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</row>
    <row r="14" spans="2:51" ht="12.75">
      <c r="B14" s="264"/>
      <c r="C14" s="272"/>
      <c r="D14" s="246" t="s">
        <v>36</v>
      </c>
      <c r="E14" s="246"/>
      <c r="F14" s="267"/>
      <c r="G14" s="273"/>
      <c r="H14" s="241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</row>
    <row r="15" spans="2:51" ht="12.75">
      <c r="B15" s="264"/>
      <c r="C15" s="272"/>
      <c r="D15" s="246" t="s">
        <v>37</v>
      </c>
      <c r="E15" s="246"/>
      <c r="F15" s="267"/>
      <c r="G15" s="273"/>
      <c r="H15" s="241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</row>
    <row r="16" spans="2:51" ht="12.75">
      <c r="B16" s="264"/>
      <c r="C16" s="272"/>
      <c r="D16" s="28"/>
      <c r="E16" s="246"/>
      <c r="F16" s="246"/>
      <c r="G16" s="246"/>
      <c r="H16" s="241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</row>
    <row r="17" spans="2:22" ht="12.75">
      <c r="B17" s="264"/>
      <c r="C17" s="272"/>
      <c r="D17" s="246" t="s">
        <v>358</v>
      </c>
      <c r="E17" s="246"/>
      <c r="F17" s="267"/>
      <c r="G17" s="273"/>
      <c r="H17" s="268"/>
      <c r="I17" s="226"/>
      <c r="J17" s="87"/>
      <c r="P17" s="87"/>
      <c r="V17" s="87"/>
    </row>
    <row r="18" spans="2:22" ht="12.75">
      <c r="B18" s="264"/>
      <c r="C18" s="272"/>
      <c r="D18" s="246" t="s">
        <v>33</v>
      </c>
      <c r="E18" s="246"/>
      <c r="F18" s="267"/>
      <c r="G18" s="273"/>
      <c r="H18" s="268"/>
      <c r="I18" s="226"/>
      <c r="J18" s="87"/>
      <c r="P18" s="87"/>
      <c r="V18" s="87"/>
    </row>
    <row r="19" spans="2:22" ht="12.75">
      <c r="B19" s="264"/>
      <c r="C19" s="272"/>
      <c r="D19" s="246" t="s">
        <v>34</v>
      </c>
      <c r="E19" s="246"/>
      <c r="F19" s="267"/>
      <c r="G19" s="273"/>
      <c r="H19" s="268"/>
      <c r="I19" s="226"/>
      <c r="J19" s="87"/>
      <c r="P19" s="87"/>
      <c r="V19" s="87"/>
    </row>
    <row r="20" spans="2:22" ht="12.75">
      <c r="B20" s="264"/>
      <c r="C20" s="272"/>
      <c r="D20" s="246" t="s">
        <v>38</v>
      </c>
      <c r="E20" s="246"/>
      <c r="F20" s="267"/>
      <c r="G20" s="273"/>
      <c r="H20" s="241"/>
      <c r="I20" s="87"/>
      <c r="J20" s="87"/>
      <c r="P20" s="87"/>
      <c r="V20" s="87"/>
    </row>
    <row r="21" spans="2:22" ht="12.75">
      <c r="B21" s="264"/>
      <c r="C21" s="272"/>
      <c r="D21" s="246" t="s">
        <v>35</v>
      </c>
      <c r="E21" s="246"/>
      <c r="F21" s="267"/>
      <c r="G21" s="273"/>
      <c r="H21" s="241"/>
      <c r="I21" s="87"/>
      <c r="J21" s="87"/>
      <c r="P21" s="87"/>
      <c r="V21" s="87"/>
    </row>
    <row r="22" spans="2:22" ht="12.75">
      <c r="B22" s="264"/>
      <c r="C22" s="272"/>
      <c r="D22" s="246" t="s">
        <v>36</v>
      </c>
      <c r="E22" s="246"/>
      <c r="F22" s="267"/>
      <c r="G22" s="273"/>
      <c r="H22" s="241"/>
      <c r="I22" s="87"/>
      <c r="J22" s="87"/>
      <c r="P22" s="87"/>
      <c r="V22" s="87"/>
    </row>
    <row r="23" spans="2:22" ht="12.75">
      <c r="B23" s="264"/>
      <c r="C23" s="272"/>
      <c r="D23" s="246" t="s">
        <v>37</v>
      </c>
      <c r="E23" s="246"/>
      <c r="F23" s="267"/>
      <c r="G23" s="273"/>
      <c r="H23" s="268"/>
      <c r="I23" s="226"/>
      <c r="J23" s="87"/>
      <c r="P23" s="87"/>
      <c r="V23" s="87"/>
    </row>
    <row r="24" spans="2:8" ht="12.75">
      <c r="B24" s="264"/>
      <c r="C24" s="272"/>
      <c r="D24" s="272"/>
      <c r="E24" s="272"/>
      <c r="F24" s="272"/>
      <c r="G24" s="272"/>
      <c r="H24" s="266"/>
    </row>
    <row r="25" spans="2:9" ht="12.75">
      <c r="B25" s="264"/>
      <c r="C25" s="272"/>
      <c r="D25" s="246" t="s">
        <v>358</v>
      </c>
      <c r="E25" s="246"/>
      <c r="F25" s="267"/>
      <c r="G25" s="273"/>
      <c r="H25" s="268"/>
      <c r="I25" s="226"/>
    </row>
    <row r="26" spans="2:9" ht="12.75">
      <c r="B26" s="264"/>
      <c r="C26" s="272"/>
      <c r="D26" s="246" t="s">
        <v>33</v>
      </c>
      <c r="E26" s="246"/>
      <c r="F26" s="267"/>
      <c r="G26" s="273"/>
      <c r="H26" s="268"/>
      <c r="I26" s="226"/>
    </row>
    <row r="27" spans="2:9" ht="12.75">
      <c r="B27" s="264"/>
      <c r="C27" s="272"/>
      <c r="D27" s="246" t="s">
        <v>34</v>
      </c>
      <c r="E27" s="246"/>
      <c r="F27" s="267"/>
      <c r="G27" s="273"/>
      <c r="H27" s="268"/>
      <c r="I27" s="226"/>
    </row>
    <row r="28" spans="2:9" ht="12.75">
      <c r="B28" s="264"/>
      <c r="C28" s="272"/>
      <c r="D28" s="246" t="s">
        <v>38</v>
      </c>
      <c r="E28" s="246"/>
      <c r="F28" s="267"/>
      <c r="G28" s="273"/>
      <c r="H28" s="241"/>
      <c r="I28" s="87"/>
    </row>
    <row r="29" spans="2:9" ht="12.75">
      <c r="B29" s="264"/>
      <c r="C29" s="272"/>
      <c r="D29" s="246" t="s">
        <v>35</v>
      </c>
      <c r="E29" s="246"/>
      <c r="F29" s="267"/>
      <c r="G29" s="273"/>
      <c r="H29" s="241"/>
      <c r="I29" s="87"/>
    </row>
    <row r="30" spans="2:9" ht="12.75">
      <c r="B30" s="264"/>
      <c r="C30" s="272"/>
      <c r="D30" s="246" t="s">
        <v>36</v>
      </c>
      <c r="E30" s="246"/>
      <c r="F30" s="267"/>
      <c r="G30" s="273"/>
      <c r="H30" s="241"/>
      <c r="I30" s="87"/>
    </row>
    <row r="31" spans="2:9" ht="12.75">
      <c r="B31" s="264"/>
      <c r="C31" s="272"/>
      <c r="D31" s="246" t="s">
        <v>37</v>
      </c>
      <c r="E31" s="246"/>
      <c r="F31" s="267"/>
      <c r="G31" s="273"/>
      <c r="H31" s="268"/>
      <c r="I31" s="226"/>
    </row>
    <row r="32" spans="2:8" ht="12.75">
      <c r="B32" s="264"/>
      <c r="C32" s="272"/>
      <c r="D32" s="272"/>
      <c r="E32" s="272"/>
      <c r="F32" s="272"/>
      <c r="G32" s="272"/>
      <c r="H32" s="266"/>
    </row>
    <row r="33" spans="2:9" ht="12.75">
      <c r="B33" s="264"/>
      <c r="C33" s="272"/>
      <c r="D33" s="246" t="s">
        <v>358</v>
      </c>
      <c r="E33" s="246"/>
      <c r="F33" s="267"/>
      <c r="G33" s="273"/>
      <c r="H33" s="268"/>
      <c r="I33" s="226"/>
    </row>
    <row r="34" spans="2:9" ht="12.75">
      <c r="B34" s="264"/>
      <c r="C34" s="272"/>
      <c r="D34" s="246" t="s">
        <v>33</v>
      </c>
      <c r="E34" s="246"/>
      <c r="F34" s="267"/>
      <c r="G34" s="273"/>
      <c r="H34" s="268"/>
      <c r="I34" s="226"/>
    </row>
    <row r="35" spans="2:9" ht="12.75">
      <c r="B35" s="264"/>
      <c r="C35" s="272"/>
      <c r="D35" s="246" t="s">
        <v>34</v>
      </c>
      <c r="E35" s="246"/>
      <c r="F35" s="267"/>
      <c r="G35" s="273"/>
      <c r="H35" s="268"/>
      <c r="I35" s="226"/>
    </row>
    <row r="36" spans="2:9" ht="12.75">
      <c r="B36" s="264"/>
      <c r="C36" s="272"/>
      <c r="D36" s="246" t="s">
        <v>38</v>
      </c>
      <c r="E36" s="246"/>
      <c r="F36" s="267"/>
      <c r="G36" s="273"/>
      <c r="H36" s="241"/>
      <c r="I36" s="87"/>
    </row>
    <row r="37" spans="2:9" ht="12.75">
      <c r="B37" s="264"/>
      <c r="C37" s="272"/>
      <c r="D37" s="246" t="s">
        <v>35</v>
      </c>
      <c r="E37" s="246"/>
      <c r="F37" s="267"/>
      <c r="G37" s="273"/>
      <c r="H37" s="241"/>
      <c r="I37" s="87"/>
    </row>
    <row r="38" spans="2:9" ht="12.75">
      <c r="B38" s="264"/>
      <c r="C38" s="272"/>
      <c r="D38" s="246" t="s">
        <v>36</v>
      </c>
      <c r="E38" s="246"/>
      <c r="F38" s="267"/>
      <c r="G38" s="273"/>
      <c r="H38" s="241"/>
      <c r="I38" s="87"/>
    </row>
    <row r="39" spans="2:9" ht="12.75">
      <c r="B39" s="264"/>
      <c r="C39" s="272"/>
      <c r="D39" s="246" t="s">
        <v>37</v>
      </c>
      <c r="E39" s="246"/>
      <c r="F39" s="267"/>
      <c r="G39" s="273"/>
      <c r="H39" s="268"/>
      <c r="I39" s="226"/>
    </row>
    <row r="40" spans="2:8" ht="12.75">
      <c r="B40" s="264"/>
      <c r="C40" s="272"/>
      <c r="D40" s="272"/>
      <c r="E40" s="272"/>
      <c r="F40" s="272"/>
      <c r="G40" s="272"/>
      <c r="H40" s="266"/>
    </row>
    <row r="41" spans="2:22" ht="12.75">
      <c r="B41" s="264"/>
      <c r="C41" s="272"/>
      <c r="D41" s="246" t="s">
        <v>358</v>
      </c>
      <c r="E41" s="246"/>
      <c r="F41" s="267"/>
      <c r="G41" s="273"/>
      <c r="H41" s="268"/>
      <c r="I41" s="226"/>
      <c r="J41" s="87"/>
      <c r="P41" s="87"/>
      <c r="V41" s="87"/>
    </row>
    <row r="42" spans="2:22" ht="12.75">
      <c r="B42" s="264"/>
      <c r="C42" s="272"/>
      <c r="D42" s="246" t="s">
        <v>33</v>
      </c>
      <c r="E42" s="246"/>
      <c r="F42" s="267"/>
      <c r="G42" s="273"/>
      <c r="H42" s="268"/>
      <c r="I42" s="226"/>
      <c r="J42" s="87"/>
      <c r="P42" s="87"/>
      <c r="V42" s="87"/>
    </row>
    <row r="43" spans="2:22" ht="12.75">
      <c r="B43" s="264"/>
      <c r="C43" s="272"/>
      <c r="D43" s="246" t="s">
        <v>34</v>
      </c>
      <c r="E43" s="246"/>
      <c r="F43" s="267"/>
      <c r="G43" s="273"/>
      <c r="H43" s="268"/>
      <c r="I43" s="226"/>
      <c r="J43" s="87"/>
      <c r="P43" s="87"/>
      <c r="V43" s="87"/>
    </row>
    <row r="44" spans="2:22" ht="12.75">
      <c r="B44" s="264"/>
      <c r="C44" s="272"/>
      <c r="D44" s="246" t="s">
        <v>38</v>
      </c>
      <c r="E44" s="246"/>
      <c r="F44" s="267"/>
      <c r="G44" s="273"/>
      <c r="H44" s="241"/>
      <c r="I44" s="87"/>
      <c r="J44" s="87"/>
      <c r="P44" s="87"/>
      <c r="V44" s="87"/>
    </row>
    <row r="45" spans="2:22" ht="12.75">
      <c r="B45" s="264"/>
      <c r="C45" s="272"/>
      <c r="D45" s="246" t="s">
        <v>35</v>
      </c>
      <c r="E45" s="246"/>
      <c r="F45" s="267"/>
      <c r="G45" s="273"/>
      <c r="H45" s="241"/>
      <c r="I45" s="87"/>
      <c r="J45" s="87"/>
      <c r="P45" s="87"/>
      <c r="V45" s="87"/>
    </row>
    <row r="46" spans="2:22" ht="12.75">
      <c r="B46" s="264"/>
      <c r="C46" s="272"/>
      <c r="D46" s="246" t="s">
        <v>36</v>
      </c>
      <c r="E46" s="246"/>
      <c r="F46" s="267"/>
      <c r="G46" s="273"/>
      <c r="H46" s="241"/>
      <c r="I46" s="87"/>
      <c r="J46" s="87"/>
      <c r="P46" s="87"/>
      <c r="V46" s="87"/>
    </row>
    <row r="47" spans="2:22" ht="12.75">
      <c r="B47" s="264"/>
      <c r="C47" s="272"/>
      <c r="D47" s="246" t="s">
        <v>37</v>
      </c>
      <c r="E47" s="246"/>
      <c r="F47" s="267"/>
      <c r="G47" s="273"/>
      <c r="H47" s="268"/>
      <c r="I47" s="226"/>
      <c r="J47" s="87"/>
      <c r="P47" s="87"/>
      <c r="V47" s="87"/>
    </row>
    <row r="48" spans="2:8" ht="12.75">
      <c r="B48" s="264"/>
      <c r="C48" s="272"/>
      <c r="D48" s="272"/>
      <c r="E48" s="272"/>
      <c r="F48" s="272"/>
      <c r="G48" s="272"/>
      <c r="H48" s="266"/>
    </row>
    <row r="49" spans="2:9" ht="12.75">
      <c r="B49" s="264"/>
      <c r="C49" s="272"/>
      <c r="D49" s="246" t="s">
        <v>358</v>
      </c>
      <c r="E49" s="246"/>
      <c r="F49" s="267"/>
      <c r="G49" s="273"/>
      <c r="H49" s="268"/>
      <c r="I49" s="226"/>
    </row>
    <row r="50" spans="2:9" ht="12.75">
      <c r="B50" s="264"/>
      <c r="C50" s="272"/>
      <c r="D50" s="246" t="s">
        <v>33</v>
      </c>
      <c r="E50" s="246"/>
      <c r="F50" s="267"/>
      <c r="G50" s="273"/>
      <c r="H50" s="268"/>
      <c r="I50" s="226"/>
    </row>
    <row r="51" spans="2:9" ht="12.75">
      <c r="B51" s="264"/>
      <c r="C51" s="272"/>
      <c r="D51" s="246" t="s">
        <v>34</v>
      </c>
      <c r="E51" s="246"/>
      <c r="F51" s="267"/>
      <c r="G51" s="273"/>
      <c r="H51" s="268"/>
      <c r="I51" s="226"/>
    </row>
    <row r="52" spans="2:9" ht="12.75">
      <c r="B52" s="264"/>
      <c r="C52" s="272"/>
      <c r="D52" s="246" t="s">
        <v>38</v>
      </c>
      <c r="E52" s="246"/>
      <c r="F52" s="267"/>
      <c r="G52" s="273"/>
      <c r="H52" s="241"/>
      <c r="I52" s="87"/>
    </row>
    <row r="53" spans="2:9" ht="12.75">
      <c r="B53" s="264"/>
      <c r="C53" s="272"/>
      <c r="D53" s="246" t="s">
        <v>35</v>
      </c>
      <c r="E53" s="246"/>
      <c r="F53" s="267"/>
      <c r="G53" s="273"/>
      <c r="H53" s="241"/>
      <c r="I53" s="87"/>
    </row>
    <row r="54" spans="2:9" ht="12.75">
      <c r="B54" s="264"/>
      <c r="C54" s="272"/>
      <c r="D54" s="246" t="s">
        <v>36</v>
      </c>
      <c r="E54" s="246"/>
      <c r="F54" s="267"/>
      <c r="G54" s="273"/>
      <c r="H54" s="241"/>
      <c r="I54" s="87"/>
    </row>
    <row r="55" spans="2:9" ht="12.75">
      <c r="B55" s="264"/>
      <c r="C55" s="272"/>
      <c r="D55" s="246" t="s">
        <v>37</v>
      </c>
      <c r="E55" s="246"/>
      <c r="F55" s="267"/>
      <c r="G55" s="273"/>
      <c r="H55" s="268"/>
      <c r="I55" s="226"/>
    </row>
    <row r="56" spans="2:8" ht="12.75">
      <c r="B56" s="264"/>
      <c r="C56" s="272"/>
      <c r="D56" s="272"/>
      <c r="E56" s="272"/>
      <c r="F56" s="272"/>
      <c r="G56" s="272"/>
      <c r="H56" s="266"/>
    </row>
    <row r="57" spans="2:9" ht="12.75">
      <c r="B57" s="264"/>
      <c r="C57" s="272"/>
      <c r="D57" s="246" t="s">
        <v>358</v>
      </c>
      <c r="E57" s="246"/>
      <c r="F57" s="267"/>
      <c r="G57" s="273"/>
      <c r="H57" s="268"/>
      <c r="I57" s="226"/>
    </row>
    <row r="58" spans="2:9" ht="12.75">
      <c r="B58" s="264"/>
      <c r="C58" s="272"/>
      <c r="D58" s="246" t="s">
        <v>33</v>
      </c>
      <c r="E58" s="246"/>
      <c r="F58" s="267"/>
      <c r="G58" s="273"/>
      <c r="H58" s="268"/>
      <c r="I58" s="226"/>
    </row>
    <row r="59" spans="2:9" ht="12.75">
      <c r="B59" s="264"/>
      <c r="C59" s="272"/>
      <c r="D59" s="246" t="s">
        <v>34</v>
      </c>
      <c r="E59" s="246"/>
      <c r="F59" s="267"/>
      <c r="G59" s="273"/>
      <c r="H59" s="268"/>
      <c r="I59" s="226"/>
    </row>
    <row r="60" spans="2:9" ht="12.75">
      <c r="B60" s="264"/>
      <c r="C60" s="272"/>
      <c r="D60" s="246" t="s">
        <v>38</v>
      </c>
      <c r="E60" s="246"/>
      <c r="F60" s="267"/>
      <c r="G60" s="273"/>
      <c r="H60" s="241"/>
      <c r="I60" s="87"/>
    </row>
    <row r="61" spans="2:9" ht="12.75">
      <c r="B61" s="264"/>
      <c r="C61" s="272"/>
      <c r="D61" s="246" t="s">
        <v>35</v>
      </c>
      <c r="E61" s="246"/>
      <c r="F61" s="267"/>
      <c r="G61" s="273"/>
      <c r="H61" s="241"/>
      <c r="I61" s="87"/>
    </row>
    <row r="62" spans="2:9" ht="12.75">
      <c r="B62" s="264"/>
      <c r="C62" s="272"/>
      <c r="D62" s="246" t="s">
        <v>36</v>
      </c>
      <c r="E62" s="246"/>
      <c r="F62" s="267"/>
      <c r="G62" s="273"/>
      <c r="H62" s="241"/>
      <c r="I62" s="87"/>
    </row>
    <row r="63" spans="2:9" ht="12.75">
      <c r="B63" s="264"/>
      <c r="C63" s="272"/>
      <c r="D63" s="246" t="s">
        <v>37</v>
      </c>
      <c r="E63" s="246"/>
      <c r="F63" s="267"/>
      <c r="G63" s="273"/>
      <c r="H63" s="268"/>
      <c r="I63" s="226"/>
    </row>
    <row r="64" spans="2:8" ht="12.75">
      <c r="B64" s="264"/>
      <c r="C64" s="272"/>
      <c r="D64" s="272"/>
      <c r="E64" s="272"/>
      <c r="F64" s="272"/>
      <c r="G64" s="272"/>
      <c r="H64" s="266"/>
    </row>
    <row r="65" spans="2:10" ht="12.75">
      <c r="B65" s="264"/>
      <c r="C65" s="272"/>
      <c r="D65" s="246" t="s">
        <v>358</v>
      </c>
      <c r="E65" s="246"/>
      <c r="F65" s="267"/>
      <c r="G65" s="273"/>
      <c r="H65" s="268"/>
      <c r="I65" s="226"/>
      <c r="J65" s="87"/>
    </row>
    <row r="66" spans="2:10" ht="12.75">
      <c r="B66" s="264"/>
      <c r="C66" s="272"/>
      <c r="D66" s="246" t="s">
        <v>33</v>
      </c>
      <c r="E66" s="246"/>
      <c r="F66" s="267"/>
      <c r="G66" s="273"/>
      <c r="H66" s="268"/>
      <c r="I66" s="226"/>
      <c r="J66" s="87"/>
    </row>
    <row r="67" spans="2:10" ht="12.75">
      <c r="B67" s="264"/>
      <c r="C67" s="272"/>
      <c r="D67" s="246" t="s">
        <v>34</v>
      </c>
      <c r="E67" s="246"/>
      <c r="F67" s="267"/>
      <c r="G67" s="273"/>
      <c r="H67" s="268"/>
      <c r="I67" s="226"/>
      <c r="J67" s="87"/>
    </row>
    <row r="68" spans="2:10" ht="12.75">
      <c r="B68" s="264"/>
      <c r="C68" s="272"/>
      <c r="D68" s="246" t="s">
        <v>38</v>
      </c>
      <c r="E68" s="246"/>
      <c r="F68" s="267"/>
      <c r="G68" s="273"/>
      <c r="H68" s="241"/>
      <c r="I68" s="87"/>
      <c r="J68" s="87"/>
    </row>
    <row r="69" spans="2:10" ht="12.75">
      <c r="B69" s="264"/>
      <c r="C69" s="272"/>
      <c r="D69" s="246" t="s">
        <v>35</v>
      </c>
      <c r="E69" s="246"/>
      <c r="F69" s="267"/>
      <c r="G69" s="273"/>
      <c r="H69" s="241"/>
      <c r="I69" s="87"/>
      <c r="J69" s="87"/>
    </row>
    <row r="70" spans="2:10" ht="12.75">
      <c r="B70" s="264"/>
      <c r="C70" s="272"/>
      <c r="D70" s="246" t="s">
        <v>36</v>
      </c>
      <c r="E70" s="246"/>
      <c r="F70" s="267"/>
      <c r="G70" s="273"/>
      <c r="H70" s="241"/>
      <c r="I70" s="87"/>
      <c r="J70" s="87"/>
    </row>
    <row r="71" spans="2:10" ht="12.75">
      <c r="B71" s="264"/>
      <c r="C71" s="272"/>
      <c r="D71" s="246" t="s">
        <v>37</v>
      </c>
      <c r="E71" s="246"/>
      <c r="F71" s="267"/>
      <c r="G71" s="273"/>
      <c r="H71" s="268"/>
      <c r="I71" s="226"/>
      <c r="J71" s="87"/>
    </row>
    <row r="72" spans="2:8" ht="12.75">
      <c r="B72" s="264"/>
      <c r="C72" s="272"/>
      <c r="D72" s="272"/>
      <c r="E72" s="272"/>
      <c r="F72" s="272"/>
      <c r="G72" s="272"/>
      <c r="H72" s="266"/>
    </row>
    <row r="73" spans="2:9" ht="12.75">
      <c r="B73" s="264"/>
      <c r="C73" s="272"/>
      <c r="D73" s="246" t="s">
        <v>358</v>
      </c>
      <c r="E73" s="246"/>
      <c r="F73" s="267"/>
      <c r="G73" s="273"/>
      <c r="H73" s="268"/>
      <c r="I73" s="226"/>
    </row>
    <row r="74" spans="2:9" ht="12.75">
      <c r="B74" s="264"/>
      <c r="C74" s="272"/>
      <c r="D74" s="246" t="s">
        <v>33</v>
      </c>
      <c r="E74" s="246"/>
      <c r="F74" s="267"/>
      <c r="G74" s="273"/>
      <c r="H74" s="268"/>
      <c r="I74" s="226"/>
    </row>
    <row r="75" spans="2:9" ht="12.75">
      <c r="B75" s="264"/>
      <c r="C75" s="272"/>
      <c r="D75" s="246" t="s">
        <v>34</v>
      </c>
      <c r="E75" s="246"/>
      <c r="F75" s="267"/>
      <c r="G75" s="273"/>
      <c r="H75" s="268"/>
      <c r="I75" s="226"/>
    </row>
    <row r="76" spans="2:9" ht="12.75">
      <c r="B76" s="264"/>
      <c r="C76" s="272"/>
      <c r="D76" s="246" t="s">
        <v>38</v>
      </c>
      <c r="E76" s="246"/>
      <c r="F76" s="267"/>
      <c r="G76" s="273"/>
      <c r="H76" s="268"/>
      <c r="I76" s="226"/>
    </row>
    <row r="77" spans="2:9" ht="12.75">
      <c r="B77" s="264"/>
      <c r="C77" s="272"/>
      <c r="D77" s="246" t="s">
        <v>35</v>
      </c>
      <c r="E77" s="246"/>
      <c r="F77" s="267"/>
      <c r="G77" s="273"/>
      <c r="H77" s="241"/>
      <c r="I77" s="87"/>
    </row>
    <row r="78" spans="2:9" ht="12.75">
      <c r="B78" s="264"/>
      <c r="C78" s="272"/>
      <c r="D78" s="246" t="s">
        <v>36</v>
      </c>
      <c r="E78" s="246"/>
      <c r="F78" s="267"/>
      <c r="G78" s="273"/>
      <c r="H78" s="241"/>
      <c r="I78" s="87"/>
    </row>
    <row r="79" spans="2:9" ht="12.75">
      <c r="B79" s="264"/>
      <c r="C79" s="272"/>
      <c r="D79" s="246" t="s">
        <v>37</v>
      </c>
      <c r="E79" s="246"/>
      <c r="F79" s="267"/>
      <c r="G79" s="273"/>
      <c r="H79" s="268"/>
      <c r="I79" s="226"/>
    </row>
    <row r="80" spans="2:8" ht="12.75">
      <c r="B80" s="264"/>
      <c r="C80" s="272"/>
      <c r="D80" s="272"/>
      <c r="E80" s="272"/>
      <c r="F80" s="272"/>
      <c r="G80" s="272"/>
      <c r="H80" s="266"/>
    </row>
    <row r="81" spans="2:8" ht="12.75">
      <c r="B81" s="264"/>
      <c r="C81" s="272"/>
      <c r="D81" s="246" t="s">
        <v>358</v>
      </c>
      <c r="E81" s="246"/>
      <c r="F81" s="267"/>
      <c r="G81" s="272"/>
      <c r="H81" s="266"/>
    </row>
    <row r="82" spans="2:8" ht="12.75">
      <c r="B82" s="264"/>
      <c r="C82" s="272"/>
      <c r="D82" s="246" t="s">
        <v>33</v>
      </c>
      <c r="E82" s="246"/>
      <c r="F82" s="267"/>
      <c r="G82" s="272"/>
      <c r="H82" s="266"/>
    </row>
    <row r="83" spans="2:8" ht="12.75">
      <c r="B83" s="264"/>
      <c r="C83" s="272"/>
      <c r="D83" s="246" t="s">
        <v>34</v>
      </c>
      <c r="E83" s="246"/>
      <c r="F83" s="267"/>
      <c r="G83" s="272"/>
      <c r="H83" s="266"/>
    </row>
    <row r="84" spans="2:8" ht="12.75">
      <c r="B84" s="264"/>
      <c r="C84" s="272"/>
      <c r="D84" s="246" t="s">
        <v>38</v>
      </c>
      <c r="E84" s="246"/>
      <c r="F84" s="267"/>
      <c r="G84" s="272"/>
      <c r="H84" s="266"/>
    </row>
    <row r="85" spans="2:8" ht="12.75">
      <c r="B85" s="264"/>
      <c r="C85" s="272"/>
      <c r="D85" s="246" t="s">
        <v>35</v>
      </c>
      <c r="E85" s="246"/>
      <c r="F85" s="267"/>
      <c r="G85" s="272"/>
      <c r="H85" s="266"/>
    </row>
    <row r="86" spans="2:8" ht="12.75">
      <c r="B86" s="264"/>
      <c r="C86" s="272"/>
      <c r="D86" s="246" t="s">
        <v>36</v>
      </c>
      <c r="E86" s="246"/>
      <c r="F86" s="267"/>
      <c r="G86" s="272"/>
      <c r="H86" s="266"/>
    </row>
    <row r="87" spans="2:8" ht="12.75">
      <c r="B87" s="264"/>
      <c r="C87" s="272"/>
      <c r="D87" s="246" t="s">
        <v>37</v>
      </c>
      <c r="E87" s="246"/>
      <c r="F87" s="267"/>
      <c r="G87" s="272"/>
      <c r="H87" s="266"/>
    </row>
    <row r="88" spans="2:8" ht="12.75">
      <c r="B88" s="264"/>
      <c r="C88" s="295"/>
      <c r="D88" s="295"/>
      <c r="E88" s="295"/>
      <c r="F88" s="295"/>
      <c r="G88" s="295"/>
      <c r="H88" s="266"/>
    </row>
    <row r="89" spans="2:8" ht="12.75">
      <c r="B89" s="264"/>
      <c r="C89" s="265"/>
      <c r="D89" s="265"/>
      <c r="E89" s="265"/>
      <c r="F89" s="265"/>
      <c r="G89" s="265"/>
      <c r="H89" s="266"/>
    </row>
    <row r="90" spans="2:8" ht="13.5" thickBot="1">
      <c r="B90" s="269"/>
      <c r="C90" s="270"/>
      <c r="D90" s="270"/>
      <c r="E90" s="270"/>
      <c r="F90" s="270"/>
      <c r="G90" s="270"/>
      <c r="H90" s="271"/>
    </row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60" r:id="rId1"/>
  <headerFooter alignWithMargins="0">
    <oddHeader>&amp;L&amp;"Arial,Vet"&amp;F&amp;R&amp;"Arial,Vet"&amp;A</oddHeader>
    <oddFooter>&amp;L&amp;"Arial,Vet"vos/abb&amp;C&amp;"Arial,Vet"&amp;P&amp;R&amp;"Arial,Vet"&amp;D</oddFooter>
  </headerFooter>
  <colBreaks count="1" manualBreakCount="1">
    <brk id="8" min="1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204"/>
  <sheetViews>
    <sheetView showGridLines="0" tabSelected="1" zoomScale="85" zoomScaleNormal="85" workbookViewId="0" topLeftCell="A1">
      <pane ySplit="10" topLeftCell="BM11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7109375" style="87" customWidth="1"/>
    <col min="2" max="3" width="2.7109375" style="87" customWidth="1"/>
    <col min="4" max="4" width="45.7109375" style="87" customWidth="1"/>
    <col min="5" max="5" width="6.421875" style="87" customWidth="1"/>
    <col min="6" max="6" width="2.7109375" style="87" customWidth="1"/>
    <col min="7" max="11" width="16.8515625" style="229" customWidth="1"/>
    <col min="12" max="13" width="2.7109375" style="87" customWidth="1"/>
    <col min="14" max="16384" width="9.140625" style="87" customWidth="1"/>
  </cols>
  <sheetData>
    <row r="1" ht="13.5" thickBot="1"/>
    <row r="2" spans="2:13" ht="12.75">
      <c r="B2" s="233"/>
      <c r="C2" s="234"/>
      <c r="D2" s="234"/>
      <c r="E2" s="234"/>
      <c r="F2" s="234"/>
      <c r="G2" s="235"/>
      <c r="H2" s="235"/>
      <c r="I2" s="235"/>
      <c r="J2" s="235"/>
      <c r="K2" s="235"/>
      <c r="L2" s="234"/>
      <c r="M2" s="236"/>
    </row>
    <row r="3" spans="2:13" ht="12.75">
      <c r="B3" s="237"/>
      <c r="C3" s="238"/>
      <c r="D3" s="42"/>
      <c r="E3" s="42"/>
      <c r="F3" s="238"/>
      <c r="G3" s="239"/>
      <c r="H3" s="239"/>
      <c r="I3" s="240"/>
      <c r="J3" s="240"/>
      <c r="K3" s="240"/>
      <c r="L3" s="238"/>
      <c r="M3" s="241"/>
    </row>
    <row r="4" spans="2:13" s="230" customFormat="1" ht="18">
      <c r="B4" s="242"/>
      <c r="C4" s="14" t="s">
        <v>490</v>
      </c>
      <c r="F4" s="85"/>
      <c r="G4" s="243"/>
      <c r="H4" s="243"/>
      <c r="I4" s="244"/>
      <c r="J4" s="244"/>
      <c r="K4" s="244"/>
      <c r="L4" s="85"/>
      <c r="M4" s="245"/>
    </row>
    <row r="5" spans="2:13" ht="12.75">
      <c r="B5" s="237"/>
      <c r="C5" s="238"/>
      <c r="D5" s="42"/>
      <c r="E5" s="42"/>
      <c r="F5" s="238"/>
      <c r="G5" s="239"/>
      <c r="H5" s="239"/>
      <c r="I5" s="240"/>
      <c r="J5" s="240"/>
      <c r="K5" s="240"/>
      <c r="L5" s="238"/>
      <c r="M5" s="241"/>
    </row>
    <row r="6" spans="2:13" ht="12.75">
      <c r="B6" s="237"/>
      <c r="C6" s="238"/>
      <c r="D6" s="42"/>
      <c r="E6" s="42"/>
      <c r="F6" s="238"/>
      <c r="G6" s="239"/>
      <c r="H6" s="239"/>
      <c r="I6" s="240"/>
      <c r="J6" s="240"/>
      <c r="K6" s="240"/>
      <c r="L6" s="238"/>
      <c r="M6" s="241"/>
    </row>
    <row r="7" spans="2:13" ht="12.75">
      <c r="B7" s="237"/>
      <c r="C7" s="238"/>
      <c r="D7" s="42"/>
      <c r="E7" s="42"/>
      <c r="F7" s="238"/>
      <c r="G7" s="239"/>
      <c r="H7" s="239"/>
      <c r="I7" s="240"/>
      <c r="J7" s="240"/>
      <c r="K7" s="240"/>
      <c r="L7" s="238"/>
      <c r="M7" s="241"/>
    </row>
    <row r="8" spans="2:13" ht="12.75">
      <c r="B8" s="237"/>
      <c r="C8" s="238"/>
      <c r="D8" s="16" t="s">
        <v>310</v>
      </c>
      <c r="E8" s="16"/>
      <c r="F8" s="238"/>
      <c r="G8" s="464" t="str">
        <f>tab!G11</f>
        <v>2007/08</v>
      </c>
      <c r="H8" s="464" t="str">
        <f>tab!H11</f>
        <v>2008/09</v>
      </c>
      <c r="I8" s="464" t="str">
        <f>tab!I11</f>
        <v>2009/10</v>
      </c>
      <c r="J8" s="464" t="str">
        <f>tab!J11</f>
        <v>2010/11</v>
      </c>
      <c r="K8" s="464" t="str">
        <f>tab!K11</f>
        <v>2011/12</v>
      </c>
      <c r="L8" s="238"/>
      <c r="M8" s="241"/>
    </row>
    <row r="9" spans="2:13" ht="12.75">
      <c r="B9" s="237"/>
      <c r="C9" s="238"/>
      <c r="D9" s="16" t="s">
        <v>391</v>
      </c>
      <c r="E9" s="16"/>
      <c r="F9" s="238"/>
      <c r="G9" s="22">
        <v>2006</v>
      </c>
      <c r="H9" s="22">
        <f>G9+1</f>
        <v>2007</v>
      </c>
      <c r="I9" s="22">
        <f>H9+1</f>
        <v>2008</v>
      </c>
      <c r="J9" s="22">
        <f>I9+1</f>
        <v>2009</v>
      </c>
      <c r="K9" s="22">
        <f>J9+1</f>
        <v>2010</v>
      </c>
      <c r="L9" s="238"/>
      <c r="M9" s="241"/>
    </row>
    <row r="10" spans="2:13" ht="12.75">
      <c r="B10" s="237"/>
      <c r="C10" s="238"/>
      <c r="D10" s="42"/>
      <c r="E10" s="42"/>
      <c r="F10" s="238"/>
      <c r="G10" s="239"/>
      <c r="H10" s="239"/>
      <c r="I10" s="240"/>
      <c r="J10" s="240"/>
      <c r="K10" s="240"/>
      <c r="L10" s="238"/>
      <c r="M10" s="241"/>
    </row>
    <row r="11" spans="2:13" ht="12.75">
      <c r="B11" s="237"/>
      <c r="C11" s="238"/>
      <c r="D11" s="42"/>
      <c r="E11" s="42"/>
      <c r="F11" s="238"/>
      <c r="G11" s="239"/>
      <c r="H11" s="239"/>
      <c r="I11" s="240"/>
      <c r="J11" s="240"/>
      <c r="K11" s="240"/>
      <c r="L11" s="238"/>
      <c r="M11" s="241"/>
    </row>
    <row r="12" spans="2:13" ht="12.75">
      <c r="B12" s="237"/>
      <c r="C12" s="272"/>
      <c r="D12" s="28"/>
      <c r="E12" s="246"/>
      <c r="F12" s="246"/>
      <c r="G12" s="246"/>
      <c r="H12" s="247"/>
      <c r="I12" s="248"/>
      <c r="J12" s="248"/>
      <c r="K12" s="248"/>
      <c r="L12" s="246"/>
      <c r="M12" s="241"/>
    </row>
    <row r="13" spans="2:13" ht="12.75">
      <c r="B13" s="237"/>
      <c r="C13" s="272"/>
      <c r="D13" s="448" t="s">
        <v>359</v>
      </c>
      <c r="E13" s="232"/>
      <c r="F13" s="232"/>
      <c r="G13" s="589" t="s">
        <v>557</v>
      </c>
      <c r="H13" s="461"/>
      <c r="I13" s="461"/>
      <c r="J13" s="466"/>
      <c r="K13" s="465"/>
      <c r="L13" s="246"/>
      <c r="M13" s="241"/>
    </row>
    <row r="14" spans="2:13" ht="12.75">
      <c r="B14" s="237"/>
      <c r="C14" s="272"/>
      <c r="D14" s="448" t="s">
        <v>33</v>
      </c>
      <c r="E14" s="232"/>
      <c r="F14" s="232"/>
      <c r="G14" s="461"/>
      <c r="H14" s="461"/>
      <c r="I14" s="461"/>
      <c r="J14" s="466"/>
      <c r="K14" s="465"/>
      <c r="L14" s="246"/>
      <c r="M14" s="241"/>
    </row>
    <row r="15" spans="2:13" ht="12.75">
      <c r="B15" s="237"/>
      <c r="C15" s="272"/>
      <c r="D15" s="448" t="s">
        <v>34</v>
      </c>
      <c r="E15" s="232"/>
      <c r="F15" s="232"/>
      <c r="G15" s="461"/>
      <c r="H15" s="461"/>
      <c r="I15" s="461"/>
      <c r="J15" s="466"/>
      <c r="K15" s="465"/>
      <c r="L15" s="246"/>
      <c r="M15" s="241"/>
    </row>
    <row r="16" spans="2:13" ht="12.75">
      <c r="B16" s="237"/>
      <c r="C16" s="272"/>
      <c r="D16" s="448" t="s">
        <v>38</v>
      </c>
      <c r="E16" s="232"/>
      <c r="F16" s="232"/>
      <c r="G16" s="461"/>
      <c r="H16" s="461"/>
      <c r="I16" s="461"/>
      <c r="J16" s="466"/>
      <c r="K16" s="465"/>
      <c r="L16" s="246"/>
      <c r="M16" s="241"/>
    </row>
    <row r="17" spans="2:13" ht="12.75">
      <c r="B17" s="237"/>
      <c r="C17" s="272"/>
      <c r="D17" s="448" t="s">
        <v>35</v>
      </c>
      <c r="E17" s="232"/>
      <c r="F17" s="232"/>
      <c r="G17" s="461"/>
      <c r="H17" s="461"/>
      <c r="I17" s="461"/>
      <c r="J17" s="466"/>
      <c r="K17" s="465"/>
      <c r="L17" s="246"/>
      <c r="M17" s="241"/>
    </row>
    <row r="18" spans="2:13" ht="12.75">
      <c r="B18" s="237"/>
      <c r="C18" s="272"/>
      <c r="D18" s="448" t="s">
        <v>36</v>
      </c>
      <c r="E18" s="232"/>
      <c r="F18" s="232"/>
      <c r="G18" s="461"/>
      <c r="H18" s="461"/>
      <c r="I18" s="461"/>
      <c r="J18" s="466"/>
      <c r="K18" s="465"/>
      <c r="L18" s="246"/>
      <c r="M18" s="241"/>
    </row>
    <row r="19" spans="2:13" ht="12.75">
      <c r="B19" s="237"/>
      <c r="C19" s="272"/>
      <c r="D19" s="448" t="s">
        <v>37</v>
      </c>
      <c r="E19" s="232"/>
      <c r="F19" s="232"/>
      <c r="G19" s="551"/>
      <c r="H19" s="461"/>
      <c r="I19" s="461"/>
      <c r="J19" s="466"/>
      <c r="K19" s="465"/>
      <c r="L19" s="246"/>
      <c r="M19" s="241"/>
    </row>
    <row r="20" spans="2:13" ht="12.75">
      <c r="B20" s="237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41"/>
    </row>
    <row r="21" spans="2:13" ht="12.75">
      <c r="B21" s="237"/>
      <c r="C21" s="238"/>
      <c r="D21" s="42"/>
      <c r="E21" s="42"/>
      <c r="F21" s="238"/>
      <c r="G21" s="239"/>
      <c r="H21" s="239"/>
      <c r="I21" s="240"/>
      <c r="J21" s="240"/>
      <c r="K21" s="240"/>
      <c r="L21" s="238"/>
      <c r="M21" s="241"/>
    </row>
    <row r="22" spans="2:13" ht="12.75">
      <c r="B22" s="237"/>
      <c r="C22" s="238"/>
      <c r="D22" s="42"/>
      <c r="E22" s="42"/>
      <c r="F22" s="238"/>
      <c r="G22" s="239"/>
      <c r="H22" s="239"/>
      <c r="I22" s="240"/>
      <c r="J22" s="240"/>
      <c r="K22" s="240"/>
      <c r="L22" s="238"/>
      <c r="M22" s="241"/>
    </row>
    <row r="23" spans="2:13" ht="12.75">
      <c r="B23" s="237"/>
      <c r="C23" s="246"/>
      <c r="D23" s="246"/>
      <c r="E23" s="246"/>
      <c r="F23" s="246"/>
      <c r="G23" s="248"/>
      <c r="H23" s="248"/>
      <c r="I23" s="248"/>
      <c r="J23" s="248"/>
      <c r="K23" s="248"/>
      <c r="L23" s="246"/>
      <c r="M23" s="241"/>
    </row>
    <row r="24" spans="2:13" ht="12.75">
      <c r="B24" s="237"/>
      <c r="C24" s="246"/>
      <c r="D24" s="28" t="s">
        <v>360</v>
      </c>
      <c r="E24" s="28"/>
      <c r="F24" s="246"/>
      <c r="G24" s="248"/>
      <c r="H24" s="248"/>
      <c r="I24" s="248"/>
      <c r="J24" s="248"/>
      <c r="K24" s="248"/>
      <c r="L24" s="246"/>
      <c r="M24" s="241"/>
    </row>
    <row r="25" spans="2:13" ht="12.75">
      <c r="B25" s="237"/>
      <c r="C25" s="246"/>
      <c r="D25" s="246"/>
      <c r="E25" s="246"/>
      <c r="F25" s="246"/>
      <c r="G25" s="248"/>
      <c r="H25" s="248"/>
      <c r="I25" s="248"/>
      <c r="J25" s="248"/>
      <c r="K25" s="248"/>
      <c r="L25" s="246"/>
      <c r="M25" s="241"/>
    </row>
    <row r="26" spans="2:13" ht="12.75">
      <c r="B26" s="237"/>
      <c r="C26" s="246"/>
      <c r="D26" s="246" t="s">
        <v>39</v>
      </c>
      <c r="E26" s="232"/>
      <c r="F26" s="232"/>
      <c r="G26" s="239">
        <v>6000</v>
      </c>
      <c r="H26" s="239">
        <v>5990</v>
      </c>
      <c r="I26" s="251">
        <f aca="true" t="shared" si="0" ref="I26:K27">H26</f>
        <v>5990</v>
      </c>
      <c r="J26" s="251">
        <f t="shared" si="0"/>
        <v>5990</v>
      </c>
      <c r="K26" s="251">
        <f t="shared" si="0"/>
        <v>5990</v>
      </c>
      <c r="L26" s="246"/>
      <c r="M26" s="241"/>
    </row>
    <row r="27" spans="2:13" s="407" customFormat="1" ht="12.75">
      <c r="B27" s="11"/>
      <c r="C27" s="23"/>
      <c r="D27" s="23" t="s">
        <v>554</v>
      </c>
      <c r="E27" s="549"/>
      <c r="F27" s="548"/>
      <c r="G27" s="187">
        <v>246</v>
      </c>
      <c r="H27" s="187">
        <v>235</v>
      </c>
      <c r="I27" s="207">
        <f t="shared" si="0"/>
        <v>235</v>
      </c>
      <c r="J27" s="207">
        <f t="shared" si="0"/>
        <v>235</v>
      </c>
      <c r="K27" s="207">
        <f t="shared" si="0"/>
        <v>235</v>
      </c>
      <c r="L27" s="23"/>
      <c r="M27" s="12"/>
    </row>
    <row r="28" spans="2:13" ht="12.75">
      <c r="B28" s="237"/>
      <c r="C28" s="246"/>
      <c r="D28" s="246"/>
      <c r="E28" s="246"/>
      <c r="F28" s="246"/>
      <c r="G28" s="248"/>
      <c r="H28" s="248"/>
      <c r="I28" s="248"/>
      <c r="J28" s="248"/>
      <c r="K28" s="248"/>
      <c r="L28" s="246"/>
      <c r="M28" s="241"/>
    </row>
    <row r="29" spans="2:13" ht="12.75">
      <c r="B29" s="237"/>
      <c r="C29" s="246"/>
      <c r="D29" s="246" t="s">
        <v>41</v>
      </c>
      <c r="E29" s="246"/>
      <c r="F29" s="246"/>
      <c r="G29" s="239">
        <v>186</v>
      </c>
      <c r="H29" s="239">
        <v>189</v>
      </c>
      <c r="I29" s="251">
        <f aca="true" t="shared" si="1" ref="I29:K30">H29</f>
        <v>189</v>
      </c>
      <c r="J29" s="251">
        <f t="shared" si="1"/>
        <v>189</v>
      </c>
      <c r="K29" s="251">
        <f t="shared" si="1"/>
        <v>189</v>
      </c>
      <c r="L29" s="246"/>
      <c r="M29" s="241"/>
    </row>
    <row r="30" spans="2:13" ht="12.75">
      <c r="B30" s="237"/>
      <c r="C30" s="246"/>
      <c r="D30" s="246" t="s">
        <v>40</v>
      </c>
      <c r="E30" s="246"/>
      <c r="F30" s="246"/>
      <c r="G30" s="239">
        <v>0</v>
      </c>
      <c r="H30" s="239">
        <v>0</v>
      </c>
      <c r="I30" s="251">
        <f t="shared" si="1"/>
        <v>0</v>
      </c>
      <c r="J30" s="251">
        <f t="shared" si="1"/>
        <v>0</v>
      </c>
      <c r="K30" s="251">
        <f t="shared" si="1"/>
        <v>0</v>
      </c>
      <c r="L30" s="246"/>
      <c r="M30" s="241"/>
    </row>
    <row r="31" spans="2:13" ht="12.75">
      <c r="B31" s="237"/>
      <c r="C31" s="246"/>
      <c r="D31" s="246" t="s">
        <v>42</v>
      </c>
      <c r="E31" s="246"/>
      <c r="F31" s="246"/>
      <c r="G31" s="239">
        <v>0</v>
      </c>
      <c r="H31" s="239">
        <v>0</v>
      </c>
      <c r="I31" s="251">
        <f>H31</f>
        <v>0</v>
      </c>
      <c r="J31" s="251">
        <f aca="true" t="shared" si="2" ref="I31:K32">I31</f>
        <v>0</v>
      </c>
      <c r="K31" s="251">
        <f t="shared" si="2"/>
        <v>0</v>
      </c>
      <c r="L31" s="246"/>
      <c r="M31" s="241"/>
    </row>
    <row r="32" spans="2:13" ht="12.75">
      <c r="B32" s="237"/>
      <c r="C32" s="246"/>
      <c r="D32" s="246" t="s">
        <v>43</v>
      </c>
      <c r="E32" s="246"/>
      <c r="F32" s="246"/>
      <c r="G32" s="239">
        <v>0</v>
      </c>
      <c r="H32" s="239">
        <v>0</v>
      </c>
      <c r="I32" s="251">
        <f t="shared" si="2"/>
        <v>0</v>
      </c>
      <c r="J32" s="251">
        <f t="shared" si="2"/>
        <v>0</v>
      </c>
      <c r="K32" s="251">
        <f t="shared" si="2"/>
        <v>0</v>
      </c>
      <c r="L32" s="246"/>
      <c r="M32" s="241"/>
    </row>
    <row r="33" spans="2:13" ht="12.75">
      <c r="B33" s="237"/>
      <c r="C33" s="246"/>
      <c r="D33" s="246" t="s">
        <v>56</v>
      </c>
      <c r="E33" s="246"/>
      <c r="F33" s="246"/>
      <c r="G33" s="249">
        <f>SUM(G29:G32)</f>
        <v>186</v>
      </c>
      <c r="H33" s="249">
        <f>SUM(H29:H32)</f>
        <v>189</v>
      </c>
      <c r="I33" s="249">
        <f>SUM(I29:I32)</f>
        <v>189</v>
      </c>
      <c r="J33" s="249">
        <f>SUM(J29:J32)</f>
        <v>189</v>
      </c>
      <c r="K33" s="249">
        <f>SUM(K29:K32)</f>
        <v>189</v>
      </c>
      <c r="L33" s="246"/>
      <c r="M33" s="241"/>
    </row>
    <row r="34" spans="2:13" ht="12.75">
      <c r="B34" s="237"/>
      <c r="C34" s="246"/>
      <c r="D34" s="246"/>
      <c r="E34" s="246"/>
      <c r="F34" s="246"/>
      <c r="G34" s="248"/>
      <c r="H34" s="248"/>
      <c r="I34" s="248"/>
      <c r="J34" s="248"/>
      <c r="K34" s="248"/>
      <c r="L34" s="246"/>
      <c r="M34" s="241"/>
    </row>
    <row r="35" spans="2:13" s="228" customFormat="1" ht="12.75">
      <c r="B35" s="51"/>
      <c r="C35" s="28"/>
      <c r="D35" s="28" t="s">
        <v>50</v>
      </c>
      <c r="E35" s="28"/>
      <c r="F35" s="28"/>
      <c r="G35" s="148">
        <f>+G26+G33</f>
        <v>6186</v>
      </c>
      <c r="H35" s="148">
        <f>+H26+H33</f>
        <v>6179</v>
      </c>
      <c r="I35" s="148">
        <f>+I26+I33</f>
        <v>6179</v>
      </c>
      <c r="J35" s="148">
        <f>+J26+J33</f>
        <v>6179</v>
      </c>
      <c r="K35" s="148">
        <f>+K26+K33</f>
        <v>6179</v>
      </c>
      <c r="L35" s="28"/>
      <c r="M35" s="56"/>
    </row>
    <row r="36" spans="2:13" ht="12.75">
      <c r="B36" s="237"/>
      <c r="C36" s="246"/>
      <c r="D36" s="246"/>
      <c r="E36" s="246"/>
      <c r="F36" s="246"/>
      <c r="G36" s="248"/>
      <c r="H36" s="248"/>
      <c r="I36" s="248"/>
      <c r="J36" s="248"/>
      <c r="K36" s="248"/>
      <c r="L36" s="246"/>
      <c r="M36" s="241"/>
    </row>
    <row r="37" spans="2:13" ht="12.75">
      <c r="B37" s="237"/>
      <c r="C37" s="246"/>
      <c r="D37" s="246"/>
      <c r="E37" s="246"/>
      <c r="F37" s="246"/>
      <c r="G37" s="248"/>
      <c r="H37" s="248"/>
      <c r="I37" s="248"/>
      <c r="J37" s="248"/>
      <c r="K37" s="248"/>
      <c r="L37" s="246"/>
      <c r="M37" s="241"/>
    </row>
    <row r="38" spans="2:13" ht="12.75">
      <c r="B38" s="237"/>
      <c r="C38" s="246"/>
      <c r="D38" s="246" t="s">
        <v>44</v>
      </c>
      <c r="E38" s="246"/>
      <c r="F38" s="246"/>
      <c r="G38" s="249">
        <f>ROUND(0.02*G35,0)</f>
        <v>124</v>
      </c>
      <c r="H38" s="249">
        <f>ROUND(0.02*H35,0)</f>
        <v>124</v>
      </c>
      <c r="I38" s="249">
        <f>ROUND(0.02*I35,0)</f>
        <v>124</v>
      </c>
      <c r="J38" s="249">
        <f>ROUND(0.02*J35,0)</f>
        <v>124</v>
      </c>
      <c r="K38" s="249">
        <f>ROUND(0.02*K35,0)</f>
        <v>124</v>
      </c>
      <c r="L38" s="246"/>
      <c r="M38" s="241"/>
    </row>
    <row r="39" spans="2:13" ht="12.75">
      <c r="B39" s="237"/>
      <c r="C39" s="246"/>
      <c r="D39" s="246" t="s">
        <v>176</v>
      </c>
      <c r="E39" s="246"/>
      <c r="F39" s="246"/>
      <c r="G39" s="588">
        <f aca="true" t="shared" si="3" ref="G39:K42">+G29/G$33*G$38</f>
        <v>124</v>
      </c>
      <c r="H39" s="588">
        <f t="shared" si="3"/>
        <v>124</v>
      </c>
      <c r="I39" s="588">
        <f t="shared" si="3"/>
        <v>124</v>
      </c>
      <c r="J39" s="588">
        <f t="shared" si="3"/>
        <v>124</v>
      </c>
      <c r="K39" s="588">
        <f t="shared" si="3"/>
        <v>124</v>
      </c>
      <c r="L39" s="246"/>
      <c r="M39" s="241"/>
    </row>
    <row r="40" spans="2:13" ht="12.75">
      <c r="B40" s="237"/>
      <c r="C40" s="246"/>
      <c r="D40" s="246" t="s">
        <v>177</v>
      </c>
      <c r="E40" s="246"/>
      <c r="F40" s="246"/>
      <c r="G40" s="588">
        <f t="shared" si="3"/>
        <v>0</v>
      </c>
      <c r="H40" s="588">
        <f t="shared" si="3"/>
        <v>0</v>
      </c>
      <c r="I40" s="588">
        <f t="shared" si="3"/>
        <v>0</v>
      </c>
      <c r="J40" s="588">
        <f t="shared" si="3"/>
        <v>0</v>
      </c>
      <c r="K40" s="588">
        <f t="shared" si="3"/>
        <v>0</v>
      </c>
      <c r="L40" s="246"/>
      <c r="M40" s="241"/>
    </row>
    <row r="41" spans="2:13" ht="12.75">
      <c r="B41" s="237"/>
      <c r="C41" s="246"/>
      <c r="D41" s="246" t="s">
        <v>178</v>
      </c>
      <c r="E41" s="246"/>
      <c r="F41" s="246"/>
      <c r="G41" s="588">
        <f t="shared" si="3"/>
        <v>0</v>
      </c>
      <c r="H41" s="588">
        <f t="shared" si="3"/>
        <v>0</v>
      </c>
      <c r="I41" s="588">
        <f t="shared" si="3"/>
        <v>0</v>
      </c>
      <c r="J41" s="588">
        <f t="shared" si="3"/>
        <v>0</v>
      </c>
      <c r="K41" s="588">
        <f t="shared" si="3"/>
        <v>0</v>
      </c>
      <c r="L41" s="246"/>
      <c r="M41" s="241"/>
    </row>
    <row r="42" spans="2:13" ht="12.75">
      <c r="B42" s="237"/>
      <c r="C42" s="246"/>
      <c r="D42" s="246" t="s">
        <v>179</v>
      </c>
      <c r="E42" s="246"/>
      <c r="F42" s="246"/>
      <c r="G42" s="588">
        <f t="shared" si="3"/>
        <v>0</v>
      </c>
      <c r="H42" s="588">
        <f t="shared" si="3"/>
        <v>0</v>
      </c>
      <c r="I42" s="588">
        <f t="shared" si="3"/>
        <v>0</v>
      </c>
      <c r="J42" s="588">
        <f t="shared" si="3"/>
        <v>0</v>
      </c>
      <c r="K42" s="588">
        <f t="shared" si="3"/>
        <v>0</v>
      </c>
      <c r="L42" s="246"/>
      <c r="M42" s="241"/>
    </row>
    <row r="43" spans="2:13" ht="12.75">
      <c r="B43" s="237"/>
      <c r="C43" s="246"/>
      <c r="D43" s="246"/>
      <c r="E43" s="246"/>
      <c r="F43" s="246"/>
      <c r="G43" s="248"/>
      <c r="H43" s="248"/>
      <c r="I43" s="248"/>
      <c r="J43" s="248"/>
      <c r="K43" s="248"/>
      <c r="L43" s="246"/>
      <c r="M43" s="241"/>
    </row>
    <row r="44" spans="2:13" ht="12.75">
      <c r="B44" s="237"/>
      <c r="C44" s="246"/>
      <c r="D44" s="246" t="s">
        <v>51</v>
      </c>
      <c r="E44" s="246"/>
      <c r="F44" s="246"/>
      <c r="G44" s="239">
        <v>196</v>
      </c>
      <c r="H44" s="239">
        <v>199</v>
      </c>
      <c r="I44" s="251">
        <f aca="true" t="shared" si="4" ref="I44:K47">H44</f>
        <v>199</v>
      </c>
      <c r="J44" s="251">
        <f t="shared" si="4"/>
        <v>199</v>
      </c>
      <c r="K44" s="251">
        <f t="shared" si="4"/>
        <v>199</v>
      </c>
      <c r="L44" s="246"/>
      <c r="M44" s="241"/>
    </row>
    <row r="45" spans="2:13" ht="12.75">
      <c r="B45" s="237"/>
      <c r="C45" s="246"/>
      <c r="D45" s="246" t="s">
        <v>52</v>
      </c>
      <c r="E45" s="246"/>
      <c r="F45" s="246"/>
      <c r="G45" s="239">
        <v>0</v>
      </c>
      <c r="H45" s="239">
        <v>0</v>
      </c>
      <c r="I45" s="251">
        <f t="shared" si="4"/>
        <v>0</v>
      </c>
      <c r="J45" s="251">
        <f t="shared" si="4"/>
        <v>0</v>
      </c>
      <c r="K45" s="251">
        <f t="shared" si="4"/>
        <v>0</v>
      </c>
      <c r="L45" s="246"/>
      <c r="M45" s="241"/>
    </row>
    <row r="46" spans="2:13" ht="12.75">
      <c r="B46" s="237"/>
      <c r="C46" s="246"/>
      <c r="D46" s="246" t="s">
        <v>53</v>
      </c>
      <c r="E46" s="246"/>
      <c r="F46" s="246"/>
      <c r="G46" s="239">
        <v>0</v>
      </c>
      <c r="H46" s="239">
        <v>0</v>
      </c>
      <c r="I46" s="251">
        <f t="shared" si="4"/>
        <v>0</v>
      </c>
      <c r="J46" s="251">
        <f t="shared" si="4"/>
        <v>0</v>
      </c>
      <c r="K46" s="251">
        <f t="shared" si="4"/>
        <v>0</v>
      </c>
      <c r="L46" s="246"/>
      <c r="M46" s="241"/>
    </row>
    <row r="47" spans="2:13" ht="12.75">
      <c r="B47" s="237"/>
      <c r="C47" s="246"/>
      <c r="D47" s="246" t="s">
        <v>54</v>
      </c>
      <c r="E47" s="246"/>
      <c r="F47" s="246"/>
      <c r="G47" s="239">
        <v>0</v>
      </c>
      <c r="H47" s="239">
        <v>0</v>
      </c>
      <c r="I47" s="251">
        <f t="shared" si="4"/>
        <v>0</v>
      </c>
      <c r="J47" s="251">
        <f t="shared" si="4"/>
        <v>0</v>
      </c>
      <c r="K47" s="251">
        <f t="shared" si="4"/>
        <v>0</v>
      </c>
      <c r="L47" s="246"/>
      <c r="M47" s="241"/>
    </row>
    <row r="48" spans="2:13" s="228" customFormat="1" ht="12.75">
      <c r="B48" s="51"/>
      <c r="C48" s="28"/>
      <c r="D48" s="28" t="s">
        <v>57</v>
      </c>
      <c r="E48" s="28"/>
      <c r="F48" s="28"/>
      <c r="G48" s="148">
        <f>SUM(G44:G47)</f>
        <v>196</v>
      </c>
      <c r="H48" s="148">
        <f>SUM(H44:H47)</f>
        <v>199</v>
      </c>
      <c r="I48" s="148">
        <f>SUM(I44:I47)</f>
        <v>199</v>
      </c>
      <c r="J48" s="148">
        <f>SUM(J44:J47)</f>
        <v>199</v>
      </c>
      <c r="K48" s="148">
        <f>SUM(K44:K47)</f>
        <v>199</v>
      </c>
      <c r="L48" s="28"/>
      <c r="M48" s="56"/>
    </row>
    <row r="49" spans="2:13" ht="12.75">
      <c r="B49" s="237"/>
      <c r="C49" s="246"/>
      <c r="D49" s="246"/>
      <c r="E49" s="246"/>
      <c r="F49" s="246"/>
      <c r="G49" s="248"/>
      <c r="H49" s="248"/>
      <c r="I49" s="248"/>
      <c r="J49" s="248"/>
      <c r="K49" s="248"/>
      <c r="L49" s="246"/>
      <c r="M49" s="241"/>
    </row>
    <row r="50" spans="2:13" ht="12.75">
      <c r="B50" s="237"/>
      <c r="C50" s="238"/>
      <c r="D50" s="238"/>
      <c r="E50" s="238"/>
      <c r="F50" s="238"/>
      <c r="G50" s="240"/>
      <c r="H50" s="240"/>
      <c r="I50" s="240"/>
      <c r="J50" s="240"/>
      <c r="K50" s="240"/>
      <c r="L50" s="238"/>
      <c r="M50" s="241"/>
    </row>
    <row r="51" spans="2:13" ht="12.75">
      <c r="B51" s="237"/>
      <c r="C51" s="238"/>
      <c r="D51" s="238"/>
      <c r="E51" s="238"/>
      <c r="F51" s="238"/>
      <c r="G51" s="240"/>
      <c r="H51" s="240"/>
      <c r="I51" s="240"/>
      <c r="J51" s="240"/>
      <c r="K51" s="240"/>
      <c r="L51" s="238"/>
      <c r="M51" s="241"/>
    </row>
    <row r="52" spans="2:13" ht="12.75">
      <c r="B52" s="237"/>
      <c r="C52" s="246"/>
      <c r="D52" s="246"/>
      <c r="E52" s="246"/>
      <c r="F52" s="246"/>
      <c r="G52" s="248"/>
      <c r="H52" s="248"/>
      <c r="I52" s="248"/>
      <c r="J52" s="248"/>
      <c r="K52" s="248"/>
      <c r="L52" s="246"/>
      <c r="M52" s="241"/>
    </row>
    <row r="53" spans="2:13" ht="12.75">
      <c r="B53" s="237"/>
      <c r="C53" s="246"/>
      <c r="D53" s="246" t="s">
        <v>169</v>
      </c>
      <c r="E53" s="246"/>
      <c r="F53" s="246"/>
      <c r="G53" s="239" t="s">
        <v>556</v>
      </c>
      <c r="H53" s="239" t="str">
        <f>G53</f>
        <v>n</v>
      </c>
      <c r="I53" s="251" t="str">
        <f>H53</f>
        <v>n</v>
      </c>
      <c r="J53" s="251" t="str">
        <f>I53</f>
        <v>n</v>
      </c>
      <c r="K53" s="251" t="str">
        <f>J53</f>
        <v>n</v>
      </c>
      <c r="L53" s="246"/>
      <c r="M53" s="241"/>
    </row>
    <row r="54" spans="2:13" ht="12.75">
      <c r="B54" s="237"/>
      <c r="C54" s="246"/>
      <c r="D54" s="246"/>
      <c r="E54" s="246"/>
      <c r="F54" s="246"/>
      <c r="G54" s="247"/>
      <c r="H54" s="247"/>
      <c r="I54" s="247"/>
      <c r="J54" s="247"/>
      <c r="K54" s="247"/>
      <c r="L54" s="246"/>
      <c r="M54" s="241"/>
    </row>
    <row r="55" spans="2:13" ht="12.75">
      <c r="B55" s="237"/>
      <c r="C55" s="246"/>
      <c r="D55" s="32" t="s">
        <v>170</v>
      </c>
      <c r="E55" s="23"/>
      <c r="F55" s="246"/>
      <c r="G55" s="248"/>
      <c r="H55" s="248"/>
      <c r="I55" s="248"/>
      <c r="J55" s="248"/>
      <c r="K55" s="248"/>
      <c r="L55" s="246"/>
      <c r="M55" s="241"/>
    </row>
    <row r="56" spans="2:13" ht="12.75">
      <c r="B56" s="237"/>
      <c r="C56" s="246"/>
      <c r="D56" s="23" t="s">
        <v>165</v>
      </c>
      <c r="E56" s="23"/>
      <c r="F56" s="246"/>
      <c r="G56" s="239">
        <v>43.23</v>
      </c>
      <c r="H56" s="239">
        <v>42.74</v>
      </c>
      <c r="I56" s="251">
        <f aca="true" t="shared" si="5" ref="I56:K57">H56</f>
        <v>42.74</v>
      </c>
      <c r="J56" s="251">
        <f t="shared" si="5"/>
        <v>42.74</v>
      </c>
      <c r="K56" s="251">
        <f t="shared" si="5"/>
        <v>42.74</v>
      </c>
      <c r="L56" s="246"/>
      <c r="M56" s="241"/>
    </row>
    <row r="57" spans="2:13" ht="12.75">
      <c r="B57" s="237"/>
      <c r="C57" s="246"/>
      <c r="D57" s="23" t="s">
        <v>166</v>
      </c>
      <c r="E57" s="23"/>
      <c r="F57" s="246"/>
      <c r="G57" s="239">
        <v>0</v>
      </c>
      <c r="H57" s="239">
        <v>0</v>
      </c>
      <c r="I57" s="251">
        <f t="shared" si="5"/>
        <v>0</v>
      </c>
      <c r="J57" s="251">
        <f t="shared" si="5"/>
        <v>0</v>
      </c>
      <c r="K57" s="251">
        <f t="shared" si="5"/>
        <v>0</v>
      </c>
      <c r="L57" s="246"/>
      <c r="M57" s="241"/>
    </row>
    <row r="58" spans="2:13" ht="12.75">
      <c r="B58" s="237"/>
      <c r="C58" s="246"/>
      <c r="D58" s="23" t="s">
        <v>167</v>
      </c>
      <c r="E58" s="23"/>
      <c r="F58" s="246"/>
      <c r="G58" s="239">
        <v>0</v>
      </c>
      <c r="H58" s="239">
        <v>0</v>
      </c>
      <c r="I58" s="251">
        <f aca="true" t="shared" si="6" ref="I58:K59">H58</f>
        <v>0</v>
      </c>
      <c r="J58" s="251">
        <f t="shared" si="6"/>
        <v>0</v>
      </c>
      <c r="K58" s="251">
        <f t="shared" si="6"/>
        <v>0</v>
      </c>
      <c r="L58" s="246"/>
      <c r="M58" s="241"/>
    </row>
    <row r="59" spans="2:13" ht="12.75">
      <c r="B59" s="237"/>
      <c r="C59" s="246"/>
      <c r="D59" s="23" t="s">
        <v>168</v>
      </c>
      <c r="E59" s="23"/>
      <c r="F59" s="246"/>
      <c r="G59" s="239">
        <v>0</v>
      </c>
      <c r="H59" s="239">
        <v>0</v>
      </c>
      <c r="I59" s="251">
        <f t="shared" si="6"/>
        <v>0</v>
      </c>
      <c r="J59" s="251">
        <f t="shared" si="6"/>
        <v>0</v>
      </c>
      <c r="K59" s="251">
        <f t="shared" si="6"/>
        <v>0</v>
      </c>
      <c r="L59" s="246"/>
      <c r="M59" s="241"/>
    </row>
    <row r="60" spans="2:13" ht="12.75">
      <c r="B60" s="237"/>
      <c r="C60" s="246"/>
      <c r="D60" s="23"/>
      <c r="E60" s="23"/>
      <c r="F60" s="246"/>
      <c r="G60" s="248"/>
      <c r="H60" s="248"/>
      <c r="I60" s="248"/>
      <c r="J60" s="248"/>
      <c r="K60" s="248"/>
      <c r="L60" s="246"/>
      <c r="M60" s="241"/>
    </row>
    <row r="61" spans="2:13" ht="12.75">
      <c r="B61" s="237"/>
      <c r="C61" s="238"/>
      <c r="D61" s="10"/>
      <c r="E61" s="10"/>
      <c r="F61" s="238"/>
      <c r="G61" s="240"/>
      <c r="H61" s="240"/>
      <c r="I61" s="240"/>
      <c r="J61" s="240"/>
      <c r="K61" s="240"/>
      <c r="L61" s="238"/>
      <c r="M61" s="241"/>
    </row>
    <row r="62" spans="2:13" ht="12.75">
      <c r="B62" s="237"/>
      <c r="C62" s="238"/>
      <c r="D62" s="10"/>
      <c r="E62" s="10"/>
      <c r="F62" s="238"/>
      <c r="G62" s="240"/>
      <c r="H62" s="240"/>
      <c r="I62" s="240"/>
      <c r="J62" s="240"/>
      <c r="K62" s="240"/>
      <c r="L62" s="238"/>
      <c r="M62" s="241"/>
    </row>
    <row r="63" spans="2:13" ht="12.75">
      <c r="B63" s="237"/>
      <c r="C63" s="246"/>
      <c r="D63" s="23"/>
      <c r="E63" s="23"/>
      <c r="F63" s="246"/>
      <c r="G63" s="248"/>
      <c r="H63" s="248"/>
      <c r="I63" s="248"/>
      <c r="J63" s="248"/>
      <c r="K63" s="248"/>
      <c r="L63" s="246"/>
      <c r="M63" s="241"/>
    </row>
    <row r="64" spans="2:13" ht="12.75">
      <c r="B64" s="237"/>
      <c r="C64" s="246"/>
      <c r="D64" s="28" t="s">
        <v>55</v>
      </c>
      <c r="E64" s="23"/>
      <c r="F64" s="23"/>
      <c r="G64" s="36"/>
      <c r="H64" s="36"/>
      <c r="I64" s="36"/>
      <c r="J64" s="36"/>
      <c r="K64" s="36"/>
      <c r="L64" s="246"/>
      <c r="M64" s="241"/>
    </row>
    <row r="65" spans="2:13" ht="12.75">
      <c r="B65" s="237"/>
      <c r="C65" s="246"/>
      <c r="D65" s="28"/>
      <c r="E65" s="23"/>
      <c r="F65" s="23"/>
      <c r="G65" s="36"/>
      <c r="H65" s="36"/>
      <c r="I65" s="36"/>
      <c r="J65" s="36"/>
      <c r="K65" s="36"/>
      <c r="L65" s="246"/>
      <c r="M65" s="241"/>
    </row>
    <row r="66" spans="2:13" ht="12.75">
      <c r="B66" s="237"/>
      <c r="C66" s="246"/>
      <c r="D66" s="32" t="s">
        <v>530</v>
      </c>
      <c r="E66" s="23"/>
      <c r="F66" s="23"/>
      <c r="G66" s="36"/>
      <c r="H66" s="36"/>
      <c r="I66" s="36"/>
      <c r="J66" s="36"/>
      <c r="K66" s="36"/>
      <c r="L66" s="246"/>
      <c r="M66" s="241"/>
    </row>
    <row r="67" spans="2:13" ht="12.75">
      <c r="B67" s="237"/>
      <c r="C67" s="246"/>
      <c r="D67" s="23" t="s">
        <v>532</v>
      </c>
      <c r="E67" s="23"/>
      <c r="F67" s="23"/>
      <c r="G67" s="187">
        <v>3</v>
      </c>
      <c r="H67" s="187">
        <v>2</v>
      </c>
      <c r="I67" s="207">
        <f aca="true" t="shared" si="7" ref="I67:K68">H67</f>
        <v>2</v>
      </c>
      <c r="J67" s="207">
        <f t="shared" si="7"/>
        <v>2</v>
      </c>
      <c r="K67" s="207">
        <f t="shared" si="7"/>
        <v>2</v>
      </c>
      <c r="L67" s="246"/>
      <c r="M67" s="241"/>
    </row>
    <row r="68" spans="2:13" ht="12.75">
      <c r="B68" s="237"/>
      <c r="C68" s="246"/>
      <c r="D68" s="23" t="s">
        <v>533</v>
      </c>
      <c r="E68" s="23"/>
      <c r="F68" s="23"/>
      <c r="G68" s="187">
        <v>13</v>
      </c>
      <c r="H68" s="187">
        <v>12</v>
      </c>
      <c r="I68" s="207">
        <f t="shared" si="7"/>
        <v>12</v>
      </c>
      <c r="J68" s="207">
        <f t="shared" si="7"/>
        <v>12</v>
      </c>
      <c r="K68" s="207">
        <f t="shared" si="7"/>
        <v>12</v>
      </c>
      <c r="L68" s="246"/>
      <c r="M68" s="241"/>
    </row>
    <row r="69" spans="2:13" ht="12.75">
      <c r="B69" s="237"/>
      <c r="C69" s="246"/>
      <c r="D69" s="23"/>
      <c r="E69" s="23"/>
      <c r="F69" s="23"/>
      <c r="G69" s="326"/>
      <c r="H69" s="326"/>
      <c r="I69" s="326"/>
      <c r="J69" s="326"/>
      <c r="K69" s="326"/>
      <c r="L69" s="246"/>
      <c r="M69" s="241"/>
    </row>
    <row r="70" spans="2:13" ht="12.75">
      <c r="B70" s="237"/>
      <c r="C70" s="246"/>
      <c r="D70" s="32" t="s">
        <v>531</v>
      </c>
      <c r="E70" s="23"/>
      <c r="F70" s="23"/>
      <c r="G70" s="36"/>
      <c r="H70" s="36"/>
      <c r="I70" s="36"/>
      <c r="J70" s="36"/>
      <c r="K70" s="36"/>
      <c r="L70" s="246"/>
      <c r="M70" s="241"/>
    </row>
    <row r="71" spans="2:13" ht="12.75">
      <c r="B71" s="237"/>
      <c r="C71" s="246"/>
      <c r="D71" s="23" t="s">
        <v>534</v>
      </c>
      <c r="E71" s="23"/>
      <c r="F71" s="23"/>
      <c r="G71" s="187">
        <v>2</v>
      </c>
      <c r="H71" s="187">
        <v>1</v>
      </c>
      <c r="I71" s="207">
        <f aca="true" t="shared" si="8" ref="I71:K72">H71</f>
        <v>1</v>
      </c>
      <c r="J71" s="207">
        <f t="shared" si="8"/>
        <v>1</v>
      </c>
      <c r="K71" s="207">
        <f t="shared" si="8"/>
        <v>1</v>
      </c>
      <c r="L71" s="246"/>
      <c r="M71" s="241"/>
    </row>
    <row r="72" spans="2:13" ht="12.75">
      <c r="B72" s="237"/>
      <c r="C72" s="246"/>
      <c r="D72" s="23" t="s">
        <v>535</v>
      </c>
      <c r="E72" s="23"/>
      <c r="F72" s="23"/>
      <c r="G72" s="187">
        <v>9</v>
      </c>
      <c r="H72" s="187">
        <v>10</v>
      </c>
      <c r="I72" s="207">
        <f t="shared" si="8"/>
        <v>10</v>
      </c>
      <c r="J72" s="207">
        <f t="shared" si="8"/>
        <v>10</v>
      </c>
      <c r="K72" s="207">
        <f t="shared" si="8"/>
        <v>10</v>
      </c>
      <c r="L72" s="246"/>
      <c r="M72" s="241"/>
    </row>
    <row r="73" spans="2:13" ht="12.75">
      <c r="B73" s="237"/>
      <c r="C73" s="246"/>
      <c r="D73" s="23"/>
      <c r="E73" s="23"/>
      <c r="F73" s="23"/>
      <c r="G73" s="36"/>
      <c r="H73" s="36"/>
      <c r="I73" s="36"/>
      <c r="J73" s="36"/>
      <c r="K73" s="36"/>
      <c r="L73" s="246"/>
      <c r="M73" s="241"/>
    </row>
    <row r="74" spans="2:13" ht="12.75">
      <c r="B74" s="237"/>
      <c r="C74" s="246"/>
      <c r="D74" s="32" t="s">
        <v>60</v>
      </c>
      <c r="E74" s="23"/>
      <c r="F74" s="23"/>
      <c r="G74" s="36"/>
      <c r="H74" s="36"/>
      <c r="I74" s="36"/>
      <c r="J74" s="36"/>
      <c r="K74" s="36"/>
      <c r="L74" s="246"/>
      <c r="M74" s="241"/>
    </row>
    <row r="75" spans="2:13" ht="12.75">
      <c r="B75" s="237"/>
      <c r="C75" s="246"/>
      <c r="D75" s="23" t="s">
        <v>59</v>
      </c>
      <c r="E75" s="23"/>
      <c r="F75" s="23"/>
      <c r="G75" s="278">
        <f>IF(G$35=0,0,+G$33/G$35)</f>
        <v>0.030067895247332686</v>
      </c>
      <c r="H75" s="278">
        <f>IF(H$35=0,0,+H$33/H$35)</f>
        <v>0.030587473701246155</v>
      </c>
      <c r="I75" s="278">
        <f>IF(I$35=0,0,+I$33/I$35)</f>
        <v>0.030587473701246155</v>
      </c>
      <c r="J75" s="278">
        <f>IF(J$35=0,0,+J$33/J$35)</f>
        <v>0.030587473701246155</v>
      </c>
      <c r="K75" s="278">
        <f>IF(K$35=0,0,+K$33/K$35)</f>
        <v>0.030587473701246155</v>
      </c>
      <c r="L75" s="246"/>
      <c r="M75" s="241"/>
    </row>
    <row r="76" spans="2:13" ht="12.75">
      <c r="B76" s="237"/>
      <c r="C76" s="246"/>
      <c r="D76" s="23" t="s">
        <v>89</v>
      </c>
      <c r="E76" s="23"/>
      <c r="F76" s="23"/>
      <c r="G76" s="278">
        <f>IF(G$35=0,0,+(G$33-(G$67+G$68))/G$35)</f>
        <v>0.027481409634658907</v>
      </c>
      <c r="H76" s="278">
        <f>IF(H$35=0,0,+(H$33-(H$67+H$68))/H$35)</f>
        <v>0.028321734908561255</v>
      </c>
      <c r="I76" s="278">
        <f>IF(I$35=0,0,+(I$33-(I$67+I$68))/I$35)</f>
        <v>0.028321734908561255</v>
      </c>
      <c r="J76" s="278">
        <f>IF(J$35=0,0,+(J$33-(J$67+J$68))/J$35)</f>
        <v>0.028321734908561255</v>
      </c>
      <c r="K76" s="278">
        <f>IF(K$35=0,0,+(K$33-(K$67+K$68))/K$35)</f>
        <v>0.028321734908561255</v>
      </c>
      <c r="L76" s="246"/>
      <c r="M76" s="241"/>
    </row>
    <row r="77" spans="2:13" s="228" customFormat="1" ht="12.75">
      <c r="B77" s="51"/>
      <c r="C77" s="28"/>
      <c r="D77" s="28" t="s">
        <v>536</v>
      </c>
      <c r="E77" s="28"/>
      <c r="F77" s="28"/>
      <c r="G77" s="250">
        <f>IF(G$35=0,0,+(G$33-(G$67+G$68)+(G$71+G$72))/G$35)</f>
        <v>0.02925961849337213</v>
      </c>
      <c r="H77" s="250">
        <f>IF(H$35=0,0,+(H$33-(H$67+H$68)+(H$71+H$72))/H$35)</f>
        <v>0.030101958245670822</v>
      </c>
      <c r="I77" s="250">
        <f>IF(I$35=0,0,+(I$33-(I$67+I$68)+(I$71+I$72))/I$35)</f>
        <v>0.030101958245670822</v>
      </c>
      <c r="J77" s="250">
        <f>IF(J$35=0,0,+(J$33-(J$67+J$68)+(J$71+J$72))/J$35)</f>
        <v>0.030101958245670822</v>
      </c>
      <c r="K77" s="250">
        <f>IF(K$35=0,0,+(K$33-(K$67+K$68)+(K$71+K$72))/K$35)</f>
        <v>0.030101958245670822</v>
      </c>
      <c r="L77" s="28"/>
      <c r="M77" s="56"/>
    </row>
    <row r="78" spans="2:13" ht="12.75">
      <c r="B78" s="237"/>
      <c r="C78" s="246"/>
      <c r="D78" s="23"/>
      <c r="E78" s="23"/>
      <c r="F78" s="23"/>
      <c r="G78" s="36"/>
      <c r="H78" s="36"/>
      <c r="I78" s="36"/>
      <c r="J78" s="36"/>
      <c r="K78" s="36"/>
      <c r="L78" s="246"/>
      <c r="M78" s="241"/>
    </row>
    <row r="79" spans="2:13" ht="12.75">
      <c r="B79" s="237"/>
      <c r="C79" s="246"/>
      <c r="D79" s="23" t="s">
        <v>138</v>
      </c>
      <c r="E79" s="23"/>
      <c r="F79" s="23"/>
      <c r="G79" s="187" t="s">
        <v>139</v>
      </c>
      <c r="H79" s="187" t="str">
        <f>+G79</f>
        <v>j</v>
      </c>
      <c r="I79" s="207" t="str">
        <f>+H79</f>
        <v>j</v>
      </c>
      <c r="J79" s="207" t="str">
        <f>+I79</f>
        <v>j</v>
      </c>
      <c r="K79" s="207" t="str">
        <f>+J79</f>
        <v>j</v>
      </c>
      <c r="L79" s="246"/>
      <c r="M79" s="241"/>
    </row>
    <row r="80" spans="2:13" ht="12.75">
      <c r="B80" s="237"/>
      <c r="C80" s="246"/>
      <c r="D80" s="23"/>
      <c r="E80" s="23"/>
      <c r="F80" s="246"/>
      <c r="G80" s="248"/>
      <c r="H80" s="248"/>
      <c r="I80" s="248"/>
      <c r="J80" s="248"/>
      <c r="K80" s="248"/>
      <c r="L80" s="246"/>
      <c r="M80" s="241"/>
    </row>
    <row r="81" spans="2:13" ht="12.75">
      <c r="B81" s="237"/>
      <c r="C81" s="238"/>
      <c r="D81" s="10"/>
      <c r="E81" s="10"/>
      <c r="F81" s="238"/>
      <c r="G81" s="240"/>
      <c r="H81" s="240"/>
      <c r="I81" s="240"/>
      <c r="J81" s="240"/>
      <c r="K81" s="240"/>
      <c r="L81" s="238"/>
      <c r="M81" s="241"/>
    </row>
    <row r="82" spans="2:13" ht="13.5" thickBot="1">
      <c r="B82" s="252"/>
      <c r="C82" s="253"/>
      <c r="D82" s="60"/>
      <c r="E82" s="60"/>
      <c r="F82" s="253"/>
      <c r="G82" s="254"/>
      <c r="H82" s="254"/>
      <c r="I82" s="254"/>
      <c r="J82" s="254"/>
      <c r="K82" s="254"/>
      <c r="L82" s="253"/>
      <c r="M82" s="255"/>
    </row>
    <row r="83" spans="2:13" ht="12.75">
      <c r="B83" s="233"/>
      <c r="C83" s="234"/>
      <c r="D83" s="234"/>
      <c r="E83" s="234"/>
      <c r="F83" s="234"/>
      <c r="G83" s="235"/>
      <c r="H83" s="235"/>
      <c r="I83" s="235"/>
      <c r="J83" s="235"/>
      <c r="K83" s="235"/>
      <c r="L83" s="234"/>
      <c r="M83" s="236"/>
    </row>
    <row r="84" spans="2:13" ht="12.75">
      <c r="B84" s="237"/>
      <c r="C84" s="238"/>
      <c r="D84" s="238"/>
      <c r="E84" s="238"/>
      <c r="F84" s="238"/>
      <c r="G84" s="240"/>
      <c r="H84" s="240"/>
      <c r="I84" s="240"/>
      <c r="J84" s="240"/>
      <c r="K84" s="240"/>
      <c r="L84" s="238"/>
      <c r="M84" s="241"/>
    </row>
    <row r="85" spans="2:13" ht="12.75">
      <c r="B85" s="237"/>
      <c r="C85" s="238"/>
      <c r="D85" s="238"/>
      <c r="E85" s="238"/>
      <c r="F85" s="238"/>
      <c r="G85" s="240"/>
      <c r="H85" s="240"/>
      <c r="I85" s="240"/>
      <c r="J85" s="240"/>
      <c r="K85" s="240"/>
      <c r="L85" s="238"/>
      <c r="M85" s="241"/>
    </row>
    <row r="86" spans="2:13" ht="12.75">
      <c r="B86" s="237"/>
      <c r="C86" s="238"/>
      <c r="D86" s="238"/>
      <c r="E86" s="238"/>
      <c r="F86" s="238"/>
      <c r="G86" s="464" t="str">
        <f>G8</f>
        <v>2007/08</v>
      </c>
      <c r="H86" s="464" t="str">
        <f>H8</f>
        <v>2008/09</v>
      </c>
      <c r="I86" s="464" t="str">
        <f>I8</f>
        <v>2009/10</v>
      </c>
      <c r="J86" s="464" t="str">
        <f>J8</f>
        <v>2010/11</v>
      </c>
      <c r="K86" s="464" t="str">
        <f>K8</f>
        <v>2011/12</v>
      </c>
      <c r="L86" s="238"/>
      <c r="M86" s="241"/>
    </row>
    <row r="87" spans="2:13" ht="12.75">
      <c r="B87" s="237"/>
      <c r="C87" s="238"/>
      <c r="D87" s="238"/>
      <c r="E87" s="238"/>
      <c r="F87" s="238"/>
      <c r="G87" s="240"/>
      <c r="H87" s="240"/>
      <c r="I87" s="240"/>
      <c r="J87" s="240"/>
      <c r="K87" s="240"/>
      <c r="L87" s="238"/>
      <c r="M87" s="241"/>
    </row>
    <row r="88" spans="2:13" ht="12.75">
      <c r="B88" s="237"/>
      <c r="C88" s="238"/>
      <c r="D88" s="238"/>
      <c r="E88" s="238"/>
      <c r="F88" s="238"/>
      <c r="G88" s="240"/>
      <c r="H88" s="240"/>
      <c r="I88" s="240"/>
      <c r="J88" s="240"/>
      <c r="K88" s="240"/>
      <c r="L88" s="238"/>
      <c r="M88" s="241"/>
    </row>
    <row r="89" spans="2:13" ht="12.75">
      <c r="B89" s="237"/>
      <c r="C89" s="246"/>
      <c r="D89" s="246"/>
      <c r="E89" s="246"/>
      <c r="F89" s="246"/>
      <c r="G89" s="248"/>
      <c r="H89" s="248"/>
      <c r="I89" s="248"/>
      <c r="J89" s="248"/>
      <c r="K89" s="248"/>
      <c r="L89" s="246"/>
      <c r="M89" s="241"/>
    </row>
    <row r="90" spans="2:13" ht="12.75">
      <c r="B90" s="237"/>
      <c r="C90" s="246"/>
      <c r="D90" s="231" t="s">
        <v>537</v>
      </c>
      <c r="E90" s="246"/>
      <c r="F90" s="246"/>
      <c r="G90" s="248"/>
      <c r="H90" s="248"/>
      <c r="I90" s="248"/>
      <c r="J90" s="248"/>
      <c r="K90" s="248"/>
      <c r="L90" s="246"/>
      <c r="M90" s="241"/>
    </row>
    <row r="91" spans="2:13" ht="12.75">
      <c r="B91" s="237"/>
      <c r="C91" s="246"/>
      <c r="D91" s="231"/>
      <c r="E91" s="246"/>
      <c r="F91" s="246"/>
      <c r="G91" s="248"/>
      <c r="H91" s="248"/>
      <c r="I91" s="248"/>
      <c r="J91" s="248"/>
      <c r="K91" s="248"/>
      <c r="L91" s="246"/>
      <c r="M91" s="241"/>
    </row>
    <row r="92" spans="2:13" ht="12.75">
      <c r="B92" s="237"/>
      <c r="C92" s="246"/>
      <c r="D92" s="467" t="s">
        <v>500</v>
      </c>
      <c r="E92" s="231"/>
      <c r="F92" s="232"/>
      <c r="G92" s="232"/>
      <c r="H92" s="232"/>
      <c r="I92" s="248"/>
      <c r="J92" s="248"/>
      <c r="K92" s="248"/>
      <c r="L92" s="246"/>
      <c r="M92" s="241"/>
    </row>
    <row r="93" spans="2:13" ht="12.75">
      <c r="B93" s="237"/>
      <c r="C93" s="246"/>
      <c r="D93" s="246" t="s">
        <v>82</v>
      </c>
      <c r="E93" s="246"/>
      <c r="F93" s="246"/>
      <c r="G93" s="256">
        <f>ROUND((G44-G29)*IF(G53="j",tab!G76,tab!G68+G56*tab!H68),0)</f>
        <v>26940</v>
      </c>
      <c r="H93" s="256">
        <f>ROUND((H44-H29)*IF(H53="j",tab!I76,tab!I68+H56*tab!J68),0)</f>
        <v>27189</v>
      </c>
      <c r="I93" s="256">
        <f>ROUND((I44-I29)*IF(I53="j",tab!K76,tab!K68+I56*tab!L68),0)</f>
        <v>27189</v>
      </c>
      <c r="J93" s="256">
        <f>ROUND((J44-J29)*IF(J53="j",tab!M76,tab!M68+J56*tab!N68),0)</f>
        <v>27189</v>
      </c>
      <c r="K93" s="256">
        <f>ROUND((K44-K29)*IF(K53="j",tab!O76,tab!O68+K56*tab!P68),0)</f>
        <v>27189</v>
      </c>
      <c r="L93" s="246"/>
      <c r="M93" s="241"/>
    </row>
    <row r="94" spans="2:13" ht="12.75">
      <c r="B94" s="237"/>
      <c r="C94" s="246"/>
      <c r="D94" s="246" t="s">
        <v>83</v>
      </c>
      <c r="E94" s="246"/>
      <c r="F94" s="246"/>
      <c r="G94" s="256">
        <f>ROUND((G44-G39)*IF(G53="j",tab!G77,tab!G69+G56*tab!H69),0)</f>
        <v>277215</v>
      </c>
      <c r="H94" s="256">
        <f>ROUND((H44-H39)*IF(H53="j",tab!I77,tab!I69+H56*tab!J69),0)</f>
        <v>291439</v>
      </c>
      <c r="I94" s="256">
        <f>ROUND((I44-I39)*IF(I53="j",tab!K77,tab!K69+I56*tab!L69),0)</f>
        <v>291439</v>
      </c>
      <c r="J94" s="256">
        <f>ROUND((J44-J39)*IF(J53="j",tab!M77,tab!M69+J56*tab!N69),0)</f>
        <v>291439</v>
      </c>
      <c r="K94" s="256">
        <f>ROUND((K44-K39)*IF(K53="j",tab!O77,tab!O69+K56*tab!P69),0)</f>
        <v>291439</v>
      </c>
      <c r="L94" s="246"/>
      <c r="M94" s="241"/>
    </row>
    <row r="95" spans="2:13" s="228" customFormat="1" ht="12.75">
      <c r="B95" s="51"/>
      <c r="C95" s="28"/>
      <c r="D95" s="28" t="s">
        <v>88</v>
      </c>
      <c r="E95" s="28"/>
      <c r="F95" s="28"/>
      <c r="G95" s="77">
        <f>SUM(G93:G94)</f>
        <v>304155</v>
      </c>
      <c r="H95" s="77">
        <f>SUM(H93:H94)</f>
        <v>318628</v>
      </c>
      <c r="I95" s="77">
        <f>SUM(I93:I94)</f>
        <v>318628</v>
      </c>
      <c r="J95" s="77">
        <f>SUM(J93:J94)</f>
        <v>318628</v>
      </c>
      <c r="K95" s="77">
        <f>SUM(K93:K94)</f>
        <v>318628</v>
      </c>
      <c r="L95" s="28"/>
      <c r="M95" s="56"/>
    </row>
    <row r="96" spans="2:13" ht="12.75">
      <c r="B96" s="237"/>
      <c r="C96" s="246"/>
      <c r="D96" s="246"/>
      <c r="E96" s="246"/>
      <c r="F96" s="246"/>
      <c r="G96" s="257"/>
      <c r="H96" s="257"/>
      <c r="I96" s="257"/>
      <c r="J96" s="257"/>
      <c r="K96" s="257"/>
      <c r="L96" s="246"/>
      <c r="M96" s="241"/>
    </row>
    <row r="97" spans="2:13" ht="12.75">
      <c r="B97" s="237"/>
      <c r="C97" s="246"/>
      <c r="D97" s="467" t="s">
        <v>503</v>
      </c>
      <c r="E97" s="231"/>
      <c r="F97" s="232"/>
      <c r="G97" s="457"/>
      <c r="H97" s="457"/>
      <c r="I97" s="257"/>
      <c r="J97" s="257"/>
      <c r="K97" s="257"/>
      <c r="L97" s="246"/>
      <c r="M97" s="241"/>
    </row>
    <row r="98" spans="2:13" ht="12.75">
      <c r="B98" s="237"/>
      <c r="C98" s="246"/>
      <c r="D98" s="246" t="s">
        <v>82</v>
      </c>
      <c r="E98" s="246"/>
      <c r="F98" s="246"/>
      <c r="G98" s="256">
        <f>ROUND((G45-G30)*IF(G53="j",tab!G76,tab!G68+G57*tab!H68),0)</f>
        <v>0</v>
      </c>
      <c r="H98" s="256">
        <f>ROUND((H45-H30)*IF(H53="j",tab!I76,tab!I68+H57*tab!J68),0)</f>
        <v>0</v>
      </c>
      <c r="I98" s="256">
        <f>ROUND((I45-I30)*IF(I53="j",tab!K76,tab!K68+I57*tab!L68),0)</f>
        <v>0</v>
      </c>
      <c r="J98" s="256">
        <f>ROUND((J45-J30)*IF(J53="j",tab!M76,tab!M68+J57*tab!N68),0)</f>
        <v>0</v>
      </c>
      <c r="K98" s="256">
        <f>ROUND((K45-K30)*IF(K53="j",tab!O76,tab!O68+K57*tab!P68),0)</f>
        <v>0</v>
      </c>
      <c r="L98" s="246"/>
      <c r="M98" s="241"/>
    </row>
    <row r="99" spans="2:13" ht="12.75">
      <c r="B99" s="237"/>
      <c r="C99" s="246"/>
      <c r="D99" s="246" t="s">
        <v>83</v>
      </c>
      <c r="E99" s="246"/>
      <c r="F99" s="246"/>
      <c r="G99" s="256">
        <f>ROUND((G45-G40)*IF(G53="j",tab!G77,tab!G69+G57*tab!H69),0)</f>
        <v>0</v>
      </c>
      <c r="H99" s="256">
        <f>ROUND((H45-H40)*IF(H53="j",tab!I77,tab!I69+H57*tab!J69),0)</f>
        <v>0</v>
      </c>
      <c r="I99" s="256">
        <f>ROUND((I45-I40)*IF(I53="j",tab!K77,tab!K69+I57*tab!L69),0)</f>
        <v>0</v>
      </c>
      <c r="J99" s="256">
        <f>ROUND(($J$45-$J$40)*IF($J$53="j",tab!M$77,tab!M$69+J$57*tab!N$69),0)</f>
        <v>0</v>
      </c>
      <c r="K99" s="256">
        <f>ROUND(($J$45-$J$40)*IF($J$53="j",tab!O$77,tab!O$69+K$57*tab!P$69),0)</f>
        <v>0</v>
      </c>
      <c r="L99" s="246"/>
      <c r="M99" s="241"/>
    </row>
    <row r="100" spans="2:13" s="228" customFormat="1" ht="12.75">
      <c r="B100" s="51"/>
      <c r="C100" s="28"/>
      <c r="D100" s="28" t="s">
        <v>88</v>
      </c>
      <c r="E100" s="28"/>
      <c r="F100" s="28"/>
      <c r="G100" s="77">
        <f>SUM(G98:G99)</f>
        <v>0</v>
      </c>
      <c r="H100" s="77">
        <f>SUM(H98:H99)</f>
        <v>0</v>
      </c>
      <c r="I100" s="77">
        <f>SUM(I98:I99)</f>
        <v>0</v>
      </c>
      <c r="J100" s="77">
        <f>SUM(J98:J99)</f>
        <v>0</v>
      </c>
      <c r="K100" s="77">
        <f>SUM(K98:K99)</f>
        <v>0</v>
      </c>
      <c r="L100" s="28"/>
      <c r="M100" s="56"/>
    </row>
    <row r="101" spans="2:13" ht="12.75">
      <c r="B101" s="237"/>
      <c r="C101" s="246"/>
      <c r="D101" s="246"/>
      <c r="E101" s="246"/>
      <c r="F101" s="246"/>
      <c r="G101" s="257"/>
      <c r="H101" s="257"/>
      <c r="I101" s="257"/>
      <c r="J101" s="257"/>
      <c r="K101" s="257"/>
      <c r="L101" s="246"/>
      <c r="M101" s="241"/>
    </row>
    <row r="102" spans="2:13" ht="12.75">
      <c r="B102" s="237"/>
      <c r="C102" s="246"/>
      <c r="D102" s="467" t="s">
        <v>504</v>
      </c>
      <c r="E102" s="231"/>
      <c r="F102" s="232"/>
      <c r="G102" s="457"/>
      <c r="H102" s="457"/>
      <c r="I102" s="257"/>
      <c r="J102" s="257"/>
      <c r="K102" s="257"/>
      <c r="L102" s="246"/>
      <c r="M102" s="241"/>
    </row>
    <row r="103" spans="2:13" ht="12.75">
      <c r="B103" s="237"/>
      <c r="C103" s="246"/>
      <c r="D103" s="246" t="s">
        <v>82</v>
      </c>
      <c r="E103" s="246"/>
      <c r="F103" s="246"/>
      <c r="G103" s="256">
        <f>ROUND((G46-G31)*IF(G53="j",tab!G76,tab!G68+G58*tab!H68),0)</f>
        <v>0</v>
      </c>
      <c r="H103" s="256">
        <f>ROUND((H46-H31)*IF(H53="j",tab!I76,tab!I68+H58*tab!J68),0)</f>
        <v>0</v>
      </c>
      <c r="I103" s="256">
        <f>ROUND((I46-I31)*IF(I53="j",tab!K76,tab!K68+I58*tab!L68),0)</f>
        <v>0</v>
      </c>
      <c r="J103" s="256">
        <f>ROUND((J46-J31)*IF(J53="j",tab!M76,tab!M68+J58*tab!N68),0)</f>
        <v>0</v>
      </c>
      <c r="K103" s="256">
        <f>ROUND((K46-K31)*IF(K53="j",tab!O76,tab!O68+K58*tab!P68),0)</f>
        <v>0</v>
      </c>
      <c r="L103" s="246"/>
      <c r="M103" s="241"/>
    </row>
    <row r="104" spans="2:13" ht="12.75">
      <c r="B104" s="237"/>
      <c r="C104" s="246"/>
      <c r="D104" s="246" t="s">
        <v>83</v>
      </c>
      <c r="E104" s="246"/>
      <c r="F104" s="246"/>
      <c r="G104" s="256">
        <f>ROUND((G46-G41)*IF(G53="j",tab!G77,tab!G69+G58*tab!H69),0)</f>
        <v>0</v>
      </c>
      <c r="H104" s="256">
        <f>ROUND((H46-H41)*IF(H53="j",tab!I77,tab!I69+H58*tab!J69),0)</f>
        <v>0</v>
      </c>
      <c r="I104" s="256">
        <f>ROUND((I46-I41)*IF(I53="j",tab!K77,tab!K69+I58*tab!L69),0)</f>
        <v>0</v>
      </c>
      <c r="J104" s="256">
        <f>ROUND(($J$46-$J$41)*IF($J$53="j",tab!M$77,tab!M$69+J$58*tab!N$69),0)</f>
        <v>0</v>
      </c>
      <c r="K104" s="256">
        <f>ROUND(($J$46-$J$41)*IF($J$53="j",tab!O$77,tab!O$69+K$58*tab!P$69),0)</f>
        <v>0</v>
      </c>
      <c r="L104" s="246"/>
      <c r="M104" s="241"/>
    </row>
    <row r="105" spans="2:13" s="228" customFormat="1" ht="12.75">
      <c r="B105" s="51"/>
      <c r="C105" s="28"/>
      <c r="D105" s="28" t="s">
        <v>88</v>
      </c>
      <c r="E105" s="28"/>
      <c r="F105" s="28"/>
      <c r="G105" s="77">
        <f>SUM(G103:G104)</f>
        <v>0</v>
      </c>
      <c r="H105" s="77">
        <f>SUM(H103:H104)</f>
        <v>0</v>
      </c>
      <c r="I105" s="77">
        <f>SUM(I103:I104)</f>
        <v>0</v>
      </c>
      <c r="J105" s="77">
        <f>SUM(J103:J104)</f>
        <v>0</v>
      </c>
      <c r="K105" s="77">
        <f>SUM(K103:K104)</f>
        <v>0</v>
      </c>
      <c r="L105" s="28"/>
      <c r="M105" s="56"/>
    </row>
    <row r="106" spans="2:13" ht="12.75">
      <c r="B106" s="237"/>
      <c r="C106" s="246"/>
      <c r="D106" s="246"/>
      <c r="E106" s="246"/>
      <c r="F106" s="246"/>
      <c r="G106" s="257"/>
      <c r="H106" s="257"/>
      <c r="I106" s="257"/>
      <c r="J106" s="257"/>
      <c r="K106" s="257"/>
      <c r="L106" s="246"/>
      <c r="M106" s="241"/>
    </row>
    <row r="107" spans="2:13" ht="12.75">
      <c r="B107" s="237"/>
      <c r="C107" s="246"/>
      <c r="D107" s="467" t="s">
        <v>505</v>
      </c>
      <c r="E107" s="231"/>
      <c r="F107" s="232"/>
      <c r="G107" s="457"/>
      <c r="H107" s="457"/>
      <c r="I107" s="257"/>
      <c r="J107" s="257"/>
      <c r="K107" s="257"/>
      <c r="L107" s="246"/>
      <c r="M107" s="241"/>
    </row>
    <row r="108" spans="2:13" ht="12.75">
      <c r="B108" s="237"/>
      <c r="C108" s="246"/>
      <c r="D108" s="246" t="s">
        <v>82</v>
      </c>
      <c r="E108" s="246"/>
      <c r="F108" s="246"/>
      <c r="G108" s="256">
        <f>ROUND((G47-G32)*IF(G53="j",tab!G76,tab!G68+G59*tab!H68),0)</f>
        <v>0</v>
      </c>
      <c r="H108" s="256">
        <f>ROUND((H47-H32)*IF(H53="j",tab!I76,tab!I68+H59*tab!J68),0)</f>
        <v>0</v>
      </c>
      <c r="I108" s="256">
        <f>ROUND((I47-I32)*IF(I53="j",tab!K76,tab!K68+I59*tab!L68),0)</f>
        <v>0</v>
      </c>
      <c r="J108" s="256">
        <f>ROUND((J47-J32)*IF(J53="j",tab!M76,tab!M68+J59*tab!N68),0)</f>
        <v>0</v>
      </c>
      <c r="K108" s="256">
        <f>ROUND((K47-K32)*IF(K53="j",tab!O76,tab!O68+K59*tab!P68),0)</f>
        <v>0</v>
      </c>
      <c r="L108" s="246"/>
      <c r="M108" s="241"/>
    </row>
    <row r="109" spans="2:13" ht="12.75">
      <c r="B109" s="237"/>
      <c r="C109" s="246"/>
      <c r="D109" s="246" t="s">
        <v>83</v>
      </c>
      <c r="E109" s="246"/>
      <c r="F109" s="246"/>
      <c r="G109" s="256">
        <f>ROUND((G47-G42)*IF(G53="j",tab!G77,tab!G69+G59*tab!H69),0)</f>
        <v>0</v>
      </c>
      <c r="H109" s="256">
        <f>ROUND((H47-H42)*IF(H53="j",tab!I77,tab!I69+H59*tab!J69),0)</f>
        <v>0</v>
      </c>
      <c r="I109" s="256">
        <f>ROUND((I47-I42)*IF(I53="j",tab!K77,tab!K69+I59*tab!L69),0)</f>
        <v>0</v>
      </c>
      <c r="J109" s="256">
        <f>ROUND(($J$47-$J$42)*IF($J$53="j",tab!M$77,tab!M$69+J$59*tab!N$69),0)</f>
        <v>0</v>
      </c>
      <c r="K109" s="256">
        <f>ROUND(($J$47-$J$42)*IF($J$53="j",tab!O$77,tab!O$69+K$59*tab!P$69),0)</f>
        <v>0</v>
      </c>
      <c r="L109" s="246"/>
      <c r="M109" s="241"/>
    </row>
    <row r="110" spans="2:13" s="228" customFormat="1" ht="12.75">
      <c r="B110" s="51"/>
      <c r="C110" s="28"/>
      <c r="D110" s="28" t="s">
        <v>88</v>
      </c>
      <c r="E110" s="28"/>
      <c r="F110" s="28"/>
      <c r="G110" s="77">
        <f>SUM(G108:G109)</f>
        <v>0</v>
      </c>
      <c r="H110" s="77">
        <f>SUM(H108:H109)</f>
        <v>0</v>
      </c>
      <c r="I110" s="77">
        <f>SUM(I108:I109)</f>
        <v>0</v>
      </c>
      <c r="J110" s="77">
        <f>SUM(J108:J109)</f>
        <v>0</v>
      </c>
      <c r="K110" s="77">
        <f>SUM(K108:K109)</f>
        <v>0</v>
      </c>
      <c r="L110" s="28"/>
      <c r="M110" s="56"/>
    </row>
    <row r="111" spans="2:13" ht="12.75">
      <c r="B111" s="237"/>
      <c r="C111" s="246"/>
      <c r="D111" s="246"/>
      <c r="E111" s="246"/>
      <c r="F111" s="246"/>
      <c r="G111" s="257"/>
      <c r="H111" s="257"/>
      <c r="I111" s="257"/>
      <c r="J111" s="257"/>
      <c r="K111" s="257"/>
      <c r="L111" s="246"/>
      <c r="M111" s="241"/>
    </row>
    <row r="112" spans="2:13" ht="12.75">
      <c r="B112" s="237"/>
      <c r="C112" s="246"/>
      <c r="D112" s="231" t="s">
        <v>538</v>
      </c>
      <c r="E112" s="231"/>
      <c r="F112" s="231"/>
      <c r="G112" s="458"/>
      <c r="H112" s="458"/>
      <c r="I112" s="257"/>
      <c r="J112" s="257"/>
      <c r="K112" s="257"/>
      <c r="L112" s="246"/>
      <c r="M112" s="241"/>
    </row>
    <row r="113" spans="2:13" ht="12.75">
      <c r="B113" s="237"/>
      <c r="C113" s="246"/>
      <c r="D113" s="246" t="s">
        <v>82</v>
      </c>
      <c r="E113" s="246"/>
      <c r="F113" s="246"/>
      <c r="G113" s="256">
        <f aca="true" t="shared" si="9" ref="G113:K114">+G93+G98+G103+G108</f>
        <v>26940</v>
      </c>
      <c r="H113" s="256">
        <f t="shared" si="9"/>
        <v>27189</v>
      </c>
      <c r="I113" s="256">
        <f t="shared" si="9"/>
        <v>27189</v>
      </c>
      <c r="J113" s="256">
        <f t="shared" si="9"/>
        <v>27189</v>
      </c>
      <c r="K113" s="256">
        <f t="shared" si="9"/>
        <v>27189</v>
      </c>
      <c r="L113" s="246"/>
      <c r="M113" s="241"/>
    </row>
    <row r="114" spans="2:13" ht="12.75">
      <c r="B114" s="237"/>
      <c r="C114" s="246"/>
      <c r="D114" s="246" t="s">
        <v>83</v>
      </c>
      <c r="E114" s="246"/>
      <c r="F114" s="246"/>
      <c r="G114" s="256">
        <f t="shared" si="9"/>
        <v>277215</v>
      </c>
      <c r="H114" s="256">
        <f t="shared" si="9"/>
        <v>291439</v>
      </c>
      <c r="I114" s="256">
        <f t="shared" si="9"/>
        <v>291439</v>
      </c>
      <c r="J114" s="256">
        <f t="shared" si="9"/>
        <v>291439</v>
      </c>
      <c r="K114" s="256">
        <f t="shared" si="9"/>
        <v>291439</v>
      </c>
      <c r="L114" s="246"/>
      <c r="M114" s="241"/>
    </row>
    <row r="115" spans="2:13" s="228" customFormat="1" ht="12.75">
      <c r="B115" s="51"/>
      <c r="C115" s="28"/>
      <c r="D115" s="28" t="s">
        <v>88</v>
      </c>
      <c r="E115" s="28"/>
      <c r="F115" s="28"/>
      <c r="G115" s="77">
        <f>SUM(G113:G114)</f>
        <v>304155</v>
      </c>
      <c r="H115" s="77">
        <f>SUM(H113:H114)</f>
        <v>318628</v>
      </c>
      <c r="I115" s="77">
        <f>SUM(I113:I114)</f>
        <v>318628</v>
      </c>
      <c r="J115" s="77">
        <f>SUM(J113:J114)</f>
        <v>318628</v>
      </c>
      <c r="K115" s="77">
        <f>SUM(K113:K114)</f>
        <v>318628</v>
      </c>
      <c r="L115" s="28"/>
      <c r="M115" s="56"/>
    </row>
    <row r="116" spans="2:13" ht="12.75">
      <c r="B116" s="237"/>
      <c r="C116" s="246"/>
      <c r="D116" s="246"/>
      <c r="E116" s="246"/>
      <c r="F116" s="246"/>
      <c r="G116" s="248"/>
      <c r="H116" s="248"/>
      <c r="I116" s="248"/>
      <c r="J116" s="248"/>
      <c r="K116" s="248"/>
      <c r="L116" s="246"/>
      <c r="M116" s="241"/>
    </row>
    <row r="117" spans="2:13" ht="12.75">
      <c r="B117" s="237"/>
      <c r="C117" s="238"/>
      <c r="D117" s="238"/>
      <c r="E117" s="238"/>
      <c r="F117" s="238"/>
      <c r="G117" s="240"/>
      <c r="H117" s="240"/>
      <c r="I117" s="240"/>
      <c r="J117" s="240"/>
      <c r="K117" s="240"/>
      <c r="L117" s="238"/>
      <c r="M117" s="241"/>
    </row>
    <row r="118" spans="2:13" ht="12.75">
      <c r="B118" s="237"/>
      <c r="C118" s="238"/>
      <c r="D118" s="238"/>
      <c r="E118" s="238"/>
      <c r="F118" s="238"/>
      <c r="G118" s="240"/>
      <c r="H118" s="240"/>
      <c r="I118" s="240"/>
      <c r="J118" s="240"/>
      <c r="K118" s="240"/>
      <c r="L118" s="238"/>
      <c r="M118" s="241"/>
    </row>
    <row r="119" spans="2:13" ht="12.75">
      <c r="B119" s="237"/>
      <c r="C119" s="238"/>
      <c r="D119" s="238"/>
      <c r="E119" s="238"/>
      <c r="F119" s="238"/>
      <c r="G119" s="22">
        <f>H9</f>
        <v>2007</v>
      </c>
      <c r="H119" s="22">
        <f>G119+1</f>
        <v>2008</v>
      </c>
      <c r="I119" s="22">
        <f>H119+1</f>
        <v>2009</v>
      </c>
      <c r="J119" s="22">
        <f>I119+1</f>
        <v>2010</v>
      </c>
      <c r="K119" s="22">
        <f>J119+1</f>
        <v>2011</v>
      </c>
      <c r="L119" s="238"/>
      <c r="M119" s="241"/>
    </row>
    <row r="120" spans="2:13" ht="12.75">
      <c r="B120" s="237"/>
      <c r="C120" s="238"/>
      <c r="D120" s="238"/>
      <c r="E120" s="238"/>
      <c r="F120" s="238"/>
      <c r="G120" s="240"/>
      <c r="H120" s="240"/>
      <c r="I120" s="240"/>
      <c r="J120" s="240"/>
      <c r="K120" s="240"/>
      <c r="L120" s="238"/>
      <c r="M120" s="241"/>
    </row>
    <row r="121" spans="2:13" ht="12.75">
      <c r="B121" s="237"/>
      <c r="C121" s="246"/>
      <c r="D121" s="246"/>
      <c r="E121" s="246"/>
      <c r="F121" s="28"/>
      <c r="G121" s="248"/>
      <c r="H121" s="248"/>
      <c r="I121" s="248"/>
      <c r="J121" s="248"/>
      <c r="K121" s="248"/>
      <c r="L121" s="246"/>
      <c r="M121" s="241"/>
    </row>
    <row r="122" spans="2:13" ht="12.75">
      <c r="B122" s="237"/>
      <c r="C122" s="246"/>
      <c r="D122" s="28" t="s">
        <v>502</v>
      </c>
      <c r="E122" s="246"/>
      <c r="F122" s="28"/>
      <c r="G122" s="248"/>
      <c r="H122" s="248"/>
      <c r="I122" s="248"/>
      <c r="J122" s="248"/>
      <c r="K122" s="248"/>
      <c r="L122" s="246"/>
      <c r="M122" s="241"/>
    </row>
    <row r="123" spans="2:13" ht="12.75">
      <c r="B123" s="237"/>
      <c r="C123" s="246"/>
      <c r="D123" s="246"/>
      <c r="E123" s="246"/>
      <c r="F123" s="28"/>
      <c r="G123" s="248"/>
      <c r="H123" s="248"/>
      <c r="I123" s="248"/>
      <c r="J123" s="248"/>
      <c r="K123" s="248"/>
      <c r="L123" s="246"/>
      <c r="M123" s="241"/>
    </row>
    <row r="124" spans="2:13" ht="12.75">
      <c r="B124" s="237"/>
      <c r="C124" s="246"/>
      <c r="D124" s="32" t="s">
        <v>129</v>
      </c>
      <c r="E124" s="28"/>
      <c r="F124" s="246"/>
      <c r="G124" s="248"/>
      <c r="H124" s="232"/>
      <c r="I124" s="232"/>
      <c r="J124" s="232"/>
      <c r="K124" s="232"/>
      <c r="L124" s="246"/>
      <c r="M124" s="241"/>
    </row>
    <row r="125" spans="2:13" ht="12.75">
      <c r="B125" s="237"/>
      <c r="C125" s="246"/>
      <c r="D125" s="246" t="s">
        <v>417</v>
      </c>
      <c r="E125" s="28"/>
      <c r="F125" s="246"/>
      <c r="G125" s="256">
        <f>IF(G79="j",ROUND((G48-G33)*tab!F64,0),0)</f>
        <v>7370</v>
      </c>
      <c r="H125" s="256">
        <f>IF(H79="j",ROUND((H48-H33)*tab!H64,0),0)</f>
        <v>7580</v>
      </c>
      <c r="I125" s="256">
        <f>IF(I79="j",ROUND((I48-I33)*tab!J64,0),0)</f>
        <v>7580</v>
      </c>
      <c r="J125" s="256">
        <f>IF(J79="j",ROUND((J48-J33)*tab!L64,0),0)</f>
        <v>7580</v>
      </c>
      <c r="K125" s="256">
        <f>IF(K79="j",ROUND((K48-K33)*tab!N64,0),0)</f>
        <v>7580</v>
      </c>
      <c r="L125" s="246"/>
      <c r="M125" s="241"/>
    </row>
    <row r="126" spans="2:13" ht="12.75">
      <c r="B126" s="237"/>
      <c r="C126" s="246"/>
      <c r="D126" s="246" t="s">
        <v>87</v>
      </c>
      <c r="E126" s="246"/>
      <c r="F126" s="246"/>
      <c r="G126" s="256">
        <f>IF(G79="j",ROUND((G48-G38)*tab!F65,0),ROUND((G33-G38)*tab!F65,0))</f>
        <v>14297</v>
      </c>
      <c r="H126" s="256">
        <f>IF(H79="j",ROUND((H48-H38)*tab!H65,0),ROUND((H33-H38)*tab!H65,0))</f>
        <v>15131</v>
      </c>
      <c r="I126" s="256">
        <f>IF(I79="j",ROUND((I48-I38)*tab!J65,0),ROUND((I33-I38)*tab!J65,0))</f>
        <v>15131</v>
      </c>
      <c r="J126" s="256">
        <f>IF(J79="j",ROUND((J48-J38)*tab!L65,0),ROUND((J33-J38)*tab!L65,0))</f>
        <v>15131</v>
      </c>
      <c r="K126" s="256">
        <f>IF(K79="j",ROUND((K48-K38)*tab!N65,0),ROUND((K33-K38)*tab!N65,0))</f>
        <v>15131</v>
      </c>
      <c r="L126" s="246"/>
      <c r="M126" s="241"/>
    </row>
    <row r="127" spans="2:13" ht="12.75">
      <c r="B127" s="237"/>
      <c r="C127" s="246"/>
      <c r="D127" s="246" t="s">
        <v>418</v>
      </c>
      <c r="E127" s="246"/>
      <c r="F127" s="246"/>
      <c r="G127" s="256">
        <f>+G26*tab!F56</f>
        <v>39660</v>
      </c>
      <c r="H127" s="256">
        <f>+H26*tab!H56</f>
        <v>40252.799999999996</v>
      </c>
      <c r="I127" s="256">
        <f>I26*tab!J56</f>
        <v>40252.799999999996</v>
      </c>
      <c r="J127" s="256">
        <f>+J26*tab!L56</f>
        <v>40252.799999999996</v>
      </c>
      <c r="K127" s="256">
        <f>+K26*tab!N56</f>
        <v>40252.799999999996</v>
      </c>
      <c r="L127" s="246"/>
      <c r="M127" s="241"/>
    </row>
    <row r="128" spans="2:13" s="228" customFormat="1" ht="12.75">
      <c r="B128" s="51"/>
      <c r="C128" s="28"/>
      <c r="D128" s="28" t="s">
        <v>90</v>
      </c>
      <c r="E128" s="28"/>
      <c r="F128" s="28"/>
      <c r="G128" s="77">
        <f>IF(G126&gt;G127,G125+G127,G125+G126)</f>
        <v>21667</v>
      </c>
      <c r="H128" s="77">
        <f>IF(H126&gt;H127,H125+H127,H125+H126)</f>
        <v>22711</v>
      </c>
      <c r="I128" s="77">
        <f>IF(I126&gt;I127,I125+I127,I125+I126)</f>
        <v>22711</v>
      </c>
      <c r="J128" s="77">
        <f>IF(J126&gt;J127,J125+J127,J125+J126)</f>
        <v>22711</v>
      </c>
      <c r="K128" s="77">
        <f>IF(K126&gt;K127,K125+K127,K125+K126)</f>
        <v>22711</v>
      </c>
      <c r="L128" s="28"/>
      <c r="M128" s="56"/>
    </row>
    <row r="129" spans="2:13" ht="12.75">
      <c r="B129" s="237"/>
      <c r="C129" s="246"/>
      <c r="D129" s="246"/>
      <c r="E129" s="246"/>
      <c r="F129" s="246"/>
      <c r="G129" s="257"/>
      <c r="H129" s="257"/>
      <c r="I129" s="257"/>
      <c r="J129" s="257"/>
      <c r="K129" s="257"/>
      <c r="L129" s="246"/>
      <c r="M129" s="241"/>
    </row>
    <row r="130" spans="2:13" ht="12.75">
      <c r="B130" s="237"/>
      <c r="C130" s="246"/>
      <c r="D130" s="467" t="s">
        <v>500</v>
      </c>
      <c r="E130" s="28"/>
      <c r="F130" s="246"/>
      <c r="G130" s="257"/>
      <c r="H130" s="257"/>
      <c r="I130" s="257"/>
      <c r="J130" s="257"/>
      <c r="K130" s="257"/>
      <c r="L130" s="246"/>
      <c r="M130" s="241"/>
    </row>
    <row r="131" spans="2:13" ht="12.75">
      <c r="B131" s="237"/>
      <c r="C131" s="246"/>
      <c r="D131" s="246" t="s">
        <v>417</v>
      </c>
      <c r="E131" s="246"/>
      <c r="F131" s="246"/>
      <c r="G131" s="256">
        <f>IF(G79="j",ROUND((G44-G29)*tab!F64,0),0)</f>
        <v>7370</v>
      </c>
      <c r="H131" s="256">
        <f>ROUND(IF(H79="j",(H44-H29)*tab!H64,0),0)</f>
        <v>7580</v>
      </c>
      <c r="I131" s="256">
        <f>ROUND(IF(I79="j",(I44-I29)*tab!J64,0),0)</f>
        <v>7580</v>
      </c>
      <c r="J131" s="256">
        <f>ROUND(IF(J79="j",(J44-J29)*tab!L64,0),0)</f>
        <v>7580</v>
      </c>
      <c r="K131" s="256">
        <f>ROUND(IF(K79="j",(K44-K29)*tab!N64,0),0)</f>
        <v>7580</v>
      </c>
      <c r="L131" s="246"/>
      <c r="M131" s="241"/>
    </row>
    <row r="132" spans="2:13" ht="12.75">
      <c r="B132" s="237"/>
      <c r="C132" s="246"/>
      <c r="D132" s="246" t="s">
        <v>87</v>
      </c>
      <c r="E132" s="246"/>
      <c r="F132" s="246"/>
      <c r="G132" s="256">
        <f>IF(G$79="j",ROUND((G44-G39)*tab!F$65,0),ROUND((G29-G39)*tab!F$65,0))</f>
        <v>14297</v>
      </c>
      <c r="H132" s="256">
        <f>IF(H$79="j",ROUND((H44-H39)*tab!H$65,0),ROUND((H29-H39)*tab!H$65,0))</f>
        <v>15131</v>
      </c>
      <c r="I132" s="256">
        <f>IF(I$79="j",ROUND((I44-I39)*tab!J65,0),ROUND((I29-I39)*tab!J65,0))</f>
        <v>15131</v>
      </c>
      <c r="J132" s="256">
        <f>IF(J$79="j",ROUND((J44-J39)*tab!L65,0),ROUND((J29-J39)*tab!L65,0))</f>
        <v>15131</v>
      </c>
      <c r="K132" s="256">
        <f>IF(K$79="j",ROUND((K44-K39)*tab!N65,0),ROUND((K29-K39)*tab!N65,0))</f>
        <v>15131</v>
      </c>
      <c r="L132" s="246"/>
      <c r="M132" s="241"/>
    </row>
    <row r="133" spans="2:13" ht="12.75">
      <c r="B133" s="237"/>
      <c r="C133" s="246"/>
      <c r="D133" s="246" t="s">
        <v>91</v>
      </c>
      <c r="E133" s="246"/>
      <c r="F133" s="246"/>
      <c r="G133" s="256">
        <f>+G127*G29/G$33</f>
        <v>39660</v>
      </c>
      <c r="H133" s="256">
        <f>+H127*H29/H$33</f>
        <v>40252.799999999996</v>
      </c>
      <c r="I133" s="256">
        <f>+I127*I29/I$33</f>
        <v>40252.799999999996</v>
      </c>
      <c r="J133" s="256">
        <f>+J127*J29/J$33</f>
        <v>40252.799999999996</v>
      </c>
      <c r="K133" s="256">
        <f>+K127*K29/K$33</f>
        <v>40252.799999999996</v>
      </c>
      <c r="L133" s="246"/>
      <c r="M133" s="241"/>
    </row>
    <row r="134" spans="2:13" s="228" customFormat="1" ht="12.75">
      <c r="B134" s="51"/>
      <c r="C134" s="28"/>
      <c r="D134" s="28" t="s">
        <v>90</v>
      </c>
      <c r="E134" s="28"/>
      <c r="F134" s="28"/>
      <c r="G134" s="77">
        <f>IF(G132&gt;G133,G133+G131,G132+G131)</f>
        <v>21667</v>
      </c>
      <c r="H134" s="77">
        <f>IF(H132&gt;H133,H133+H131,H132+H131)</f>
        <v>22711</v>
      </c>
      <c r="I134" s="77">
        <f>IF(I132&gt;I133,I133+I131,I132+I131)</f>
        <v>22711</v>
      </c>
      <c r="J134" s="77">
        <f>IF(J132&gt;J133,J133+J131,J132+J131)</f>
        <v>22711</v>
      </c>
      <c r="K134" s="77">
        <f>IF(K132&gt;K133,K133+K131,K132+K131)</f>
        <v>22711</v>
      </c>
      <c r="L134" s="28"/>
      <c r="M134" s="56"/>
    </row>
    <row r="135" spans="2:13" ht="12.75">
      <c r="B135" s="237"/>
      <c r="C135" s="246"/>
      <c r="D135" s="246"/>
      <c r="E135" s="246"/>
      <c r="F135" s="246"/>
      <c r="G135" s="257"/>
      <c r="H135" s="257"/>
      <c r="I135" s="257"/>
      <c r="J135" s="257"/>
      <c r="K135" s="257"/>
      <c r="L135" s="246"/>
      <c r="M135" s="241"/>
    </row>
    <row r="136" spans="2:13" ht="12.75">
      <c r="B136" s="237"/>
      <c r="C136" s="246"/>
      <c r="D136" s="467" t="s">
        <v>503</v>
      </c>
      <c r="E136" s="28"/>
      <c r="F136" s="246"/>
      <c r="G136" s="257"/>
      <c r="H136" s="257"/>
      <c r="I136" s="257"/>
      <c r="J136" s="257"/>
      <c r="K136" s="257"/>
      <c r="L136" s="246"/>
      <c r="M136" s="241"/>
    </row>
    <row r="137" spans="2:13" ht="12.75">
      <c r="B137" s="237"/>
      <c r="C137" s="246"/>
      <c r="D137" s="246" t="s">
        <v>417</v>
      </c>
      <c r="E137" s="28"/>
      <c r="F137" s="246"/>
      <c r="G137" s="256">
        <f>IF(G79="j",ROUND((G45-G30)*tab!F64,0),0)</f>
        <v>0</v>
      </c>
      <c r="H137" s="256">
        <f>IF(H79="j",ROUND((H45-H30)*tab!H64,0),0)</f>
        <v>0</v>
      </c>
      <c r="I137" s="256">
        <f>IF(I79="j",ROUND((I45-I30)*tab!J64,0),0)</f>
        <v>0</v>
      </c>
      <c r="J137" s="256">
        <f>IF(J79="j",ROUND((J45-J30)*tab!L64,0),0)</f>
        <v>0</v>
      </c>
      <c r="K137" s="256">
        <f>IF(K79="j",ROUND((K45-K30)*tab!N64,0),0)</f>
        <v>0</v>
      </c>
      <c r="L137" s="246"/>
      <c r="M137" s="241"/>
    </row>
    <row r="138" spans="2:13" ht="12.75">
      <c r="B138" s="237"/>
      <c r="C138" s="246"/>
      <c r="D138" s="246" t="s">
        <v>87</v>
      </c>
      <c r="E138" s="246"/>
      <c r="F138" s="246"/>
      <c r="G138" s="256">
        <f>IF(G$79="j",ROUND((G45-G40)*tab!F$65,0),ROUND((G30-G40)*tab!F$65,0))</f>
        <v>0</v>
      </c>
      <c r="H138" s="256">
        <f>IF(H$79="j",ROUND((H45-H40)*tab!H$65,0),ROUND((H30-H40)*tab!H$65,0))</f>
        <v>0</v>
      </c>
      <c r="I138" s="256">
        <f>IF(I$79="j",ROUND((I45-I40)*tab!J$65,0),ROUND((I30-I40)*tab!J$65,0))</f>
        <v>0</v>
      </c>
      <c r="J138" s="256">
        <f>IF(J$79="j",ROUND((J45-J40)*tab!L$65,0),ROUND((J30-J40)*tab!L$65,0))</f>
        <v>0</v>
      </c>
      <c r="K138" s="256">
        <f>IF(K$79="j",ROUND((K45-K40)*tab!N$65,0),ROUND((K30-K40)*tab!N$65,0))</f>
        <v>0</v>
      </c>
      <c r="L138" s="246"/>
      <c r="M138" s="241"/>
    </row>
    <row r="139" spans="2:13" ht="12.75">
      <c r="B139" s="237"/>
      <c r="C139" s="246"/>
      <c r="D139" s="246" t="s">
        <v>91</v>
      </c>
      <c r="E139" s="246"/>
      <c r="F139" s="246"/>
      <c r="G139" s="256">
        <f>+G127*G30/G$33</f>
        <v>0</v>
      </c>
      <c r="H139" s="256">
        <f>+H127*H30/H$33</f>
        <v>0</v>
      </c>
      <c r="I139" s="256">
        <f>+I127*I30/I$33</f>
        <v>0</v>
      </c>
      <c r="J139" s="256">
        <f>+J127*J30/J$33</f>
        <v>0</v>
      </c>
      <c r="K139" s="256">
        <f>+K127*K30/K$33</f>
        <v>0</v>
      </c>
      <c r="L139" s="246"/>
      <c r="M139" s="241"/>
    </row>
    <row r="140" spans="2:13" s="228" customFormat="1" ht="12.75">
      <c r="B140" s="51"/>
      <c r="C140" s="28"/>
      <c r="D140" s="28" t="s">
        <v>90</v>
      </c>
      <c r="E140" s="28"/>
      <c r="F140" s="28"/>
      <c r="G140" s="77">
        <f>IF(G138&gt;G139,G139+G137,G138+G137)</f>
        <v>0</v>
      </c>
      <c r="H140" s="77">
        <f>IF(H138&gt;H139,H139+H137,H138+H137)</f>
        <v>0</v>
      </c>
      <c r="I140" s="77">
        <f>IF(I138&gt;I139,I139+I137,I138+I137)</f>
        <v>0</v>
      </c>
      <c r="J140" s="77">
        <f>IF(J138&gt;J139,J139+J137,J138+J137)</f>
        <v>0</v>
      </c>
      <c r="K140" s="77">
        <f>IF(K138&gt;K139,K139+K137,K138+K137)</f>
        <v>0</v>
      </c>
      <c r="L140" s="28"/>
      <c r="M140" s="56"/>
    </row>
    <row r="141" spans="2:13" ht="12.75">
      <c r="B141" s="237"/>
      <c r="C141" s="246"/>
      <c r="D141" s="246"/>
      <c r="E141" s="246"/>
      <c r="F141" s="246"/>
      <c r="G141" s="257"/>
      <c r="H141" s="257"/>
      <c r="I141" s="257"/>
      <c r="J141" s="257"/>
      <c r="K141" s="257"/>
      <c r="L141" s="246"/>
      <c r="M141" s="241"/>
    </row>
    <row r="142" spans="2:13" ht="12.75">
      <c r="B142" s="237"/>
      <c r="C142" s="246"/>
      <c r="D142" s="467" t="s">
        <v>504</v>
      </c>
      <c r="E142" s="28"/>
      <c r="F142" s="246"/>
      <c r="G142" s="257"/>
      <c r="H142" s="257"/>
      <c r="I142" s="257"/>
      <c r="J142" s="257"/>
      <c r="K142" s="257"/>
      <c r="L142" s="246"/>
      <c r="M142" s="241"/>
    </row>
    <row r="143" spans="2:13" ht="12.75">
      <c r="B143" s="237"/>
      <c r="C143" s="246"/>
      <c r="D143" s="246" t="s">
        <v>417</v>
      </c>
      <c r="E143" s="28"/>
      <c r="F143" s="246"/>
      <c r="G143" s="256">
        <f>IF(G79="j",ROUND((G46-G31)*tab!F64,0),0)</f>
        <v>0</v>
      </c>
      <c r="H143" s="256">
        <f>IF(H79="j",ROUND((H46-H31)*tab!H64,0),0)</f>
        <v>0</v>
      </c>
      <c r="I143" s="256">
        <f>IF(I79="j",ROUND((I46-I31)*tab!J64,0),0)</f>
        <v>0</v>
      </c>
      <c r="J143" s="256">
        <f>IF(J79="j",ROUND((J46-J31)*tab!L64,0),0)</f>
        <v>0</v>
      </c>
      <c r="K143" s="256">
        <f>IF(K79="j",ROUND((K46-K31)*tab!N64,0),0)</f>
        <v>0</v>
      </c>
      <c r="L143" s="246"/>
      <c r="M143" s="241"/>
    </row>
    <row r="144" spans="2:13" ht="12.75">
      <c r="B144" s="237"/>
      <c r="C144" s="246"/>
      <c r="D144" s="246" t="s">
        <v>87</v>
      </c>
      <c r="E144" s="246"/>
      <c r="F144" s="246"/>
      <c r="G144" s="256">
        <f>IF(G$79="j",ROUND((G$46-G$41)*tab!F$65,0),ROUND((G$31-G$41)*tab!F$65,0))</f>
        <v>0</v>
      </c>
      <c r="H144" s="256">
        <f>IF(H$79="j",ROUND((H$46-H$41)*tab!H$65,0),ROUND((H$31-H$41)*tab!H$65,0))</f>
        <v>0</v>
      </c>
      <c r="I144" s="256">
        <f>IF(I$79="j",ROUND((I$46-I$41)*tab!J$65,0),ROUND((I$31-I$41)*tab!J$65,0))</f>
        <v>0</v>
      </c>
      <c r="J144" s="256">
        <f>IF(J$79="j",ROUND((J$46-J$41)*tab!L$65,0),ROUND((J$31-J$41)*tab!L$65,0))</f>
        <v>0</v>
      </c>
      <c r="K144" s="256">
        <f>IF(K$79="j",ROUND((K$46-K$41)*tab!N$65,0),ROUND((K$31-K$41)*tab!N$65,0))</f>
        <v>0</v>
      </c>
      <c r="L144" s="246"/>
      <c r="M144" s="241"/>
    </row>
    <row r="145" spans="2:13" ht="12.75">
      <c r="B145" s="237"/>
      <c r="C145" s="246"/>
      <c r="D145" s="246" t="s">
        <v>91</v>
      </c>
      <c r="E145" s="246"/>
      <c r="F145" s="246"/>
      <c r="G145" s="256">
        <f>+G127*G31/G$33</f>
        <v>0</v>
      </c>
      <c r="H145" s="256">
        <f>+H127*H31/H$33</f>
        <v>0</v>
      </c>
      <c r="I145" s="256">
        <f>+I127*I31/I$33</f>
        <v>0</v>
      </c>
      <c r="J145" s="256">
        <f>+J127*J31/J$33</f>
        <v>0</v>
      </c>
      <c r="K145" s="256">
        <f>+K127*K31/K$33</f>
        <v>0</v>
      </c>
      <c r="L145" s="246"/>
      <c r="M145" s="241"/>
    </row>
    <row r="146" spans="2:13" s="228" customFormat="1" ht="12.75">
      <c r="B146" s="51"/>
      <c r="C146" s="28"/>
      <c r="D146" s="28" t="s">
        <v>90</v>
      </c>
      <c r="E146" s="28"/>
      <c r="F146" s="28"/>
      <c r="G146" s="77">
        <f>IF(G144&gt;G145,G145+G143,G144+G143)</f>
        <v>0</v>
      </c>
      <c r="H146" s="77">
        <f>IF(H144&gt;H145,H145+H143,H144+H143)</f>
        <v>0</v>
      </c>
      <c r="I146" s="77">
        <f>IF(I144&gt;I145,I145+I143,I144+I143)</f>
        <v>0</v>
      </c>
      <c r="J146" s="77">
        <f>IF(J144&gt;J145,J145+J143,J144+J143)</f>
        <v>0</v>
      </c>
      <c r="K146" s="77">
        <f>IF(K144&gt;K145,K145+K143,K144+K143)</f>
        <v>0</v>
      </c>
      <c r="L146" s="28"/>
      <c r="M146" s="56"/>
    </row>
    <row r="147" spans="2:13" ht="12.75">
      <c r="B147" s="237"/>
      <c r="C147" s="246"/>
      <c r="D147" s="246"/>
      <c r="E147" s="246"/>
      <c r="F147" s="246"/>
      <c r="G147" s="257"/>
      <c r="H147" s="257"/>
      <c r="I147" s="257"/>
      <c r="J147" s="257"/>
      <c r="K147" s="257"/>
      <c r="L147" s="246"/>
      <c r="M147" s="241"/>
    </row>
    <row r="148" spans="2:13" ht="12.75">
      <c r="B148" s="237"/>
      <c r="C148" s="246"/>
      <c r="D148" s="467" t="s">
        <v>505</v>
      </c>
      <c r="E148" s="28"/>
      <c r="F148" s="246"/>
      <c r="G148" s="257"/>
      <c r="H148" s="257"/>
      <c r="I148" s="257"/>
      <c r="J148" s="257"/>
      <c r="K148" s="257"/>
      <c r="L148" s="246"/>
      <c r="M148" s="241"/>
    </row>
    <row r="149" spans="2:13" ht="12.75">
      <c r="B149" s="237"/>
      <c r="C149" s="246"/>
      <c r="D149" s="246" t="s">
        <v>417</v>
      </c>
      <c r="E149" s="28"/>
      <c r="F149" s="246"/>
      <c r="G149" s="256">
        <f>IF(G79="j",ROUND((G47-G32)*tab!F64,0),0)</f>
        <v>0</v>
      </c>
      <c r="H149" s="256">
        <f>IF(H79="j",ROUND((H47-H32)*tab!H64,0),0)</f>
        <v>0</v>
      </c>
      <c r="I149" s="256">
        <f>IF(I79="j",ROUND((I47-I32)*tab!J64,0),0)</f>
        <v>0</v>
      </c>
      <c r="J149" s="256">
        <f>IF(J79="j",ROUND((J47-J32)*tab!L64,0),0)</f>
        <v>0</v>
      </c>
      <c r="K149" s="256">
        <f>IF(K79="j",ROUND((K47-K32)*tab!N64,0),0)</f>
        <v>0</v>
      </c>
      <c r="L149" s="246"/>
      <c r="M149" s="241"/>
    </row>
    <row r="150" spans="2:13" ht="12.75">
      <c r="B150" s="237"/>
      <c r="C150" s="246"/>
      <c r="D150" s="246" t="s">
        <v>87</v>
      </c>
      <c r="E150" s="246"/>
      <c r="F150" s="246"/>
      <c r="G150" s="256">
        <f>IF(G$79="j",ROUND((G$47-G$42)*tab!F$65,0),ROUND((G$32-G$42)*tab!F$65,0))</f>
        <v>0</v>
      </c>
      <c r="H150" s="256">
        <f>IF(H$79="j",ROUND((H$47-H$42)*tab!H$65,0),ROUND((H$32-H$42)*tab!H$65,0))</f>
        <v>0</v>
      </c>
      <c r="I150" s="256">
        <f>IF(I$79="j",ROUND((I$47-I$42)*tab!J$65,0),ROUND((I$32-I$42)*tab!J$65,0))</f>
        <v>0</v>
      </c>
      <c r="J150" s="256">
        <f>IF(J$79="j",ROUND((J$47-J$42)*tab!L$65,0),ROUND((J$32-J$42)*tab!L$65,0))</f>
        <v>0</v>
      </c>
      <c r="K150" s="256">
        <f>IF(K$79="j",ROUND((K$47-K$42)*tab!N$65,0),ROUND((K$32-K$42)*tab!N$65,0))</f>
        <v>0</v>
      </c>
      <c r="L150" s="246"/>
      <c r="M150" s="241"/>
    </row>
    <row r="151" spans="2:13" ht="12.75">
      <c r="B151" s="237"/>
      <c r="C151" s="246"/>
      <c r="D151" s="246" t="s">
        <v>91</v>
      </c>
      <c r="E151" s="246"/>
      <c r="F151" s="246"/>
      <c r="G151" s="256">
        <f>+G127*G32/G$33</f>
        <v>0</v>
      </c>
      <c r="H151" s="256">
        <f>+H127*H32/H$33</f>
        <v>0</v>
      </c>
      <c r="I151" s="256">
        <f>+I127*I32/I$33</f>
        <v>0</v>
      </c>
      <c r="J151" s="256">
        <f>+J127*J32/J$33</f>
        <v>0</v>
      </c>
      <c r="K151" s="256">
        <f>+K127*K32/K$33</f>
        <v>0</v>
      </c>
      <c r="L151" s="246"/>
      <c r="M151" s="241"/>
    </row>
    <row r="152" spans="2:13" s="228" customFormat="1" ht="12.75">
      <c r="B152" s="51"/>
      <c r="C152" s="28"/>
      <c r="D152" s="28" t="s">
        <v>90</v>
      </c>
      <c r="E152" s="28"/>
      <c r="F152" s="28"/>
      <c r="G152" s="77">
        <f>IF(G150&gt;G151,G151+G149,G150+G149)</f>
        <v>0</v>
      </c>
      <c r="H152" s="77">
        <f>IF(H150&gt;H151,H151+H149,H150+H149)</f>
        <v>0</v>
      </c>
      <c r="I152" s="77">
        <f>IF(I150&gt;I151,I151+I149,I150+I149)</f>
        <v>0</v>
      </c>
      <c r="J152" s="77">
        <f>IF(J150&gt;J151,J151+J149,J150+J149)</f>
        <v>0</v>
      </c>
      <c r="K152" s="77">
        <f>IF(K150&gt;K151,K151+K149,K150+K149)</f>
        <v>0</v>
      </c>
      <c r="L152" s="28"/>
      <c r="M152" s="56"/>
    </row>
    <row r="153" spans="2:13" ht="12.75">
      <c r="B153" s="237"/>
      <c r="C153" s="246"/>
      <c r="D153" s="246"/>
      <c r="E153" s="246"/>
      <c r="F153" s="246"/>
      <c r="G153" s="257"/>
      <c r="H153" s="257"/>
      <c r="I153" s="257"/>
      <c r="J153" s="257"/>
      <c r="K153" s="257"/>
      <c r="L153" s="246"/>
      <c r="M153" s="241"/>
    </row>
    <row r="154" spans="2:13" ht="12.75">
      <c r="B154" s="237"/>
      <c r="C154" s="246"/>
      <c r="D154" s="32" t="s">
        <v>180</v>
      </c>
      <c r="E154" s="28"/>
      <c r="F154" s="246"/>
      <c r="G154" s="257"/>
      <c r="H154" s="257"/>
      <c r="I154" s="257"/>
      <c r="J154" s="257"/>
      <c r="K154" s="257"/>
      <c r="L154" s="246"/>
      <c r="M154" s="241"/>
    </row>
    <row r="155" spans="2:13" ht="12.75">
      <c r="B155" s="237"/>
      <c r="C155" s="246"/>
      <c r="D155" s="23" t="s">
        <v>417</v>
      </c>
      <c r="E155" s="28"/>
      <c r="F155" s="246"/>
      <c r="G155" s="76">
        <f>+G131+G137+G143+G149</f>
        <v>7370</v>
      </c>
      <c r="H155" s="76">
        <f aca="true" t="shared" si="10" ref="G155:K157">+H131+H137+H143+H149</f>
        <v>7580</v>
      </c>
      <c r="I155" s="76">
        <f t="shared" si="10"/>
        <v>7580</v>
      </c>
      <c r="J155" s="76">
        <f t="shared" si="10"/>
        <v>7580</v>
      </c>
      <c r="K155" s="76">
        <f t="shared" si="10"/>
        <v>7580</v>
      </c>
      <c r="L155" s="246"/>
      <c r="M155" s="241"/>
    </row>
    <row r="156" spans="2:13" ht="12.75">
      <c r="B156" s="237"/>
      <c r="C156" s="246"/>
      <c r="D156" s="23" t="s">
        <v>87</v>
      </c>
      <c r="E156" s="28"/>
      <c r="F156" s="246"/>
      <c r="G156" s="76">
        <f t="shared" si="10"/>
        <v>14297</v>
      </c>
      <c r="H156" s="76">
        <f t="shared" si="10"/>
        <v>15131</v>
      </c>
      <c r="I156" s="76">
        <f t="shared" si="10"/>
        <v>15131</v>
      </c>
      <c r="J156" s="76">
        <f t="shared" si="10"/>
        <v>15131</v>
      </c>
      <c r="K156" s="76">
        <f t="shared" si="10"/>
        <v>15131</v>
      </c>
      <c r="L156" s="246"/>
      <c r="M156" s="241"/>
    </row>
    <row r="157" spans="2:13" ht="12.75">
      <c r="B157" s="237"/>
      <c r="C157" s="246"/>
      <c r="D157" s="23" t="s">
        <v>91</v>
      </c>
      <c r="E157" s="28"/>
      <c r="F157" s="246"/>
      <c r="G157" s="76">
        <f>+G133+G139+G145+G151</f>
        <v>39660</v>
      </c>
      <c r="H157" s="76">
        <f t="shared" si="10"/>
        <v>40252.799999999996</v>
      </c>
      <c r="I157" s="76">
        <f t="shared" si="10"/>
        <v>40252.799999999996</v>
      </c>
      <c r="J157" s="76">
        <f t="shared" si="10"/>
        <v>40252.799999999996</v>
      </c>
      <c r="K157" s="76">
        <f t="shared" si="10"/>
        <v>40252.799999999996</v>
      </c>
      <c r="L157" s="246"/>
      <c r="M157" s="241"/>
    </row>
    <row r="158" spans="2:13" s="228" customFormat="1" ht="12.75">
      <c r="B158" s="51"/>
      <c r="C158" s="28"/>
      <c r="D158" s="23" t="s">
        <v>90</v>
      </c>
      <c r="E158" s="28"/>
      <c r="F158" s="28"/>
      <c r="G158" s="77">
        <f>IF(G156&gt;G157,G157+G155,G156+G155)</f>
        <v>21667</v>
      </c>
      <c r="H158" s="77">
        <f>IF(H156&gt;H157,H157+H155,H156+H155)</f>
        <v>22711</v>
      </c>
      <c r="I158" s="77">
        <f>IF(I156&gt;I157,I157+I155,I156+I155)</f>
        <v>22711</v>
      </c>
      <c r="J158" s="77">
        <f>IF(J156&gt;J157,J157+J155,J156+J155)</f>
        <v>22711</v>
      </c>
      <c r="K158" s="77">
        <f>IF(K156&gt;K157,K157+K155,K156+K155)</f>
        <v>22711</v>
      </c>
      <c r="L158" s="28"/>
      <c r="M158" s="56"/>
    </row>
    <row r="159" spans="2:13" ht="12.75">
      <c r="B159" s="237"/>
      <c r="C159" s="246"/>
      <c r="D159" s="246"/>
      <c r="E159" s="246"/>
      <c r="F159" s="246"/>
      <c r="G159" s="248"/>
      <c r="H159" s="257"/>
      <c r="I159" s="257"/>
      <c r="J159" s="257"/>
      <c r="K159" s="257"/>
      <c r="L159" s="246"/>
      <c r="M159" s="241"/>
    </row>
    <row r="160" spans="2:13" ht="13.5" thickBot="1">
      <c r="B160" s="252"/>
      <c r="C160" s="253"/>
      <c r="D160" s="253"/>
      <c r="E160" s="253"/>
      <c r="F160" s="253"/>
      <c r="G160" s="254"/>
      <c r="H160" s="593"/>
      <c r="I160" s="593"/>
      <c r="J160" s="593"/>
      <c r="K160" s="593"/>
      <c r="L160" s="253"/>
      <c r="M160" s="255"/>
    </row>
    <row r="161" spans="2:13" ht="12.75">
      <c r="B161" s="233"/>
      <c r="C161" s="234"/>
      <c r="D161" s="234"/>
      <c r="E161" s="234"/>
      <c r="F161" s="234"/>
      <c r="G161" s="235"/>
      <c r="H161" s="594"/>
      <c r="I161" s="594"/>
      <c r="J161" s="594"/>
      <c r="K161" s="594"/>
      <c r="L161" s="234"/>
      <c r="M161" s="236"/>
    </row>
    <row r="162" spans="2:13" ht="12.75">
      <c r="B162" s="237"/>
      <c r="C162" s="238"/>
      <c r="D162" s="238"/>
      <c r="E162" s="238"/>
      <c r="F162" s="238"/>
      <c r="G162" s="464" t="str">
        <f>tab!G11</f>
        <v>2007/08</v>
      </c>
      <c r="H162" s="464" t="str">
        <f>tab!H11</f>
        <v>2008/09</v>
      </c>
      <c r="I162" s="464" t="str">
        <f>tab!I11</f>
        <v>2009/10</v>
      </c>
      <c r="J162" s="464" t="str">
        <f>tab!J11</f>
        <v>2010/11</v>
      </c>
      <c r="K162" s="464" t="str">
        <f>tab!K11</f>
        <v>2011/12</v>
      </c>
      <c r="L162" s="238"/>
      <c r="M162" s="241"/>
    </row>
    <row r="163" spans="2:13" ht="12.75">
      <c r="B163" s="237"/>
      <c r="C163" s="238"/>
      <c r="D163" s="238"/>
      <c r="E163" s="238"/>
      <c r="F163" s="238"/>
      <c r="G163" s="240"/>
      <c r="H163" s="258"/>
      <c r="I163" s="258"/>
      <c r="J163" s="258"/>
      <c r="K163" s="258"/>
      <c r="L163" s="238"/>
      <c r="M163" s="241"/>
    </row>
    <row r="164" spans="2:13" ht="12.75">
      <c r="B164" s="237"/>
      <c r="C164" s="246"/>
      <c r="D164" s="246"/>
      <c r="E164" s="246"/>
      <c r="F164" s="246"/>
      <c r="G164" s="248"/>
      <c r="H164" s="257"/>
      <c r="I164" s="257"/>
      <c r="J164" s="257"/>
      <c r="K164" s="257"/>
      <c r="L164" s="246"/>
      <c r="M164" s="241"/>
    </row>
    <row r="165" spans="2:13" ht="12.75">
      <c r="B165" s="237"/>
      <c r="C165" s="246"/>
      <c r="D165" s="28" t="s">
        <v>501</v>
      </c>
      <c r="E165" s="246"/>
      <c r="F165" s="246"/>
      <c r="G165" s="248"/>
      <c r="H165" s="257"/>
      <c r="I165" s="257"/>
      <c r="J165" s="257"/>
      <c r="K165" s="257"/>
      <c r="L165" s="246"/>
      <c r="M165" s="241"/>
    </row>
    <row r="166" spans="2:13" ht="12.75">
      <c r="B166" s="237"/>
      <c r="C166" s="246"/>
      <c r="D166" s="246"/>
      <c r="E166" s="246"/>
      <c r="F166" s="246"/>
      <c r="G166" s="248"/>
      <c r="H166" s="257"/>
      <c r="I166" s="257"/>
      <c r="J166" s="257"/>
      <c r="K166" s="257"/>
      <c r="L166" s="246"/>
      <c r="M166" s="241"/>
    </row>
    <row r="167" spans="2:13" ht="12.75">
      <c r="B167" s="237"/>
      <c r="C167" s="246"/>
      <c r="D167" s="34" t="s">
        <v>129</v>
      </c>
      <c r="E167" s="28"/>
      <c r="F167" s="232"/>
      <c r="G167" s="248"/>
      <c r="H167" s="257"/>
      <c r="I167" s="257"/>
      <c r="J167" s="257"/>
      <c r="K167" s="257"/>
      <c r="L167" s="246"/>
      <c r="M167" s="241"/>
    </row>
    <row r="168" spans="2:13" ht="12.75">
      <c r="B168" s="237"/>
      <c r="C168" s="246"/>
      <c r="D168" s="246" t="s">
        <v>417</v>
      </c>
      <c r="E168" s="246"/>
      <c r="F168" s="246"/>
      <c r="G168" s="256">
        <f aca="true" t="shared" si="11" ref="G168:J169">+G125*5/12+H125*7/12</f>
        <v>7492.5</v>
      </c>
      <c r="H168" s="256">
        <f t="shared" si="11"/>
        <v>7580</v>
      </c>
      <c r="I168" s="256">
        <f t="shared" si="11"/>
        <v>7580</v>
      </c>
      <c r="J168" s="256">
        <f t="shared" si="11"/>
        <v>7580</v>
      </c>
      <c r="K168" s="256">
        <f>+K125</f>
        <v>7580</v>
      </c>
      <c r="L168" s="246"/>
      <c r="M168" s="241"/>
    </row>
    <row r="169" spans="2:13" ht="12.75">
      <c r="B169" s="237"/>
      <c r="C169" s="246"/>
      <c r="D169" s="246" t="s">
        <v>87</v>
      </c>
      <c r="E169" s="246"/>
      <c r="F169" s="246"/>
      <c r="G169" s="256">
        <f t="shared" si="11"/>
        <v>14783.5</v>
      </c>
      <c r="H169" s="256">
        <f t="shared" si="11"/>
        <v>15131</v>
      </c>
      <c r="I169" s="256">
        <f t="shared" si="11"/>
        <v>15131</v>
      </c>
      <c r="J169" s="256">
        <f t="shared" si="11"/>
        <v>15131</v>
      </c>
      <c r="K169" s="256">
        <f>+K126</f>
        <v>15131</v>
      </c>
      <c r="L169" s="246"/>
      <c r="M169" s="241"/>
    </row>
    <row r="170" spans="2:13" ht="12.75">
      <c r="B170" s="237"/>
      <c r="C170" s="246"/>
      <c r="D170" s="246" t="s">
        <v>91</v>
      </c>
      <c r="E170" s="246"/>
      <c r="F170" s="246"/>
      <c r="G170" s="256">
        <f>+G127*(5/12+(1+tab!$H57)*7/12)</f>
        <v>40030.16</v>
      </c>
      <c r="H170" s="256">
        <f>+H127*(5/12+(1+tab!$H57)*7/12)</f>
        <v>40628.4928</v>
      </c>
      <c r="I170" s="256">
        <f>+I127*(5/12+(1+tab!$H57)*7/12)</f>
        <v>40628.4928</v>
      </c>
      <c r="J170" s="256">
        <f>+J127*(5/12+(1+tab!$H57)*7/12)</f>
        <v>40628.4928</v>
      </c>
      <c r="K170" s="256">
        <f>+K127*(5/12+(1+tab!$H57)*7/12)</f>
        <v>40628.4928</v>
      </c>
      <c r="L170" s="246"/>
      <c r="M170" s="241"/>
    </row>
    <row r="171" spans="2:13" s="228" customFormat="1" ht="12.75">
      <c r="B171" s="51"/>
      <c r="C171" s="28"/>
      <c r="D171" s="28" t="s">
        <v>90</v>
      </c>
      <c r="E171" s="28"/>
      <c r="F171" s="28"/>
      <c r="G171" s="77">
        <f>IF(G169&gt;G170,G170+G168,G169+G168)</f>
        <v>22276</v>
      </c>
      <c r="H171" s="77">
        <f>IF(H169&gt;H170,H170+H168,H169+H168)</f>
        <v>22711</v>
      </c>
      <c r="I171" s="77">
        <f>IF(I169&gt;I170,I170+I168,I169+I168)</f>
        <v>22711</v>
      </c>
      <c r="J171" s="77">
        <f>IF(J169&gt;J170,J170+J168,J169+J168)</f>
        <v>22711</v>
      </c>
      <c r="K171" s="77">
        <f>IF(K169&gt;K170,K170+K168,K169+K168)</f>
        <v>22711</v>
      </c>
      <c r="L171" s="28"/>
      <c r="M171" s="56"/>
    </row>
    <row r="172" spans="2:13" ht="12.75">
      <c r="B172" s="237"/>
      <c r="C172" s="246"/>
      <c r="D172" s="246"/>
      <c r="E172" s="246"/>
      <c r="F172" s="246"/>
      <c r="G172" s="257"/>
      <c r="H172" s="257"/>
      <c r="I172" s="257"/>
      <c r="J172" s="257"/>
      <c r="K172" s="257"/>
      <c r="L172" s="246"/>
      <c r="M172" s="241"/>
    </row>
    <row r="173" spans="2:13" ht="12.75">
      <c r="B173" s="237"/>
      <c r="C173" s="246"/>
      <c r="D173" s="467" t="s">
        <v>500</v>
      </c>
      <c r="E173" s="28"/>
      <c r="F173" s="246"/>
      <c r="G173" s="257"/>
      <c r="H173" s="257"/>
      <c r="I173" s="257"/>
      <c r="J173" s="257"/>
      <c r="K173" s="257"/>
      <c r="L173" s="246"/>
      <c r="M173" s="241"/>
    </row>
    <row r="174" spans="2:13" ht="12.75">
      <c r="B174" s="237"/>
      <c r="C174" s="246"/>
      <c r="D174" s="246" t="s">
        <v>417</v>
      </c>
      <c r="E174" s="28"/>
      <c r="F174" s="246"/>
      <c r="G174" s="256">
        <f aca="true" t="shared" si="12" ref="G174:J175">+G131*5/12+H131*7/12</f>
        <v>7492.5</v>
      </c>
      <c r="H174" s="256">
        <f t="shared" si="12"/>
        <v>7580</v>
      </c>
      <c r="I174" s="256">
        <f t="shared" si="12"/>
        <v>7580</v>
      </c>
      <c r="J174" s="256">
        <f t="shared" si="12"/>
        <v>7580</v>
      </c>
      <c r="K174" s="256">
        <f>+K131</f>
        <v>7580</v>
      </c>
      <c r="L174" s="246"/>
      <c r="M174" s="241"/>
    </row>
    <row r="175" spans="2:13" ht="12.75">
      <c r="B175" s="237"/>
      <c r="C175" s="246"/>
      <c r="D175" s="246" t="s">
        <v>87</v>
      </c>
      <c r="E175" s="246"/>
      <c r="F175" s="246"/>
      <c r="G175" s="256">
        <f t="shared" si="12"/>
        <v>14783.5</v>
      </c>
      <c r="H175" s="256">
        <f t="shared" si="12"/>
        <v>15131</v>
      </c>
      <c r="I175" s="256">
        <f t="shared" si="12"/>
        <v>15131</v>
      </c>
      <c r="J175" s="256">
        <f t="shared" si="12"/>
        <v>15131</v>
      </c>
      <c r="K175" s="256">
        <f>+K132</f>
        <v>15131</v>
      </c>
      <c r="L175" s="246"/>
      <c r="M175" s="241"/>
    </row>
    <row r="176" spans="2:13" ht="12.75">
      <c r="B176" s="237"/>
      <c r="C176" s="246"/>
      <c r="D176" s="246" t="s">
        <v>91</v>
      </c>
      <c r="E176" s="246"/>
      <c r="F176" s="246"/>
      <c r="G176" s="256">
        <f>+G170*G29/G33</f>
        <v>40030.16</v>
      </c>
      <c r="H176" s="256">
        <f>+H170*H29/H33</f>
        <v>40628.4928</v>
      </c>
      <c r="I176" s="256">
        <f>+I170*I29/I33</f>
        <v>40628.4928</v>
      </c>
      <c r="J176" s="256">
        <f>+J170*J29/J33</f>
        <v>40628.4928</v>
      </c>
      <c r="K176" s="256">
        <f>+K170*K29/K33</f>
        <v>40628.4928</v>
      </c>
      <c r="L176" s="246"/>
      <c r="M176" s="241"/>
    </row>
    <row r="177" spans="2:13" s="228" customFormat="1" ht="12.75">
      <c r="B177" s="51"/>
      <c r="C177" s="28"/>
      <c r="D177" s="28" t="s">
        <v>90</v>
      </c>
      <c r="E177" s="28"/>
      <c r="F177" s="28"/>
      <c r="G177" s="77">
        <f>IF(G175&gt;G176,G176+G174,G175+G174)</f>
        <v>22276</v>
      </c>
      <c r="H177" s="77">
        <f>IF(H175&gt;H176,H176+H174,H175+H174)</f>
        <v>22711</v>
      </c>
      <c r="I177" s="77">
        <f>IF(I175&gt;I176,I176+I174,I175+I174)</f>
        <v>22711</v>
      </c>
      <c r="J177" s="77">
        <f>IF(J175&gt;J176,J176+J174,J175+J174)</f>
        <v>22711</v>
      </c>
      <c r="K177" s="77">
        <f>IF(K175&gt;K176,K176+K174,K175+K174)</f>
        <v>22711</v>
      </c>
      <c r="L177" s="28"/>
      <c r="M177" s="56"/>
    </row>
    <row r="178" spans="2:13" ht="12.75">
      <c r="B178" s="237"/>
      <c r="C178" s="246"/>
      <c r="D178" s="246"/>
      <c r="E178" s="246"/>
      <c r="F178" s="246"/>
      <c r="G178" s="257"/>
      <c r="H178" s="257"/>
      <c r="I178" s="257"/>
      <c r="J178" s="257"/>
      <c r="K178" s="257"/>
      <c r="L178" s="246"/>
      <c r="M178" s="241"/>
    </row>
    <row r="179" spans="2:13" ht="12.75">
      <c r="B179" s="237"/>
      <c r="C179" s="246"/>
      <c r="D179" s="467" t="s">
        <v>503</v>
      </c>
      <c r="E179" s="28"/>
      <c r="F179" s="246"/>
      <c r="G179" s="257"/>
      <c r="H179" s="257"/>
      <c r="I179" s="257"/>
      <c r="J179" s="257"/>
      <c r="K179" s="257"/>
      <c r="L179" s="246"/>
      <c r="M179" s="241"/>
    </row>
    <row r="180" spans="2:13" ht="12.75">
      <c r="B180" s="237"/>
      <c r="C180" s="246"/>
      <c r="D180" s="246" t="s">
        <v>417</v>
      </c>
      <c r="E180" s="28"/>
      <c r="F180" s="246"/>
      <c r="G180" s="256">
        <f aca="true" t="shared" si="13" ref="G180:J181">+G137*5/12+H137*7/12</f>
        <v>0</v>
      </c>
      <c r="H180" s="256">
        <f t="shared" si="13"/>
        <v>0</v>
      </c>
      <c r="I180" s="256">
        <f t="shared" si="13"/>
        <v>0</v>
      </c>
      <c r="J180" s="256">
        <f t="shared" si="13"/>
        <v>0</v>
      </c>
      <c r="K180" s="256">
        <f>+K137</f>
        <v>0</v>
      </c>
      <c r="L180" s="246"/>
      <c r="M180" s="241"/>
    </row>
    <row r="181" spans="2:13" ht="12.75">
      <c r="B181" s="237"/>
      <c r="C181" s="246"/>
      <c r="D181" s="246" t="s">
        <v>87</v>
      </c>
      <c r="E181" s="246"/>
      <c r="F181" s="246"/>
      <c r="G181" s="256">
        <f t="shared" si="13"/>
        <v>0</v>
      </c>
      <c r="H181" s="256">
        <f t="shared" si="13"/>
        <v>0</v>
      </c>
      <c r="I181" s="256">
        <f t="shared" si="13"/>
        <v>0</v>
      </c>
      <c r="J181" s="256">
        <f t="shared" si="13"/>
        <v>0</v>
      </c>
      <c r="K181" s="256">
        <f>+K138</f>
        <v>0</v>
      </c>
      <c r="L181" s="246"/>
      <c r="M181" s="241"/>
    </row>
    <row r="182" spans="2:13" ht="12.75">
      <c r="B182" s="237"/>
      <c r="C182" s="246"/>
      <c r="D182" s="246" t="s">
        <v>91</v>
      </c>
      <c r="E182" s="246"/>
      <c r="F182" s="246"/>
      <c r="G182" s="256">
        <f>+G170*G30/G33</f>
        <v>0</v>
      </c>
      <c r="H182" s="256">
        <f>+H170*H30/H33</f>
        <v>0</v>
      </c>
      <c r="I182" s="256">
        <f>+I170*I30/I33</f>
        <v>0</v>
      </c>
      <c r="J182" s="256">
        <f>+J170*J30/J33</f>
        <v>0</v>
      </c>
      <c r="K182" s="256">
        <f>+K170*K30/K33</f>
        <v>0</v>
      </c>
      <c r="L182" s="246"/>
      <c r="M182" s="241"/>
    </row>
    <row r="183" spans="2:13" s="228" customFormat="1" ht="12.75">
      <c r="B183" s="51"/>
      <c r="C183" s="28"/>
      <c r="D183" s="28" t="s">
        <v>90</v>
      </c>
      <c r="E183" s="28"/>
      <c r="F183" s="28"/>
      <c r="G183" s="77">
        <f>IF(G181&gt;G182,G182+G180,G181+G180)</f>
        <v>0</v>
      </c>
      <c r="H183" s="77">
        <f>IF(H181&gt;H182,H182+H180,H181+H180)</f>
        <v>0</v>
      </c>
      <c r="I183" s="77">
        <f>IF(I181&gt;I182,I182+I180,I181+I180)</f>
        <v>0</v>
      </c>
      <c r="J183" s="77">
        <f>IF(J181&gt;J182,J182+J180,J181+J180)</f>
        <v>0</v>
      </c>
      <c r="K183" s="77">
        <f>IF(K181&gt;K182,K182+K180,K181+K180)</f>
        <v>0</v>
      </c>
      <c r="L183" s="28"/>
      <c r="M183" s="56"/>
    </row>
    <row r="184" spans="2:13" ht="12.75">
      <c r="B184" s="237"/>
      <c r="C184" s="246"/>
      <c r="D184" s="246"/>
      <c r="E184" s="246"/>
      <c r="F184" s="246"/>
      <c r="G184" s="257"/>
      <c r="H184" s="257"/>
      <c r="I184" s="257"/>
      <c r="J184" s="257"/>
      <c r="K184" s="257"/>
      <c r="L184" s="246"/>
      <c r="M184" s="241"/>
    </row>
    <row r="185" spans="2:13" ht="12.75">
      <c r="B185" s="237"/>
      <c r="C185" s="246"/>
      <c r="D185" s="467" t="s">
        <v>504</v>
      </c>
      <c r="E185" s="28"/>
      <c r="F185" s="246"/>
      <c r="G185" s="257"/>
      <c r="H185" s="257"/>
      <c r="I185" s="257"/>
      <c r="J185" s="257"/>
      <c r="K185" s="257"/>
      <c r="L185" s="246"/>
      <c r="M185" s="241"/>
    </row>
    <row r="186" spans="2:13" ht="12.75">
      <c r="B186" s="237"/>
      <c r="C186" s="246"/>
      <c r="D186" s="246" t="s">
        <v>417</v>
      </c>
      <c r="E186" s="28"/>
      <c r="F186" s="246"/>
      <c r="G186" s="256">
        <f aca="true" t="shared" si="14" ref="G186:J187">+G143*5/12+H143*7/12</f>
        <v>0</v>
      </c>
      <c r="H186" s="256">
        <f t="shared" si="14"/>
        <v>0</v>
      </c>
      <c r="I186" s="256">
        <f t="shared" si="14"/>
        <v>0</v>
      </c>
      <c r="J186" s="256">
        <f t="shared" si="14"/>
        <v>0</v>
      </c>
      <c r="K186" s="256">
        <f>+K143</f>
        <v>0</v>
      </c>
      <c r="L186" s="246"/>
      <c r="M186" s="241"/>
    </row>
    <row r="187" spans="2:13" ht="12.75">
      <c r="B187" s="237"/>
      <c r="C187" s="246"/>
      <c r="D187" s="246" t="s">
        <v>87</v>
      </c>
      <c r="E187" s="246"/>
      <c r="F187" s="246"/>
      <c r="G187" s="256">
        <f t="shared" si="14"/>
        <v>0</v>
      </c>
      <c r="H187" s="256">
        <f t="shared" si="14"/>
        <v>0</v>
      </c>
      <c r="I187" s="256">
        <f t="shared" si="14"/>
        <v>0</v>
      </c>
      <c r="J187" s="256">
        <f t="shared" si="14"/>
        <v>0</v>
      </c>
      <c r="K187" s="256">
        <f>+K144</f>
        <v>0</v>
      </c>
      <c r="L187" s="246"/>
      <c r="M187" s="241"/>
    </row>
    <row r="188" spans="2:13" ht="12.75">
      <c r="B188" s="237"/>
      <c r="C188" s="246"/>
      <c r="D188" s="246" t="s">
        <v>91</v>
      </c>
      <c r="E188" s="246"/>
      <c r="F188" s="246"/>
      <c r="G188" s="256">
        <f>+G170*G31/G33</f>
        <v>0</v>
      </c>
      <c r="H188" s="256">
        <f>+H170*H31/H33</f>
        <v>0</v>
      </c>
      <c r="I188" s="256">
        <f>+I170*I31/I33</f>
        <v>0</v>
      </c>
      <c r="J188" s="256">
        <f>+J170*J31/J33</f>
        <v>0</v>
      </c>
      <c r="K188" s="256">
        <f>+K170*K31/K33</f>
        <v>0</v>
      </c>
      <c r="L188" s="246"/>
      <c r="M188" s="241"/>
    </row>
    <row r="189" spans="2:13" s="228" customFormat="1" ht="12.75">
      <c r="B189" s="51"/>
      <c r="C189" s="28"/>
      <c r="D189" s="28" t="s">
        <v>90</v>
      </c>
      <c r="E189" s="28"/>
      <c r="F189" s="28"/>
      <c r="G189" s="77">
        <f>IF(G187&gt;G188,G188+G186,G187+G186)</f>
        <v>0</v>
      </c>
      <c r="H189" s="77">
        <f>IF(H187&gt;H188,H188+H186,H187+H186)</f>
        <v>0</v>
      </c>
      <c r="I189" s="77">
        <f>IF(I187&gt;I188,I188+I186,I187+I186)</f>
        <v>0</v>
      </c>
      <c r="J189" s="77">
        <f>IF(J187&gt;J188,J188+J186,J187+J186)</f>
        <v>0</v>
      </c>
      <c r="K189" s="77">
        <f>IF(K187&gt;K188,K188+K186,K187+K186)</f>
        <v>0</v>
      </c>
      <c r="L189" s="28"/>
      <c r="M189" s="56"/>
    </row>
    <row r="190" spans="2:13" ht="12.75">
      <c r="B190" s="237"/>
      <c r="C190" s="246"/>
      <c r="D190" s="246"/>
      <c r="E190" s="246"/>
      <c r="F190" s="246"/>
      <c r="G190" s="257"/>
      <c r="H190" s="257"/>
      <c r="I190" s="257"/>
      <c r="J190" s="257"/>
      <c r="K190" s="257"/>
      <c r="L190" s="246"/>
      <c r="M190" s="241"/>
    </row>
    <row r="191" spans="2:13" ht="12.75">
      <c r="B191" s="237"/>
      <c r="C191" s="246"/>
      <c r="D191" s="467" t="s">
        <v>505</v>
      </c>
      <c r="E191" s="28"/>
      <c r="F191" s="246"/>
      <c r="G191" s="257"/>
      <c r="H191" s="257"/>
      <c r="I191" s="257"/>
      <c r="J191" s="257"/>
      <c r="K191" s="257"/>
      <c r="L191" s="246"/>
      <c r="M191" s="241"/>
    </row>
    <row r="192" spans="2:13" ht="12.75">
      <c r="B192" s="237"/>
      <c r="C192" s="246"/>
      <c r="D192" s="246" t="s">
        <v>417</v>
      </c>
      <c r="E192" s="28"/>
      <c r="F192" s="246"/>
      <c r="G192" s="256">
        <f>+G149*5/12+H149*7/12</f>
        <v>0</v>
      </c>
      <c r="H192" s="256">
        <f aca="true" t="shared" si="15" ref="G192:J193">+H149*5/12+I149*7/12</f>
        <v>0</v>
      </c>
      <c r="I192" s="256">
        <f t="shared" si="15"/>
        <v>0</v>
      </c>
      <c r="J192" s="256">
        <f t="shared" si="15"/>
        <v>0</v>
      </c>
      <c r="K192" s="256">
        <f>+K149</f>
        <v>0</v>
      </c>
      <c r="L192" s="246"/>
      <c r="M192" s="241"/>
    </row>
    <row r="193" spans="2:13" ht="12.75">
      <c r="B193" s="237"/>
      <c r="C193" s="246"/>
      <c r="D193" s="246" t="s">
        <v>87</v>
      </c>
      <c r="E193" s="246"/>
      <c r="F193" s="246"/>
      <c r="G193" s="256">
        <f t="shared" si="15"/>
        <v>0</v>
      </c>
      <c r="H193" s="256">
        <f t="shared" si="15"/>
        <v>0</v>
      </c>
      <c r="I193" s="256">
        <f t="shared" si="15"/>
        <v>0</v>
      </c>
      <c r="J193" s="256">
        <f t="shared" si="15"/>
        <v>0</v>
      </c>
      <c r="K193" s="256">
        <f>+K150</f>
        <v>0</v>
      </c>
      <c r="L193" s="246"/>
      <c r="M193" s="241"/>
    </row>
    <row r="194" spans="2:13" ht="12.75">
      <c r="B194" s="237"/>
      <c r="C194" s="246"/>
      <c r="D194" s="246" t="s">
        <v>91</v>
      </c>
      <c r="E194" s="246"/>
      <c r="F194" s="246"/>
      <c r="G194" s="256">
        <f>+G170*G32/G33</f>
        <v>0</v>
      </c>
      <c r="H194" s="256">
        <f>+H170*H32/H33</f>
        <v>0</v>
      </c>
      <c r="I194" s="256">
        <f>+I170*I32/I33</f>
        <v>0</v>
      </c>
      <c r="J194" s="256">
        <f>+J170*J32/J33</f>
        <v>0</v>
      </c>
      <c r="K194" s="256">
        <f>+K170*K32/K33</f>
        <v>0</v>
      </c>
      <c r="L194" s="246"/>
      <c r="M194" s="241"/>
    </row>
    <row r="195" spans="2:13" s="228" customFormat="1" ht="12.75">
      <c r="B195" s="51"/>
      <c r="C195" s="28"/>
      <c r="D195" s="28" t="s">
        <v>90</v>
      </c>
      <c r="E195" s="28"/>
      <c r="F195" s="28"/>
      <c r="G195" s="77">
        <f>IF(G193&gt;G194,G194+G192,G193+G192)</f>
        <v>0</v>
      </c>
      <c r="H195" s="77">
        <f>IF(H193&gt;H194,H194+H192,H193+H192)</f>
        <v>0</v>
      </c>
      <c r="I195" s="77">
        <f>IF(I193&gt;I194,I194+I192,I193+I192)</f>
        <v>0</v>
      </c>
      <c r="J195" s="77">
        <f>IF(J193&gt;J194,J194+J192,J193+J192)</f>
        <v>0</v>
      </c>
      <c r="K195" s="77">
        <f>IF(K193&gt;K194,K194+K192,K193+K192)</f>
        <v>0</v>
      </c>
      <c r="L195" s="28"/>
      <c r="M195" s="56"/>
    </row>
    <row r="196" spans="2:13" ht="12.75">
      <c r="B196" s="237"/>
      <c r="C196" s="246"/>
      <c r="D196" s="246"/>
      <c r="E196" s="246"/>
      <c r="F196" s="246"/>
      <c r="G196" s="257"/>
      <c r="H196" s="257"/>
      <c r="I196" s="257"/>
      <c r="J196" s="257"/>
      <c r="K196" s="257"/>
      <c r="L196" s="246"/>
      <c r="M196" s="241"/>
    </row>
    <row r="197" spans="2:13" ht="12.75">
      <c r="B197" s="237"/>
      <c r="C197" s="246"/>
      <c r="D197" s="34" t="s">
        <v>181</v>
      </c>
      <c r="E197" s="28"/>
      <c r="F197" s="246"/>
      <c r="G197" s="257"/>
      <c r="H197" s="257"/>
      <c r="I197" s="257"/>
      <c r="J197" s="257"/>
      <c r="K197" s="257"/>
      <c r="L197" s="246"/>
      <c r="M197" s="241"/>
    </row>
    <row r="198" spans="2:13" ht="12.75">
      <c r="B198" s="237"/>
      <c r="C198" s="246"/>
      <c r="D198" s="23" t="s">
        <v>417</v>
      </c>
      <c r="E198" s="23"/>
      <c r="F198" s="23"/>
      <c r="G198" s="76">
        <f aca="true" t="shared" si="16" ref="G198:K200">+G174+G180+G186+G192</f>
        <v>7492.5</v>
      </c>
      <c r="H198" s="76">
        <f t="shared" si="16"/>
        <v>7580</v>
      </c>
      <c r="I198" s="76">
        <f t="shared" si="16"/>
        <v>7580</v>
      </c>
      <c r="J198" s="76">
        <f t="shared" si="16"/>
        <v>7580</v>
      </c>
      <c r="K198" s="76">
        <f t="shared" si="16"/>
        <v>7580</v>
      </c>
      <c r="L198" s="246"/>
      <c r="M198" s="241"/>
    </row>
    <row r="199" spans="2:13" ht="12.75">
      <c r="B199" s="237"/>
      <c r="C199" s="246"/>
      <c r="D199" s="23" t="s">
        <v>87</v>
      </c>
      <c r="E199" s="23"/>
      <c r="F199" s="23"/>
      <c r="G199" s="76">
        <f t="shared" si="16"/>
        <v>14783.5</v>
      </c>
      <c r="H199" s="76">
        <f t="shared" si="16"/>
        <v>15131</v>
      </c>
      <c r="I199" s="76">
        <f t="shared" si="16"/>
        <v>15131</v>
      </c>
      <c r="J199" s="76">
        <f t="shared" si="16"/>
        <v>15131</v>
      </c>
      <c r="K199" s="76">
        <f t="shared" si="16"/>
        <v>15131</v>
      </c>
      <c r="L199" s="246"/>
      <c r="M199" s="241"/>
    </row>
    <row r="200" spans="2:13" ht="12.75">
      <c r="B200" s="237"/>
      <c r="C200" s="246"/>
      <c r="D200" s="23" t="s">
        <v>91</v>
      </c>
      <c r="E200" s="23"/>
      <c r="F200" s="23"/>
      <c r="G200" s="76">
        <f t="shared" si="16"/>
        <v>40030.16</v>
      </c>
      <c r="H200" s="76">
        <f t="shared" si="16"/>
        <v>40628.4928</v>
      </c>
      <c r="I200" s="76">
        <f t="shared" si="16"/>
        <v>40628.4928</v>
      </c>
      <c r="J200" s="76">
        <f t="shared" si="16"/>
        <v>40628.4928</v>
      </c>
      <c r="K200" s="76">
        <f t="shared" si="16"/>
        <v>40628.4928</v>
      </c>
      <c r="L200" s="246"/>
      <c r="M200" s="241"/>
    </row>
    <row r="201" spans="2:13" s="228" customFormat="1" ht="12.75">
      <c r="B201" s="51"/>
      <c r="C201" s="28"/>
      <c r="D201" s="28" t="s">
        <v>90</v>
      </c>
      <c r="E201" s="28"/>
      <c r="F201" s="28"/>
      <c r="G201" s="77">
        <f>IF(G199&gt;G200,G200+G198,G199+G198)</f>
        <v>22276</v>
      </c>
      <c r="H201" s="77">
        <f>IF(H199&gt;H200,H200+H198,H199+H198)</f>
        <v>22711</v>
      </c>
      <c r="I201" s="77">
        <f>IF(I199&gt;I200,I200+I198,I199+I198)</f>
        <v>22711</v>
      </c>
      <c r="J201" s="77">
        <f>IF(J199&gt;J200,J200+J198,J199+J198)</f>
        <v>22711</v>
      </c>
      <c r="K201" s="77">
        <f>IF(K199&gt;K200,K200+K198,K199+K198)</f>
        <v>22711</v>
      </c>
      <c r="L201" s="28"/>
      <c r="M201" s="56"/>
    </row>
    <row r="202" spans="2:13" ht="12.75">
      <c r="B202" s="237"/>
      <c r="C202" s="246"/>
      <c r="D202" s="246"/>
      <c r="E202" s="246"/>
      <c r="F202" s="246"/>
      <c r="G202" s="248"/>
      <c r="H202" s="248"/>
      <c r="I202" s="248"/>
      <c r="J202" s="248"/>
      <c r="K202" s="248"/>
      <c r="L202" s="246"/>
      <c r="M202" s="241"/>
    </row>
    <row r="203" spans="2:13" ht="12.75">
      <c r="B203" s="237"/>
      <c r="C203" s="238"/>
      <c r="D203" s="238"/>
      <c r="E203" s="238"/>
      <c r="F203" s="238"/>
      <c r="G203" s="240"/>
      <c r="H203" s="240"/>
      <c r="I203" s="240"/>
      <c r="J203" s="240"/>
      <c r="K203" s="240"/>
      <c r="L203" s="238"/>
      <c r="M203" s="241"/>
    </row>
    <row r="204" spans="2:13" ht="13.5" thickBot="1">
      <c r="B204" s="252"/>
      <c r="C204" s="253"/>
      <c r="D204" s="253"/>
      <c r="E204" s="253"/>
      <c r="F204" s="253"/>
      <c r="G204" s="254"/>
      <c r="H204" s="254"/>
      <c r="I204" s="254"/>
      <c r="J204" s="254"/>
      <c r="K204" s="254"/>
      <c r="L204" s="253"/>
      <c r="M204" s="255"/>
    </row>
  </sheetData>
  <sheetProtection password="DE55" sheet="1" objects="1" scenarios="1"/>
  <dataValidations count="1">
    <dataValidation type="list" allowBlank="1" showInputMessage="1" showErrorMessage="1" sqref="G53:K54 G79:K79">
      <formula1>"j,n"</formula1>
    </dataValidation>
  </dataValidations>
  <printOptions/>
  <pageMargins left="0.75" right="0.75" top="1" bottom="1" header="0.5" footer="0.5"/>
  <pageSetup horizontalDpi="600" verticalDpi="600" orientation="portrait" paperSize="9" scale="55" r:id="rId3"/>
  <headerFooter alignWithMargins="0">
    <oddHeader>&amp;L&amp;"Arial,Vet"&amp;9&amp;F&amp;R&amp;"Arial,Vet"&amp;9&amp;A</oddHeader>
    <oddFooter>&amp;L&amp;"Arial,Vet"&amp;9vos/abb&amp;C&amp;"Arial,Vet"&amp;9&amp;P&amp;R&amp;"Arial,Vet"&amp;9&amp;D</oddFooter>
  </headerFooter>
  <rowBreaks count="2" manualBreakCount="2">
    <brk id="82" min="1" max="12" man="1"/>
    <brk id="160" min="1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27"/>
  <sheetViews>
    <sheetView showGridLines="0" zoomScale="85" zoomScaleNormal="85" zoomScaleSheetLayoutView="85" workbookViewId="0" topLeftCell="A1">
      <pane ySplit="9" topLeftCell="BM10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7109375" style="4" customWidth="1"/>
    <col min="2" max="3" width="2.7109375" style="4" customWidth="1"/>
    <col min="4" max="4" width="4.7109375" style="424" customWidth="1"/>
    <col min="5" max="5" width="45.7109375" style="4" customWidth="1"/>
    <col min="6" max="6" width="2.7109375" style="4" customWidth="1"/>
    <col min="7" max="11" width="16.8515625" style="4" customWidth="1"/>
    <col min="12" max="13" width="2.7109375" style="4" customWidth="1"/>
    <col min="14" max="16384" width="9.140625" style="4" customWidth="1"/>
  </cols>
  <sheetData>
    <row r="1" ht="13.5" thickBot="1"/>
    <row r="2" spans="2:13" ht="12.75">
      <c r="B2" s="303"/>
      <c r="C2" s="304"/>
      <c r="D2" s="425"/>
      <c r="E2" s="304"/>
      <c r="F2" s="304"/>
      <c r="G2" s="304"/>
      <c r="H2" s="304"/>
      <c r="I2" s="304"/>
      <c r="J2" s="304"/>
      <c r="K2" s="304"/>
      <c r="L2" s="304"/>
      <c r="M2" s="305"/>
    </row>
    <row r="3" spans="2:13" ht="12.75">
      <c r="B3" s="284"/>
      <c r="C3" s="6"/>
      <c r="D3" s="426"/>
      <c r="E3" s="6"/>
      <c r="F3" s="6"/>
      <c r="G3" s="6"/>
      <c r="H3" s="6"/>
      <c r="I3" s="6"/>
      <c r="J3" s="6"/>
      <c r="K3" s="6"/>
      <c r="L3" s="6"/>
      <c r="M3" s="285"/>
    </row>
    <row r="4" spans="2:13" s="276" customFormat="1" ht="18">
      <c r="B4" s="280"/>
      <c r="C4" s="282" t="s">
        <v>544</v>
      </c>
      <c r="D4" s="427"/>
      <c r="E4" s="282"/>
      <c r="F4" s="281"/>
      <c r="G4" s="281"/>
      <c r="H4" s="281"/>
      <c r="I4" s="281"/>
      <c r="J4" s="282"/>
      <c r="K4" s="282"/>
      <c r="L4" s="281"/>
      <c r="M4" s="283"/>
    </row>
    <row r="5" spans="2:13" ht="12.75">
      <c r="B5" s="284"/>
      <c r="C5" s="6"/>
      <c r="D5" s="426"/>
      <c r="E5" s="6"/>
      <c r="F5" s="6"/>
      <c r="G5" s="6"/>
      <c r="H5" s="6"/>
      <c r="I5" s="6"/>
      <c r="J5" s="6"/>
      <c r="K5" s="6"/>
      <c r="L5" s="6"/>
      <c r="M5" s="285"/>
    </row>
    <row r="6" spans="2:13" ht="12.75">
      <c r="B6" s="284"/>
      <c r="C6" s="6"/>
      <c r="D6" s="426"/>
      <c r="E6" s="6"/>
      <c r="F6" s="6"/>
      <c r="G6" s="6"/>
      <c r="H6" s="6"/>
      <c r="I6" s="6"/>
      <c r="J6" s="6"/>
      <c r="K6" s="6"/>
      <c r="L6" s="6"/>
      <c r="M6" s="285"/>
    </row>
    <row r="7" spans="2:13" ht="12.75">
      <c r="B7" s="284"/>
      <c r="C7" s="6"/>
      <c r="D7" s="426"/>
      <c r="E7" s="6"/>
      <c r="F7" s="6"/>
      <c r="G7" s="6"/>
      <c r="H7" s="6"/>
      <c r="I7" s="6"/>
      <c r="J7" s="6"/>
      <c r="K7" s="6"/>
      <c r="L7" s="6"/>
      <c r="M7" s="285"/>
    </row>
    <row r="8" spans="2:13" ht="12.75">
      <c r="B8" s="284"/>
      <c r="C8" s="6"/>
      <c r="D8" s="426"/>
      <c r="E8" s="411" t="s">
        <v>310</v>
      </c>
      <c r="F8" s="6"/>
      <c r="G8" s="464" t="str">
        <f>tab!G11</f>
        <v>2007/08</v>
      </c>
      <c r="H8" s="464" t="str">
        <f>tab!H11</f>
        <v>2008/09</v>
      </c>
      <c r="I8" s="464" t="str">
        <f>tab!I11</f>
        <v>2009/10</v>
      </c>
      <c r="J8" s="464" t="str">
        <f>tab!J11</f>
        <v>2010/11</v>
      </c>
      <c r="K8" s="464" t="str">
        <f>tab!K11</f>
        <v>2011/12</v>
      </c>
      <c r="L8" s="6"/>
      <c r="M8" s="285"/>
    </row>
    <row r="9" spans="2:13" ht="12.75">
      <c r="B9" s="284"/>
      <c r="C9" s="6"/>
      <c r="D9" s="426"/>
      <c r="E9" s="6"/>
      <c r="F9" s="6"/>
      <c r="G9" s="6"/>
      <c r="H9" s="6"/>
      <c r="I9" s="6"/>
      <c r="J9" s="6"/>
      <c r="K9" s="6"/>
      <c r="L9" s="6"/>
      <c r="M9" s="285"/>
    </row>
    <row r="10" spans="2:13" ht="12.75">
      <c r="B10" s="284"/>
      <c r="C10" s="6"/>
      <c r="D10" s="426"/>
      <c r="E10" s="6"/>
      <c r="F10" s="6"/>
      <c r="G10" s="6"/>
      <c r="H10" s="6"/>
      <c r="I10" s="6"/>
      <c r="J10" s="6"/>
      <c r="K10" s="6"/>
      <c r="L10" s="6"/>
      <c r="M10" s="285"/>
    </row>
    <row r="11" spans="2:13" ht="12.75">
      <c r="B11" s="284"/>
      <c r="C11" s="23"/>
      <c r="D11" s="35"/>
      <c r="E11" s="28"/>
      <c r="F11" s="23"/>
      <c r="G11" s="23"/>
      <c r="H11" s="23"/>
      <c r="I11" s="23"/>
      <c r="J11" s="23"/>
      <c r="K11" s="23"/>
      <c r="L11" s="23"/>
      <c r="M11" s="285"/>
    </row>
    <row r="12" spans="2:13" ht="12.75">
      <c r="B12" s="284"/>
      <c r="C12" s="23"/>
      <c r="D12" s="27" t="s">
        <v>508</v>
      </c>
      <c r="E12" s="28"/>
      <c r="F12" s="23"/>
      <c r="G12" s="23"/>
      <c r="H12" s="23"/>
      <c r="I12" s="23"/>
      <c r="J12" s="23"/>
      <c r="K12" s="23"/>
      <c r="L12" s="23"/>
      <c r="M12" s="285"/>
    </row>
    <row r="13" spans="2:13" ht="12.75">
      <c r="B13" s="284"/>
      <c r="C13" s="23"/>
      <c r="D13" s="27"/>
      <c r="E13" s="28"/>
      <c r="F13" s="23"/>
      <c r="G13" s="23"/>
      <c r="H13" s="23"/>
      <c r="I13" s="23"/>
      <c r="J13" s="23"/>
      <c r="K13" s="23"/>
      <c r="L13" s="23"/>
      <c r="M13" s="285"/>
    </row>
    <row r="14" spans="2:13" ht="12.75">
      <c r="B14" s="284"/>
      <c r="C14" s="23"/>
      <c r="D14" s="35" t="s">
        <v>361</v>
      </c>
      <c r="E14" s="23" t="s">
        <v>368</v>
      </c>
      <c r="F14" s="23"/>
      <c r="G14" s="48">
        <f>ROUND(+lln!G26*tab!G55,0)</f>
        <v>826380</v>
      </c>
      <c r="H14" s="48">
        <f>ROUND(+lln!H26*tab!I55,0)</f>
        <v>836563</v>
      </c>
      <c r="I14" s="48">
        <f>ROUND(+lln!I26*tab!K55,0)</f>
        <v>836563</v>
      </c>
      <c r="J14" s="48">
        <f>ROUND(+lln!J26*tab!M55,0)</f>
        <v>836563</v>
      </c>
      <c r="K14" s="48">
        <f>ROUND(+lln!K26*tab!O55,0)</f>
        <v>836563</v>
      </c>
      <c r="L14" s="23"/>
      <c r="M14" s="285"/>
    </row>
    <row r="15" spans="2:13" ht="12.75">
      <c r="B15" s="284"/>
      <c r="C15" s="23"/>
      <c r="D15" s="35" t="s">
        <v>362</v>
      </c>
      <c r="E15" s="23" t="s">
        <v>369</v>
      </c>
      <c r="F15" s="23"/>
      <c r="G15" s="48">
        <f>IF(lln!G27&gt;199,lln!G27*tab!G83,0)</f>
        <v>13864.56</v>
      </c>
      <c r="H15" s="48">
        <f>IF(lln!H27&gt;199,lln!H27*tab!I83,0)</f>
        <v>13275.15</v>
      </c>
      <c r="I15" s="48">
        <f>IF(lln!I27&gt;199,lln!I27*tab!K83,0)</f>
        <v>13275.15</v>
      </c>
      <c r="J15" s="48">
        <f>IF(lln!J27&gt;199,lln!J27*tab!M83,0)</f>
        <v>13275.15</v>
      </c>
      <c r="K15" s="48">
        <f>IF(lln!K27&gt;199,lln!K27*tab!O83,0)</f>
        <v>13275.15</v>
      </c>
      <c r="L15" s="23"/>
      <c r="M15" s="285"/>
    </row>
    <row r="16" spans="2:13" ht="12.75">
      <c r="B16" s="284"/>
      <c r="C16" s="23"/>
      <c r="D16" s="35"/>
      <c r="E16" s="23"/>
      <c r="F16" s="23"/>
      <c r="G16" s="31"/>
      <c r="H16" s="31"/>
      <c r="I16" s="31"/>
      <c r="J16" s="31"/>
      <c r="K16" s="31"/>
      <c r="L16" s="23"/>
      <c r="M16" s="285"/>
    </row>
    <row r="17" spans="2:13" ht="12.75">
      <c r="B17" s="284"/>
      <c r="C17" s="23"/>
      <c r="D17" s="35" t="s">
        <v>363</v>
      </c>
      <c r="E17" s="23" t="s">
        <v>271</v>
      </c>
      <c r="F17" s="23"/>
      <c r="G17" s="38">
        <v>0</v>
      </c>
      <c r="H17" s="456">
        <f>G17</f>
        <v>0</v>
      </c>
      <c r="I17" s="456">
        <f>H17</f>
        <v>0</v>
      </c>
      <c r="J17" s="456">
        <f>I17</f>
        <v>0</v>
      </c>
      <c r="K17" s="456">
        <f>J17</f>
        <v>0</v>
      </c>
      <c r="L17" s="23"/>
      <c r="M17" s="285"/>
    </row>
    <row r="18" spans="2:13" ht="12.75">
      <c r="B18" s="284"/>
      <c r="C18" s="23"/>
      <c r="D18" s="35" t="s">
        <v>364</v>
      </c>
      <c r="E18" s="23" t="s">
        <v>370</v>
      </c>
      <c r="F18" s="23"/>
      <c r="G18" s="48">
        <f>ROUND(+lln!G67*(tab!G76+tab!G77)+lln!G68*tab!G77,0)</f>
        <v>67946</v>
      </c>
      <c r="H18" s="48">
        <f>ROUND(+lln!H67*(tab!I76+tab!I77)+lln!H68*tab!I77,0)</f>
        <v>58620</v>
      </c>
      <c r="I18" s="48">
        <f>ROUND(+lln!I67*(tab!K76+tab!K77)+lln!I68*tab!K77,0)</f>
        <v>58620</v>
      </c>
      <c r="J18" s="48">
        <f>ROUND(+lln!J67*(tab!M76+tab!M77)+lln!J68*tab!M77,0)</f>
        <v>58620</v>
      </c>
      <c r="K18" s="48">
        <f>ROUND(+lln!K67*(tab!O76+tab!O77)+lln!K68*tab!O77,0)</f>
        <v>58620</v>
      </c>
      <c r="L18" s="23"/>
      <c r="M18" s="285"/>
    </row>
    <row r="19" spans="2:13" ht="12.75">
      <c r="B19" s="284"/>
      <c r="C19" s="23"/>
      <c r="D19" s="35" t="s">
        <v>386</v>
      </c>
      <c r="E19" s="23" t="s">
        <v>273</v>
      </c>
      <c r="F19" s="23"/>
      <c r="G19" s="38">
        <v>0</v>
      </c>
      <c r="H19" s="456">
        <f aca="true" t="shared" si="0" ref="H19:K20">G19</f>
        <v>0</v>
      </c>
      <c r="I19" s="456">
        <f t="shared" si="0"/>
        <v>0</v>
      </c>
      <c r="J19" s="456">
        <f t="shared" si="0"/>
        <v>0</v>
      </c>
      <c r="K19" s="456">
        <f t="shared" si="0"/>
        <v>0</v>
      </c>
      <c r="L19" s="23"/>
      <c r="M19" s="285"/>
    </row>
    <row r="20" spans="2:13" ht="12.75">
      <c r="B20" s="284"/>
      <c r="C20" s="23"/>
      <c r="D20" s="35" t="s">
        <v>365</v>
      </c>
      <c r="E20" s="185" t="s">
        <v>274</v>
      </c>
      <c r="F20" s="23"/>
      <c r="G20" s="38">
        <v>0</v>
      </c>
      <c r="H20" s="456">
        <f t="shared" si="0"/>
        <v>0</v>
      </c>
      <c r="I20" s="456">
        <f t="shared" si="0"/>
        <v>0</v>
      </c>
      <c r="J20" s="456">
        <f t="shared" si="0"/>
        <v>0</v>
      </c>
      <c r="K20" s="456">
        <f t="shared" si="0"/>
        <v>0</v>
      </c>
      <c r="L20" s="23"/>
      <c r="M20" s="285"/>
    </row>
    <row r="21" spans="2:13" ht="12.75">
      <c r="B21" s="284"/>
      <c r="C21" s="23"/>
      <c r="D21" s="35" t="s">
        <v>366</v>
      </c>
      <c r="E21" s="185" t="s">
        <v>274</v>
      </c>
      <c r="F21" s="23"/>
      <c r="G21" s="38">
        <v>0</v>
      </c>
      <c r="H21" s="456">
        <f aca="true" t="shared" si="1" ref="H21:K22">G21</f>
        <v>0</v>
      </c>
      <c r="I21" s="456">
        <f t="shared" si="1"/>
        <v>0</v>
      </c>
      <c r="J21" s="456">
        <f t="shared" si="1"/>
        <v>0</v>
      </c>
      <c r="K21" s="456">
        <f t="shared" si="1"/>
        <v>0</v>
      </c>
      <c r="L21" s="23"/>
      <c r="M21" s="285"/>
    </row>
    <row r="22" spans="2:13" ht="12.75">
      <c r="B22" s="284"/>
      <c r="C22" s="23"/>
      <c r="D22" s="35" t="s">
        <v>367</v>
      </c>
      <c r="E22" s="185" t="s">
        <v>274</v>
      </c>
      <c r="F22" s="23"/>
      <c r="G22" s="38">
        <v>0</v>
      </c>
      <c r="H22" s="456">
        <f t="shared" si="1"/>
        <v>0</v>
      </c>
      <c r="I22" s="456">
        <f t="shared" si="1"/>
        <v>0</v>
      </c>
      <c r="J22" s="456">
        <f t="shared" si="1"/>
        <v>0</v>
      </c>
      <c r="K22" s="456">
        <f t="shared" si="1"/>
        <v>0</v>
      </c>
      <c r="L22" s="23"/>
      <c r="M22" s="285"/>
    </row>
    <row r="23" spans="2:13" ht="12.75">
      <c r="B23" s="284"/>
      <c r="C23" s="23"/>
      <c r="D23" s="35"/>
      <c r="E23" s="23"/>
      <c r="F23" s="23"/>
      <c r="G23" s="23"/>
      <c r="H23" s="23"/>
      <c r="I23" s="23"/>
      <c r="J23" s="23"/>
      <c r="K23" s="23"/>
      <c r="L23" s="23"/>
      <c r="M23" s="285"/>
    </row>
    <row r="24" spans="2:13" s="3" customFormat="1" ht="12.75">
      <c r="B24" s="315"/>
      <c r="C24" s="28"/>
      <c r="D24" s="27"/>
      <c r="E24" s="27" t="s">
        <v>545</v>
      </c>
      <c r="F24" s="28"/>
      <c r="G24" s="198">
        <f>SUM(G14:G22)</f>
        <v>908190.56</v>
      </c>
      <c r="H24" s="198">
        <f>SUM(H14:H22)</f>
        <v>908458.15</v>
      </c>
      <c r="I24" s="198">
        <f>SUM(I14:I22)</f>
        <v>908458.15</v>
      </c>
      <c r="J24" s="198">
        <f>SUM(J14:J22)</f>
        <v>908458.15</v>
      </c>
      <c r="K24" s="198">
        <f>SUM(K14:K22)</f>
        <v>908458.15</v>
      </c>
      <c r="L24" s="28"/>
      <c r="M24" s="316"/>
    </row>
    <row r="25" spans="2:13" ht="12.75">
      <c r="B25" s="284"/>
      <c r="C25" s="23"/>
      <c r="D25" s="35"/>
      <c r="E25" s="23"/>
      <c r="F25" s="23"/>
      <c r="G25" s="23"/>
      <c r="H25" s="23"/>
      <c r="I25" s="23"/>
      <c r="J25" s="23"/>
      <c r="K25" s="23"/>
      <c r="L25" s="23"/>
      <c r="M25" s="285"/>
    </row>
    <row r="26" spans="2:13" s="407" customFormat="1" ht="12.75">
      <c r="B26" s="11"/>
      <c r="C26" s="10"/>
      <c r="D26" s="57"/>
      <c r="E26" s="10"/>
      <c r="F26" s="10"/>
      <c r="G26" s="10"/>
      <c r="H26" s="10"/>
      <c r="I26" s="10"/>
      <c r="J26" s="10"/>
      <c r="K26" s="10"/>
      <c r="L26" s="10"/>
      <c r="M26" s="12"/>
    </row>
    <row r="27" spans="2:13" ht="12.75">
      <c r="B27" s="284"/>
      <c r="C27" s="23"/>
      <c r="D27" s="35"/>
      <c r="E27" s="23"/>
      <c r="F27" s="23"/>
      <c r="G27" s="23"/>
      <c r="H27" s="23"/>
      <c r="I27" s="23"/>
      <c r="J27" s="23"/>
      <c r="K27" s="23"/>
      <c r="L27" s="23"/>
      <c r="M27" s="285"/>
    </row>
    <row r="28" spans="2:13" ht="12.75">
      <c r="B28" s="284"/>
      <c r="C28" s="23"/>
      <c r="D28" s="27" t="s">
        <v>509</v>
      </c>
      <c r="E28" s="23"/>
      <c r="F28" s="23"/>
      <c r="G28" s="23"/>
      <c r="H28" s="23"/>
      <c r="I28" s="23"/>
      <c r="J28" s="23"/>
      <c r="K28" s="23"/>
      <c r="L28" s="23"/>
      <c r="M28" s="285"/>
    </row>
    <row r="29" spans="2:13" ht="12.75">
      <c r="B29" s="284"/>
      <c r="C29" s="23"/>
      <c r="D29" s="35"/>
      <c r="E29" s="23"/>
      <c r="F29" s="23"/>
      <c r="G29" s="23"/>
      <c r="H29" s="23"/>
      <c r="I29" s="23"/>
      <c r="J29" s="23"/>
      <c r="K29" s="23"/>
      <c r="L29" s="23"/>
      <c r="M29" s="285"/>
    </row>
    <row r="30" spans="2:13" ht="12.75">
      <c r="B30" s="284"/>
      <c r="C30" s="23"/>
      <c r="D30" s="35" t="s">
        <v>429</v>
      </c>
      <c r="E30" s="23" t="s">
        <v>379</v>
      </c>
      <c r="F30" s="23"/>
      <c r="G30" s="48">
        <f>+lln!G95</f>
        <v>304155</v>
      </c>
      <c r="H30" s="48">
        <f>+lln!H95</f>
        <v>318628</v>
      </c>
      <c r="I30" s="48">
        <f>+lln!I95</f>
        <v>318628</v>
      </c>
      <c r="J30" s="48">
        <f>+lln!J95</f>
        <v>318628</v>
      </c>
      <c r="K30" s="48">
        <f>+lln!K95</f>
        <v>318628</v>
      </c>
      <c r="L30" s="23"/>
      <c r="M30" s="285"/>
    </row>
    <row r="31" spans="2:13" ht="12.75">
      <c r="B31" s="284"/>
      <c r="C31" s="23"/>
      <c r="D31" s="35" t="s">
        <v>430</v>
      </c>
      <c r="E31" s="23" t="s">
        <v>380</v>
      </c>
      <c r="F31" s="23"/>
      <c r="G31" s="48">
        <f>+lln!G100</f>
        <v>0</v>
      </c>
      <c r="H31" s="48">
        <f>+lln!H100</f>
        <v>0</v>
      </c>
      <c r="I31" s="48">
        <f>+lln!I100</f>
        <v>0</v>
      </c>
      <c r="J31" s="48">
        <f>+lln!J100</f>
        <v>0</v>
      </c>
      <c r="K31" s="48">
        <f>+lln!K100</f>
        <v>0</v>
      </c>
      <c r="L31" s="23"/>
      <c r="M31" s="285"/>
    </row>
    <row r="32" spans="2:13" ht="12.75">
      <c r="B32" s="284"/>
      <c r="C32" s="23"/>
      <c r="D32" s="35" t="s">
        <v>431</v>
      </c>
      <c r="E32" s="23" t="s">
        <v>381</v>
      </c>
      <c r="F32" s="23"/>
      <c r="G32" s="48">
        <f>+lln!G105</f>
        <v>0</v>
      </c>
      <c r="H32" s="48">
        <f>+lln!H105</f>
        <v>0</v>
      </c>
      <c r="I32" s="48">
        <f>+lln!I105</f>
        <v>0</v>
      </c>
      <c r="J32" s="48">
        <f>+lln!J105</f>
        <v>0</v>
      </c>
      <c r="K32" s="48">
        <f>+lln!K105</f>
        <v>0</v>
      </c>
      <c r="L32" s="23"/>
      <c r="M32" s="285"/>
    </row>
    <row r="33" spans="2:13" ht="12.75">
      <c r="B33" s="284"/>
      <c r="C33" s="23"/>
      <c r="D33" s="35" t="s">
        <v>432</v>
      </c>
      <c r="E33" s="23" t="s">
        <v>382</v>
      </c>
      <c r="F33" s="23"/>
      <c r="G33" s="48">
        <f>+lln!G110</f>
        <v>0</v>
      </c>
      <c r="H33" s="48">
        <f>+lln!H110</f>
        <v>0</v>
      </c>
      <c r="I33" s="48">
        <f>+lln!I110</f>
        <v>0</v>
      </c>
      <c r="J33" s="48">
        <f>+lln!J110</f>
        <v>0</v>
      </c>
      <c r="K33" s="48">
        <f>+lln!K110</f>
        <v>0</v>
      </c>
      <c r="L33" s="23"/>
      <c r="M33" s="285"/>
    </row>
    <row r="34" spans="2:13" s="277" customFormat="1" ht="12.75">
      <c r="B34" s="286"/>
      <c r="C34" s="34"/>
      <c r="D34" s="39"/>
      <c r="E34" s="32" t="s">
        <v>383</v>
      </c>
      <c r="F34" s="32"/>
      <c r="G34" s="312">
        <f>SUM(G30:G33)</f>
        <v>304155</v>
      </c>
      <c r="H34" s="312">
        <f>SUM(H30:H33)</f>
        <v>318628</v>
      </c>
      <c r="I34" s="312">
        <f>SUM(I30:I33)</f>
        <v>318628</v>
      </c>
      <c r="J34" s="312">
        <f>SUM(J30:J33)</f>
        <v>318628</v>
      </c>
      <c r="K34" s="312">
        <f>SUM(K30:K33)</f>
        <v>318628</v>
      </c>
      <c r="L34" s="34"/>
      <c r="M34" s="287"/>
    </row>
    <row r="35" spans="2:13" ht="12.75">
      <c r="B35" s="284"/>
      <c r="C35" s="23"/>
      <c r="D35" s="35"/>
      <c r="E35" s="23"/>
      <c r="F35" s="23"/>
      <c r="G35" s="23"/>
      <c r="H35" s="23"/>
      <c r="I35" s="23"/>
      <c r="J35" s="23"/>
      <c r="K35" s="23"/>
      <c r="L35" s="23"/>
      <c r="M35" s="285"/>
    </row>
    <row r="36" spans="2:13" ht="12.75">
      <c r="B36" s="284"/>
      <c r="C36" s="23"/>
      <c r="D36" s="35" t="s">
        <v>371</v>
      </c>
      <c r="E36" s="23" t="s">
        <v>378</v>
      </c>
      <c r="F36" s="23"/>
      <c r="G36" s="38">
        <v>0</v>
      </c>
      <c r="H36" s="456">
        <f aca="true" t="shared" si="2" ref="H36:K37">G36</f>
        <v>0</v>
      </c>
      <c r="I36" s="456">
        <f t="shared" si="2"/>
        <v>0</v>
      </c>
      <c r="J36" s="456">
        <f t="shared" si="2"/>
        <v>0</v>
      </c>
      <c r="K36" s="456">
        <f t="shared" si="2"/>
        <v>0</v>
      </c>
      <c r="L36" s="23"/>
      <c r="M36" s="285"/>
    </row>
    <row r="37" spans="2:13" ht="12.75">
      <c r="B37" s="284"/>
      <c r="C37" s="23"/>
      <c r="D37" s="35" t="s">
        <v>372</v>
      </c>
      <c r="E37" s="23" t="s">
        <v>377</v>
      </c>
      <c r="F37" s="23"/>
      <c r="G37" s="38">
        <v>0</v>
      </c>
      <c r="H37" s="456">
        <f t="shared" si="2"/>
        <v>0</v>
      </c>
      <c r="I37" s="456">
        <f t="shared" si="2"/>
        <v>0</v>
      </c>
      <c r="J37" s="456">
        <f t="shared" si="2"/>
        <v>0</v>
      </c>
      <c r="K37" s="456">
        <f t="shared" si="2"/>
        <v>0</v>
      </c>
      <c r="L37" s="23"/>
      <c r="M37" s="285"/>
    </row>
    <row r="38" spans="2:13" ht="12.75">
      <c r="B38" s="284"/>
      <c r="C38" s="23"/>
      <c r="D38" s="35" t="s">
        <v>373</v>
      </c>
      <c r="E38" s="23" t="s">
        <v>376</v>
      </c>
      <c r="F38" s="23"/>
      <c r="G38" s="48">
        <f>ROUND(+lln!G71*(tab!G76+tab!G77)+lln!G72*tab!G77,0)</f>
        <v>46549</v>
      </c>
      <c r="H38" s="48">
        <f>ROUND(+lln!H71*(tab!I76+tab!I77)+lln!H72*tab!I77,0)</f>
        <v>44537</v>
      </c>
      <c r="I38" s="48">
        <f>ROUND(+lln!I71*(tab!K76+tab!K77)+lln!I72*tab!K77,0)</f>
        <v>44537</v>
      </c>
      <c r="J38" s="48">
        <f>ROUND(+lln!J71*(tab!M76+tab!M77)+lln!J72*tab!M77,0)</f>
        <v>44537</v>
      </c>
      <c r="K38" s="48">
        <f>ROUND(+lln!K71*(tab!O76+tab!O77)+lln!K72*tab!O77,0)</f>
        <v>44537</v>
      </c>
      <c r="L38" s="23"/>
      <c r="M38" s="285"/>
    </row>
    <row r="39" spans="2:13" ht="12.75">
      <c r="B39" s="284"/>
      <c r="C39" s="23"/>
      <c r="D39" s="35" t="s">
        <v>374</v>
      </c>
      <c r="E39" s="23" t="s">
        <v>271</v>
      </c>
      <c r="F39" s="23"/>
      <c r="G39" s="38">
        <v>0</v>
      </c>
      <c r="H39" s="456">
        <f>G39</f>
        <v>0</v>
      </c>
      <c r="I39" s="456">
        <f>H39</f>
        <v>0</v>
      </c>
      <c r="J39" s="456">
        <f>I39</f>
        <v>0</v>
      </c>
      <c r="K39" s="456">
        <f>J39</f>
        <v>0</v>
      </c>
      <c r="L39" s="23"/>
      <c r="M39" s="285"/>
    </row>
    <row r="40" spans="2:13" ht="12.75">
      <c r="B40" s="284"/>
      <c r="C40" s="23"/>
      <c r="D40" s="35" t="s">
        <v>427</v>
      </c>
      <c r="E40" s="23" t="s">
        <v>375</v>
      </c>
      <c r="F40" s="23"/>
      <c r="G40" s="48">
        <f>+form!AC67</f>
        <v>0</v>
      </c>
      <c r="H40" s="48">
        <f>+form!AC132</f>
        <v>0</v>
      </c>
      <c r="I40" s="48">
        <f>+form!AC196</f>
        <v>0</v>
      </c>
      <c r="J40" s="48">
        <f>+form!AC260</f>
        <v>0</v>
      </c>
      <c r="K40" s="48">
        <f>+form!AC324</f>
        <v>0</v>
      </c>
      <c r="L40" s="23"/>
      <c r="M40" s="285"/>
    </row>
    <row r="41" spans="2:13" ht="12.75">
      <c r="B41" s="284"/>
      <c r="C41" s="23"/>
      <c r="D41" s="35" t="s">
        <v>428</v>
      </c>
      <c r="E41" s="23" t="s">
        <v>436</v>
      </c>
      <c r="F41" s="23"/>
      <c r="G41" s="38">
        <v>0</v>
      </c>
      <c r="H41" s="456">
        <f>G41</f>
        <v>0</v>
      </c>
      <c r="I41" s="456">
        <f>H41</f>
        <v>0</v>
      </c>
      <c r="J41" s="456">
        <f>I41</f>
        <v>0</v>
      </c>
      <c r="K41" s="456">
        <f>J41</f>
        <v>0</v>
      </c>
      <c r="L41" s="23"/>
      <c r="M41" s="285"/>
    </row>
    <row r="42" spans="2:13" ht="12.75">
      <c r="B42" s="284"/>
      <c r="C42" s="23"/>
      <c r="D42" s="35"/>
      <c r="E42" s="23"/>
      <c r="F42" s="23"/>
      <c r="G42" s="23"/>
      <c r="H42" s="23"/>
      <c r="I42" s="23"/>
      <c r="J42" s="23"/>
      <c r="K42" s="23"/>
      <c r="L42" s="23"/>
      <c r="M42" s="285"/>
    </row>
    <row r="43" spans="2:13" ht="12.75">
      <c r="B43" s="284"/>
      <c r="C43" s="23"/>
      <c r="D43" s="35" t="s">
        <v>63</v>
      </c>
      <c r="E43" s="185" t="s">
        <v>61</v>
      </c>
      <c r="F43" s="23"/>
      <c r="G43" s="38">
        <v>0</v>
      </c>
      <c r="H43" s="456">
        <f aca="true" t="shared" si="3" ref="H43:K49">G43</f>
        <v>0</v>
      </c>
      <c r="I43" s="456">
        <f t="shared" si="3"/>
        <v>0</v>
      </c>
      <c r="J43" s="456">
        <f t="shared" si="3"/>
        <v>0</v>
      </c>
      <c r="K43" s="456">
        <f t="shared" si="3"/>
        <v>0</v>
      </c>
      <c r="L43" s="23"/>
      <c r="M43" s="285"/>
    </row>
    <row r="44" spans="2:13" ht="12.75">
      <c r="B44" s="284"/>
      <c r="C44" s="23"/>
      <c r="D44" s="35" t="s">
        <v>64</v>
      </c>
      <c r="E44" s="185" t="s">
        <v>71</v>
      </c>
      <c r="F44" s="23"/>
      <c r="G44" s="38">
        <v>0</v>
      </c>
      <c r="H44" s="456">
        <f t="shared" si="3"/>
        <v>0</v>
      </c>
      <c r="I44" s="456">
        <f t="shared" si="3"/>
        <v>0</v>
      </c>
      <c r="J44" s="456">
        <f t="shared" si="3"/>
        <v>0</v>
      </c>
      <c r="K44" s="456">
        <f t="shared" si="3"/>
        <v>0</v>
      </c>
      <c r="L44" s="23"/>
      <c r="M44" s="285"/>
    </row>
    <row r="45" spans="2:13" ht="12.75">
      <c r="B45" s="284"/>
      <c r="C45" s="23"/>
      <c r="D45" s="35" t="s">
        <v>65</v>
      </c>
      <c r="E45" s="185" t="s">
        <v>72</v>
      </c>
      <c r="F45" s="23"/>
      <c r="G45" s="38">
        <v>0</v>
      </c>
      <c r="H45" s="456">
        <f t="shared" si="3"/>
        <v>0</v>
      </c>
      <c r="I45" s="456">
        <f t="shared" si="3"/>
        <v>0</v>
      </c>
      <c r="J45" s="456">
        <f t="shared" si="3"/>
        <v>0</v>
      </c>
      <c r="K45" s="456">
        <f t="shared" si="3"/>
        <v>0</v>
      </c>
      <c r="L45" s="23"/>
      <c r="M45" s="285"/>
    </row>
    <row r="46" spans="2:13" ht="12.75">
      <c r="B46" s="284"/>
      <c r="C46" s="23"/>
      <c r="D46" s="35" t="s">
        <v>66</v>
      </c>
      <c r="E46" s="185" t="s">
        <v>73</v>
      </c>
      <c r="F46" s="23"/>
      <c r="G46" s="38">
        <v>0</v>
      </c>
      <c r="H46" s="456">
        <f t="shared" si="3"/>
        <v>0</v>
      </c>
      <c r="I46" s="456">
        <f t="shared" si="3"/>
        <v>0</v>
      </c>
      <c r="J46" s="456">
        <f t="shared" si="3"/>
        <v>0</v>
      </c>
      <c r="K46" s="456">
        <f t="shared" si="3"/>
        <v>0</v>
      </c>
      <c r="L46" s="23"/>
      <c r="M46" s="285"/>
    </row>
    <row r="47" spans="2:13" ht="12.75">
      <c r="B47" s="284"/>
      <c r="C47" s="23"/>
      <c r="D47" s="35" t="s">
        <v>67</v>
      </c>
      <c r="E47" s="185" t="s">
        <v>74</v>
      </c>
      <c r="F47" s="23"/>
      <c r="G47" s="38">
        <v>0</v>
      </c>
      <c r="H47" s="456">
        <f t="shared" si="3"/>
        <v>0</v>
      </c>
      <c r="I47" s="456">
        <f t="shared" si="3"/>
        <v>0</v>
      </c>
      <c r="J47" s="456">
        <f t="shared" si="3"/>
        <v>0</v>
      </c>
      <c r="K47" s="456">
        <f t="shared" si="3"/>
        <v>0</v>
      </c>
      <c r="L47" s="23"/>
      <c r="M47" s="285"/>
    </row>
    <row r="48" spans="2:13" ht="12.75">
      <c r="B48" s="284"/>
      <c r="C48" s="23"/>
      <c r="D48" s="35" t="s">
        <v>68</v>
      </c>
      <c r="E48" s="185" t="s">
        <v>75</v>
      </c>
      <c r="F48" s="23"/>
      <c r="G48" s="38">
        <v>0</v>
      </c>
      <c r="H48" s="456">
        <f t="shared" si="3"/>
        <v>0</v>
      </c>
      <c r="I48" s="456">
        <f t="shared" si="3"/>
        <v>0</v>
      </c>
      <c r="J48" s="456">
        <f t="shared" si="3"/>
        <v>0</v>
      </c>
      <c r="K48" s="456">
        <f t="shared" si="3"/>
        <v>0</v>
      </c>
      <c r="L48" s="23"/>
      <c r="M48" s="285"/>
    </row>
    <row r="49" spans="2:13" ht="12.75">
      <c r="B49" s="284"/>
      <c r="C49" s="23"/>
      <c r="D49" s="35" t="s">
        <v>69</v>
      </c>
      <c r="E49" s="185" t="s">
        <v>76</v>
      </c>
      <c r="F49" s="23"/>
      <c r="G49" s="38">
        <v>0</v>
      </c>
      <c r="H49" s="456">
        <f t="shared" si="3"/>
        <v>0</v>
      </c>
      <c r="I49" s="456">
        <f t="shared" si="3"/>
        <v>0</v>
      </c>
      <c r="J49" s="456">
        <f t="shared" si="3"/>
        <v>0</v>
      </c>
      <c r="K49" s="456">
        <f t="shared" si="3"/>
        <v>0</v>
      </c>
      <c r="L49" s="23"/>
      <c r="M49" s="285"/>
    </row>
    <row r="50" spans="2:13" ht="12.75">
      <c r="B50" s="284"/>
      <c r="C50" s="23"/>
      <c r="D50" s="35" t="s">
        <v>70</v>
      </c>
      <c r="E50" s="185" t="s">
        <v>77</v>
      </c>
      <c r="F50" s="23"/>
      <c r="G50" s="38">
        <v>0</v>
      </c>
      <c r="H50" s="456">
        <f aca="true" t="shared" si="4" ref="H50:K51">G50</f>
        <v>0</v>
      </c>
      <c r="I50" s="456">
        <f t="shared" si="4"/>
        <v>0</v>
      </c>
      <c r="J50" s="456">
        <f t="shared" si="4"/>
        <v>0</v>
      </c>
      <c r="K50" s="456">
        <f t="shared" si="4"/>
        <v>0</v>
      </c>
      <c r="L50" s="23"/>
      <c r="M50" s="285"/>
    </row>
    <row r="51" spans="2:13" ht="12.75">
      <c r="B51" s="284"/>
      <c r="C51" s="23"/>
      <c r="D51" s="35" t="s">
        <v>422</v>
      </c>
      <c r="E51" s="185" t="s">
        <v>78</v>
      </c>
      <c r="F51" s="23"/>
      <c r="G51" s="38">
        <v>0</v>
      </c>
      <c r="H51" s="456">
        <f t="shared" si="4"/>
        <v>0</v>
      </c>
      <c r="I51" s="456">
        <f t="shared" si="4"/>
        <v>0</v>
      </c>
      <c r="J51" s="456">
        <f t="shared" si="4"/>
        <v>0</v>
      </c>
      <c r="K51" s="456">
        <f t="shared" si="4"/>
        <v>0</v>
      </c>
      <c r="L51" s="23"/>
      <c r="M51" s="285"/>
    </row>
    <row r="52" spans="2:13" ht="12.75">
      <c r="B52" s="284"/>
      <c r="C52" s="23"/>
      <c r="D52" s="35"/>
      <c r="E52" s="23"/>
      <c r="F52" s="23"/>
      <c r="G52" s="23"/>
      <c r="H52" s="23"/>
      <c r="I52" s="23"/>
      <c r="J52" s="23"/>
      <c r="K52" s="23"/>
      <c r="L52" s="23"/>
      <c r="M52" s="285"/>
    </row>
    <row r="53" spans="2:13" ht="12.75">
      <c r="B53" s="284"/>
      <c r="C53" s="23"/>
      <c r="D53" s="35">
        <v>6</v>
      </c>
      <c r="E53" s="23" t="s">
        <v>385</v>
      </c>
      <c r="F53" s="23"/>
      <c r="G53" s="38">
        <v>0</v>
      </c>
      <c r="H53" s="456">
        <f>G53</f>
        <v>0</v>
      </c>
      <c r="I53" s="456">
        <f>H53</f>
        <v>0</v>
      </c>
      <c r="J53" s="456">
        <f>I53</f>
        <v>0</v>
      </c>
      <c r="K53" s="456">
        <f>J53</f>
        <v>0</v>
      </c>
      <c r="L53" s="23"/>
      <c r="M53" s="285"/>
    </row>
    <row r="54" spans="2:13" ht="12.75">
      <c r="B54" s="284"/>
      <c r="C54" s="23"/>
      <c r="D54" s="35"/>
      <c r="E54" s="23"/>
      <c r="F54" s="23"/>
      <c r="G54" s="23"/>
      <c r="H54" s="23"/>
      <c r="I54" s="23"/>
      <c r="J54" s="23"/>
      <c r="K54" s="23"/>
      <c r="L54" s="23"/>
      <c r="M54" s="285"/>
    </row>
    <row r="55" spans="2:13" ht="12.75">
      <c r="B55" s="284"/>
      <c r="C55" s="23"/>
      <c r="D55" s="35">
        <v>7</v>
      </c>
      <c r="E55" s="23" t="s">
        <v>384</v>
      </c>
      <c r="F55" s="23"/>
      <c r="G55" s="38">
        <v>0</v>
      </c>
      <c r="H55" s="456">
        <f>G55</f>
        <v>0</v>
      </c>
      <c r="I55" s="456">
        <f>H55</f>
        <v>0</v>
      </c>
      <c r="J55" s="456">
        <f>I55</f>
        <v>0</v>
      </c>
      <c r="K55" s="456">
        <f>J55</f>
        <v>0</v>
      </c>
      <c r="L55" s="23"/>
      <c r="M55" s="285"/>
    </row>
    <row r="56" spans="2:13" ht="12.75">
      <c r="B56" s="284"/>
      <c r="C56" s="23"/>
      <c r="D56" s="35"/>
      <c r="E56" s="23"/>
      <c r="F56" s="23"/>
      <c r="G56" s="23"/>
      <c r="H56" s="23"/>
      <c r="I56" s="23"/>
      <c r="J56" s="23"/>
      <c r="K56" s="23"/>
      <c r="L56" s="23"/>
      <c r="M56" s="285"/>
    </row>
    <row r="57" spans="2:13" ht="12.75">
      <c r="B57" s="284"/>
      <c r="C57" s="23"/>
      <c r="D57" s="35"/>
      <c r="E57" s="28" t="s">
        <v>546</v>
      </c>
      <c r="F57" s="23"/>
      <c r="G57" s="198">
        <f>SUM(G34:G55)</f>
        <v>350704</v>
      </c>
      <c r="H57" s="198">
        <f>SUM(H34:H55)</f>
        <v>363165</v>
      </c>
      <c r="I57" s="198">
        <f>SUM(I34:I55)</f>
        <v>363165</v>
      </c>
      <c r="J57" s="198">
        <f>SUM(J34:J55)</f>
        <v>363165</v>
      </c>
      <c r="K57" s="198">
        <f>SUM(K34:K55)</f>
        <v>363165</v>
      </c>
      <c r="L57" s="23"/>
      <c r="M57" s="285"/>
    </row>
    <row r="58" spans="2:13" ht="12.75">
      <c r="B58" s="284"/>
      <c r="C58" s="23"/>
      <c r="D58" s="35"/>
      <c r="E58" s="23"/>
      <c r="F58" s="23"/>
      <c r="G58" s="23"/>
      <c r="H58" s="23"/>
      <c r="I58" s="23"/>
      <c r="J58" s="23"/>
      <c r="K58" s="23"/>
      <c r="L58" s="23"/>
      <c r="M58" s="285"/>
    </row>
    <row r="59" spans="2:13" s="3" customFormat="1" ht="12.75">
      <c r="B59" s="315"/>
      <c r="C59" s="28"/>
      <c r="D59" s="27"/>
      <c r="E59" s="28" t="s">
        <v>547</v>
      </c>
      <c r="F59" s="28"/>
      <c r="G59" s="198">
        <f>G24-G57</f>
        <v>557486.56</v>
      </c>
      <c r="H59" s="198">
        <f>H24-H57</f>
        <v>545293.15</v>
      </c>
      <c r="I59" s="198">
        <f>I24-I57</f>
        <v>545293.15</v>
      </c>
      <c r="J59" s="198">
        <f>J24-J57</f>
        <v>545293.15</v>
      </c>
      <c r="K59" s="198">
        <f>K24-K57</f>
        <v>545293.15</v>
      </c>
      <c r="L59" s="28"/>
      <c r="M59" s="316"/>
    </row>
    <row r="60" spans="2:13" ht="12.75">
      <c r="B60" s="284"/>
      <c r="C60" s="23"/>
      <c r="D60" s="35"/>
      <c r="E60" s="23"/>
      <c r="F60" s="23"/>
      <c r="G60" s="23"/>
      <c r="H60" s="23"/>
      <c r="I60" s="23"/>
      <c r="J60" s="23"/>
      <c r="K60" s="23"/>
      <c r="L60" s="23"/>
      <c r="M60" s="285"/>
    </row>
    <row r="61" spans="2:13" ht="12.75">
      <c r="B61" s="284"/>
      <c r="C61" s="10"/>
      <c r="D61" s="57"/>
      <c r="E61" s="10"/>
      <c r="F61" s="10"/>
      <c r="G61" s="65"/>
      <c r="H61" s="65"/>
      <c r="I61" s="65"/>
      <c r="J61" s="65"/>
      <c r="K61" s="65"/>
      <c r="L61" s="10"/>
      <c r="M61" s="285"/>
    </row>
    <row r="62" spans="2:13" ht="12.75">
      <c r="B62" s="284"/>
      <c r="C62" s="10"/>
      <c r="D62" s="57"/>
      <c r="E62" s="10"/>
      <c r="F62" s="10"/>
      <c r="G62" s="65"/>
      <c r="H62" s="65"/>
      <c r="I62" s="65"/>
      <c r="J62" s="65"/>
      <c r="K62" s="65"/>
      <c r="L62" s="10"/>
      <c r="M62" s="285"/>
    </row>
    <row r="63" spans="2:13" ht="12.75">
      <c r="B63" s="284"/>
      <c r="C63" s="23"/>
      <c r="D63" s="35"/>
      <c r="E63" s="28"/>
      <c r="F63" s="23"/>
      <c r="G63" s="23"/>
      <c r="H63" s="23"/>
      <c r="I63" s="23"/>
      <c r="J63" s="23"/>
      <c r="K63" s="23"/>
      <c r="L63" s="23"/>
      <c r="M63" s="285"/>
    </row>
    <row r="64" spans="2:13" ht="12.75">
      <c r="B64" s="284"/>
      <c r="C64" s="23"/>
      <c r="D64" s="27" t="s">
        <v>510</v>
      </c>
      <c r="E64" s="28"/>
      <c r="F64" s="23"/>
      <c r="G64" s="23"/>
      <c r="H64" s="23"/>
      <c r="I64" s="23"/>
      <c r="J64" s="23"/>
      <c r="K64" s="23"/>
      <c r="L64" s="23"/>
      <c r="M64" s="285"/>
    </row>
    <row r="65" spans="2:13" ht="12.75">
      <c r="B65" s="284"/>
      <c r="C65" s="23"/>
      <c r="D65" s="27"/>
      <c r="E65" s="28"/>
      <c r="F65" s="23"/>
      <c r="G65" s="23"/>
      <c r="H65" s="23"/>
      <c r="I65" s="23"/>
      <c r="J65" s="23"/>
      <c r="K65" s="23"/>
      <c r="L65" s="23"/>
      <c r="M65" s="285"/>
    </row>
    <row r="66" spans="2:13" ht="12.75">
      <c r="B66" s="284"/>
      <c r="C66" s="23"/>
      <c r="D66" s="35">
        <v>1</v>
      </c>
      <c r="E66" s="23" t="s">
        <v>270</v>
      </c>
      <c r="F66" s="23"/>
      <c r="G66" s="48">
        <f>5/12*G123+7/12*H123</f>
        <v>40005.91666666667</v>
      </c>
      <c r="H66" s="48">
        <f>5/12*H123+7/12*I123</f>
        <v>40253</v>
      </c>
      <c r="I66" s="48">
        <f>5/12*I123+7/12*J123</f>
        <v>40253</v>
      </c>
      <c r="J66" s="48">
        <f>5/12*J123+7/12*K123</f>
        <v>40253</v>
      </c>
      <c r="K66" s="48">
        <f>K123</f>
        <v>40253</v>
      </c>
      <c r="L66" s="23"/>
      <c r="M66" s="285"/>
    </row>
    <row r="67" spans="2:13" ht="12.75">
      <c r="B67" s="284"/>
      <c r="C67" s="23"/>
      <c r="D67" s="35"/>
      <c r="E67" s="23"/>
      <c r="F67" s="23"/>
      <c r="G67" s="23"/>
      <c r="H67" s="23"/>
      <c r="I67" s="23"/>
      <c r="J67" s="23"/>
      <c r="K67" s="23"/>
      <c r="L67" s="23"/>
      <c r="M67" s="285"/>
    </row>
    <row r="68" spans="2:13" ht="12.75">
      <c r="B68" s="284"/>
      <c r="C68" s="23"/>
      <c r="D68" s="35" t="s">
        <v>363</v>
      </c>
      <c r="E68" s="23" t="s">
        <v>271</v>
      </c>
      <c r="F68" s="23"/>
      <c r="G68" s="38">
        <v>0</v>
      </c>
      <c r="H68" s="456">
        <f>G68</f>
        <v>0</v>
      </c>
      <c r="I68" s="456">
        <f>H68</f>
        <v>0</v>
      </c>
      <c r="J68" s="456">
        <f>I68</f>
        <v>0</v>
      </c>
      <c r="K68" s="456">
        <f>J68</f>
        <v>0</v>
      </c>
      <c r="L68" s="23"/>
      <c r="M68" s="285"/>
    </row>
    <row r="69" spans="2:13" ht="12.75">
      <c r="B69" s="284"/>
      <c r="C69" s="23"/>
      <c r="D69" s="35" t="s">
        <v>364</v>
      </c>
      <c r="E69" s="23" t="s">
        <v>370</v>
      </c>
      <c r="F69" s="23"/>
      <c r="G69" s="48">
        <f>5/12*G124+7/12*H124</f>
        <v>4777.25</v>
      </c>
      <c r="H69" s="48">
        <f>5/12*H124+7/12*I124</f>
        <v>4341</v>
      </c>
      <c r="I69" s="48">
        <f>5/12*I124+7/12*J124</f>
        <v>4341</v>
      </c>
      <c r="J69" s="48">
        <f>5/12*J124+7/12*K124</f>
        <v>4341</v>
      </c>
      <c r="K69" s="48">
        <f>K124</f>
        <v>4341</v>
      </c>
      <c r="L69" s="23"/>
      <c r="M69" s="285"/>
    </row>
    <row r="70" spans="2:13" ht="12.75">
      <c r="B70" s="284"/>
      <c r="C70" s="23"/>
      <c r="D70" s="35" t="s">
        <v>386</v>
      </c>
      <c r="E70" s="23" t="s">
        <v>273</v>
      </c>
      <c r="F70" s="23"/>
      <c r="G70" s="38">
        <v>0</v>
      </c>
      <c r="H70" s="456">
        <f aca="true" t="shared" si="5" ref="H70:K73">G70</f>
        <v>0</v>
      </c>
      <c r="I70" s="456">
        <f t="shared" si="5"/>
        <v>0</v>
      </c>
      <c r="J70" s="456">
        <f t="shared" si="5"/>
        <v>0</v>
      </c>
      <c r="K70" s="456">
        <f t="shared" si="5"/>
        <v>0</v>
      </c>
      <c r="L70" s="23"/>
      <c r="M70" s="285"/>
    </row>
    <row r="71" spans="2:13" ht="12.75">
      <c r="B71" s="284"/>
      <c r="C71" s="23"/>
      <c r="D71" s="35" t="s">
        <v>365</v>
      </c>
      <c r="E71" s="185" t="s">
        <v>274</v>
      </c>
      <c r="F71" s="23"/>
      <c r="G71" s="38">
        <v>0</v>
      </c>
      <c r="H71" s="456">
        <f t="shared" si="5"/>
        <v>0</v>
      </c>
      <c r="I71" s="456">
        <f t="shared" si="5"/>
        <v>0</v>
      </c>
      <c r="J71" s="456">
        <f t="shared" si="5"/>
        <v>0</v>
      </c>
      <c r="K71" s="456">
        <f t="shared" si="5"/>
        <v>0</v>
      </c>
      <c r="L71" s="23"/>
      <c r="M71" s="285"/>
    </row>
    <row r="72" spans="2:13" ht="12.75">
      <c r="B72" s="284"/>
      <c r="C72" s="23"/>
      <c r="D72" s="35" t="s">
        <v>366</v>
      </c>
      <c r="E72" s="185" t="s">
        <v>274</v>
      </c>
      <c r="F72" s="23"/>
      <c r="G72" s="38">
        <v>0</v>
      </c>
      <c r="H72" s="456">
        <f t="shared" si="5"/>
        <v>0</v>
      </c>
      <c r="I72" s="456">
        <f t="shared" si="5"/>
        <v>0</v>
      </c>
      <c r="J72" s="456">
        <f t="shared" si="5"/>
        <v>0</v>
      </c>
      <c r="K72" s="456">
        <f t="shared" si="5"/>
        <v>0</v>
      </c>
      <c r="L72" s="23"/>
      <c r="M72" s="285"/>
    </row>
    <row r="73" spans="2:13" ht="12.75">
      <c r="B73" s="284"/>
      <c r="C73" s="23"/>
      <c r="D73" s="35" t="s">
        <v>367</v>
      </c>
      <c r="E73" s="185" t="s">
        <v>274</v>
      </c>
      <c r="F73" s="23"/>
      <c r="G73" s="38">
        <v>0</v>
      </c>
      <c r="H73" s="456">
        <f t="shared" si="5"/>
        <v>0</v>
      </c>
      <c r="I73" s="456">
        <f t="shared" si="5"/>
        <v>0</v>
      </c>
      <c r="J73" s="456">
        <f t="shared" si="5"/>
        <v>0</v>
      </c>
      <c r="K73" s="456">
        <f t="shared" si="5"/>
        <v>0</v>
      </c>
      <c r="L73" s="23"/>
      <c r="M73" s="285"/>
    </row>
    <row r="74" spans="2:13" ht="12.75">
      <c r="B74" s="284"/>
      <c r="C74" s="23"/>
      <c r="D74" s="27"/>
      <c r="E74" s="28"/>
      <c r="F74" s="23"/>
      <c r="G74" s="23"/>
      <c r="H74" s="23"/>
      <c r="I74" s="23"/>
      <c r="J74" s="23"/>
      <c r="K74" s="23"/>
      <c r="L74" s="23"/>
      <c r="M74" s="285"/>
    </row>
    <row r="75" spans="2:13" s="314" customFormat="1" ht="12.75">
      <c r="B75" s="311"/>
      <c r="C75" s="32"/>
      <c r="D75" s="39"/>
      <c r="E75" s="28" t="s">
        <v>548</v>
      </c>
      <c r="F75" s="32"/>
      <c r="G75" s="40">
        <f>SUM(G65:G74)</f>
        <v>44783.16666666667</v>
      </c>
      <c r="H75" s="40">
        <f>SUM(H65:H74)</f>
        <v>44594</v>
      </c>
      <c r="I75" s="40">
        <f>SUM(I65:I74)</f>
        <v>44594</v>
      </c>
      <c r="J75" s="40">
        <f>SUM(J65:J74)</f>
        <v>44594</v>
      </c>
      <c r="K75" s="40">
        <f>SUM(K65:K74)</f>
        <v>44594</v>
      </c>
      <c r="L75" s="32"/>
      <c r="M75" s="313"/>
    </row>
    <row r="76" spans="2:13" ht="12.75">
      <c r="B76" s="284"/>
      <c r="C76" s="23"/>
      <c r="D76" s="35"/>
      <c r="E76" s="23"/>
      <c r="F76" s="23"/>
      <c r="G76" s="23"/>
      <c r="H76" s="23"/>
      <c r="I76" s="23"/>
      <c r="J76" s="23"/>
      <c r="K76" s="23"/>
      <c r="L76" s="23"/>
      <c r="M76" s="285"/>
    </row>
    <row r="77" spans="2:13" s="407" customFormat="1" ht="12.75">
      <c r="B77" s="11"/>
      <c r="C77" s="10"/>
      <c r="D77" s="57"/>
      <c r="E77" s="10"/>
      <c r="F77" s="10"/>
      <c r="G77" s="10"/>
      <c r="H77" s="10"/>
      <c r="I77" s="10"/>
      <c r="J77" s="10"/>
      <c r="K77" s="10"/>
      <c r="L77" s="10"/>
      <c r="M77" s="12"/>
    </row>
    <row r="78" spans="2:13" ht="12.75">
      <c r="B78" s="284"/>
      <c r="C78" s="23"/>
      <c r="D78" s="35"/>
      <c r="E78" s="23"/>
      <c r="F78" s="23"/>
      <c r="G78" s="23"/>
      <c r="H78" s="23"/>
      <c r="I78" s="23"/>
      <c r="J78" s="23"/>
      <c r="K78" s="23"/>
      <c r="L78" s="23"/>
      <c r="M78" s="285"/>
    </row>
    <row r="79" spans="2:13" ht="12.75">
      <c r="B79" s="284"/>
      <c r="C79" s="23"/>
      <c r="D79" s="27" t="s">
        <v>511</v>
      </c>
      <c r="E79" s="23"/>
      <c r="F79" s="23"/>
      <c r="G79" s="23"/>
      <c r="H79" s="23"/>
      <c r="I79" s="23"/>
      <c r="J79" s="23"/>
      <c r="K79" s="23"/>
      <c r="L79" s="23"/>
      <c r="M79" s="285"/>
    </row>
    <row r="80" spans="2:13" s="3" customFormat="1" ht="12.75">
      <c r="B80" s="315"/>
      <c r="C80" s="28"/>
      <c r="D80" s="35"/>
      <c r="E80" s="28"/>
      <c r="F80" s="28"/>
      <c r="G80" s="28"/>
      <c r="H80" s="28"/>
      <c r="I80" s="28"/>
      <c r="J80" s="28"/>
      <c r="K80" s="28"/>
      <c r="L80" s="28"/>
      <c r="M80" s="316"/>
    </row>
    <row r="81" spans="2:13" ht="12.75">
      <c r="B81" s="284"/>
      <c r="C81" s="23"/>
      <c r="D81" s="35">
        <v>3</v>
      </c>
      <c r="E81" s="23" t="s">
        <v>420</v>
      </c>
      <c r="F81" s="23"/>
      <c r="G81" s="48">
        <f>ROUND(+lln!G171,0)</f>
        <v>22276</v>
      </c>
      <c r="H81" s="48">
        <f>ROUND(+lln!H171,0)</f>
        <v>22711</v>
      </c>
      <c r="I81" s="48">
        <f>ROUND(+lln!I171,0)</f>
        <v>22711</v>
      </c>
      <c r="J81" s="48">
        <f>ROUND(+lln!J171,0)</f>
        <v>22711</v>
      </c>
      <c r="K81" s="48">
        <f>ROUND(+lln!K171,0)</f>
        <v>22711</v>
      </c>
      <c r="L81" s="23"/>
      <c r="M81" s="285"/>
    </row>
    <row r="82" spans="2:13" ht="12.75">
      <c r="B82" s="284"/>
      <c r="C82" s="23"/>
      <c r="D82" s="35"/>
      <c r="E82" s="23"/>
      <c r="F82" s="23"/>
      <c r="G82" s="23"/>
      <c r="H82" s="23"/>
      <c r="I82" s="23"/>
      <c r="J82" s="23"/>
      <c r="K82" s="23"/>
      <c r="L82" s="23"/>
      <c r="M82" s="285"/>
    </row>
    <row r="83" spans="2:13" ht="12.75">
      <c r="B83" s="284"/>
      <c r="C83" s="23"/>
      <c r="D83" s="35" t="s">
        <v>371</v>
      </c>
      <c r="E83" s="23" t="s">
        <v>387</v>
      </c>
      <c r="F83" s="23"/>
      <c r="G83" s="38">
        <v>0</v>
      </c>
      <c r="H83" s="456">
        <f aca="true" t="shared" si="6" ref="H83:K84">G83</f>
        <v>0</v>
      </c>
      <c r="I83" s="456">
        <f t="shared" si="6"/>
        <v>0</v>
      </c>
      <c r="J83" s="456">
        <f t="shared" si="6"/>
        <v>0</v>
      </c>
      <c r="K83" s="456">
        <f t="shared" si="6"/>
        <v>0</v>
      </c>
      <c r="L83" s="23"/>
      <c r="M83" s="285"/>
    </row>
    <row r="84" spans="2:13" ht="12.75">
      <c r="B84" s="284"/>
      <c r="C84" s="23"/>
      <c r="D84" s="35" t="s">
        <v>372</v>
      </c>
      <c r="E84" s="23" t="s">
        <v>388</v>
      </c>
      <c r="F84" s="23"/>
      <c r="G84" s="38">
        <v>0</v>
      </c>
      <c r="H84" s="456">
        <f t="shared" si="6"/>
        <v>0</v>
      </c>
      <c r="I84" s="456">
        <f t="shared" si="6"/>
        <v>0</v>
      </c>
      <c r="J84" s="456">
        <f t="shared" si="6"/>
        <v>0</v>
      </c>
      <c r="K84" s="456">
        <f t="shared" si="6"/>
        <v>0</v>
      </c>
      <c r="L84" s="23"/>
      <c r="M84" s="285"/>
    </row>
    <row r="85" spans="2:13" ht="12.75">
      <c r="B85" s="284"/>
      <c r="C85" s="23"/>
      <c r="D85" s="35" t="s">
        <v>373</v>
      </c>
      <c r="E85" s="23" t="s">
        <v>376</v>
      </c>
      <c r="F85" s="23"/>
      <c r="G85" s="48">
        <f>5/12*G125+7/12*H125</f>
        <v>3260.75</v>
      </c>
      <c r="H85" s="48">
        <f>5/12*H125+7/12*I125</f>
        <v>2977</v>
      </c>
      <c r="I85" s="48">
        <f>5/12*I125+7/12*J125</f>
        <v>2977</v>
      </c>
      <c r="J85" s="48">
        <f>5/12*J125+7/12*K125</f>
        <v>2977</v>
      </c>
      <c r="K85" s="48">
        <f>K125</f>
        <v>2977</v>
      </c>
      <c r="L85" s="23"/>
      <c r="M85" s="285"/>
    </row>
    <row r="86" spans="2:13" ht="12.75">
      <c r="B86" s="284"/>
      <c r="C86" s="23"/>
      <c r="D86" s="35" t="s">
        <v>374</v>
      </c>
      <c r="E86" s="23" t="s">
        <v>271</v>
      </c>
      <c r="F86" s="23"/>
      <c r="G86" s="38">
        <v>0</v>
      </c>
      <c r="H86" s="456">
        <f aca="true" t="shared" si="7" ref="H86:K91">G86</f>
        <v>0</v>
      </c>
      <c r="I86" s="456">
        <f t="shared" si="7"/>
        <v>0</v>
      </c>
      <c r="J86" s="456">
        <f t="shared" si="7"/>
        <v>0</v>
      </c>
      <c r="K86" s="456">
        <f t="shared" si="7"/>
        <v>0</v>
      </c>
      <c r="L86" s="23"/>
      <c r="M86" s="285"/>
    </row>
    <row r="87" spans="2:13" ht="12.75">
      <c r="B87" s="284"/>
      <c r="C87" s="23"/>
      <c r="D87" s="35" t="s">
        <v>427</v>
      </c>
      <c r="E87" s="23" t="s">
        <v>389</v>
      </c>
      <c r="F87" s="23"/>
      <c r="G87" s="38">
        <v>0</v>
      </c>
      <c r="H87" s="456">
        <f t="shared" si="7"/>
        <v>0</v>
      </c>
      <c r="I87" s="456">
        <f t="shared" si="7"/>
        <v>0</v>
      </c>
      <c r="J87" s="456">
        <f t="shared" si="7"/>
        <v>0</v>
      </c>
      <c r="K87" s="456">
        <f t="shared" si="7"/>
        <v>0</v>
      </c>
      <c r="L87" s="23"/>
      <c r="M87" s="285"/>
    </row>
    <row r="88" spans="2:13" ht="12.75">
      <c r="B88" s="284"/>
      <c r="C88" s="23"/>
      <c r="D88" s="35" t="s">
        <v>428</v>
      </c>
      <c r="E88" s="23" t="s">
        <v>274</v>
      </c>
      <c r="F88" s="23"/>
      <c r="G88" s="38">
        <v>0</v>
      </c>
      <c r="H88" s="456">
        <f t="shared" si="7"/>
        <v>0</v>
      </c>
      <c r="I88" s="456">
        <f t="shared" si="7"/>
        <v>0</v>
      </c>
      <c r="J88" s="456">
        <f t="shared" si="7"/>
        <v>0</v>
      </c>
      <c r="K88" s="456">
        <f t="shared" si="7"/>
        <v>0</v>
      </c>
      <c r="L88" s="23"/>
      <c r="M88" s="285"/>
    </row>
    <row r="89" spans="2:13" ht="12.75">
      <c r="B89" s="284"/>
      <c r="C89" s="23"/>
      <c r="D89" s="35" t="s">
        <v>433</v>
      </c>
      <c r="E89" s="23" t="s">
        <v>242</v>
      </c>
      <c r="F89" s="23"/>
      <c r="G89" s="503">
        <f>5/12*act!F50+7/12*act!G50</f>
        <v>0</v>
      </c>
      <c r="H89" s="503">
        <f>5/12*act!G50+7/12*act!H50</f>
        <v>0</v>
      </c>
      <c r="I89" s="503">
        <f>5/12*act!H50+7/12*act!I50</f>
        <v>0</v>
      </c>
      <c r="J89" s="503">
        <f>5/12*act!I50+7/12*act!J50</f>
        <v>0</v>
      </c>
      <c r="K89" s="503">
        <f>5/12*act!J50+7/12*act!K50</f>
        <v>0</v>
      </c>
      <c r="L89" s="23"/>
      <c r="M89" s="285"/>
    </row>
    <row r="90" spans="2:13" ht="12.75">
      <c r="B90" s="284"/>
      <c r="C90" s="23"/>
      <c r="D90" s="35" t="s">
        <v>435</v>
      </c>
      <c r="E90" s="23" t="s">
        <v>243</v>
      </c>
      <c r="F90" s="23"/>
      <c r="G90" s="38">
        <v>0</v>
      </c>
      <c r="H90" s="456">
        <f t="shared" si="7"/>
        <v>0</v>
      </c>
      <c r="I90" s="456">
        <f t="shared" si="7"/>
        <v>0</v>
      </c>
      <c r="J90" s="456">
        <f t="shared" si="7"/>
        <v>0</v>
      </c>
      <c r="K90" s="456">
        <f t="shared" si="7"/>
        <v>0</v>
      </c>
      <c r="L90" s="23"/>
      <c r="M90" s="285"/>
    </row>
    <row r="91" spans="2:13" ht="12.75">
      <c r="B91" s="284"/>
      <c r="C91" s="23"/>
      <c r="D91" s="35" t="s">
        <v>434</v>
      </c>
      <c r="E91" s="23" t="s">
        <v>244</v>
      </c>
      <c r="F91" s="23"/>
      <c r="G91" s="38">
        <v>0</v>
      </c>
      <c r="H91" s="456">
        <f t="shared" si="7"/>
        <v>0</v>
      </c>
      <c r="I91" s="456">
        <f t="shared" si="7"/>
        <v>0</v>
      </c>
      <c r="J91" s="456">
        <f t="shared" si="7"/>
        <v>0</v>
      </c>
      <c r="K91" s="456">
        <f t="shared" si="7"/>
        <v>0</v>
      </c>
      <c r="L91" s="23"/>
      <c r="M91" s="285"/>
    </row>
    <row r="92" spans="2:13" ht="12.75">
      <c r="B92" s="284"/>
      <c r="C92" s="23"/>
      <c r="D92" s="35"/>
      <c r="E92" s="23"/>
      <c r="F92" s="23"/>
      <c r="G92" s="23"/>
      <c r="H92" s="23"/>
      <c r="I92" s="23"/>
      <c r="J92" s="23"/>
      <c r="K92" s="23"/>
      <c r="L92" s="23"/>
      <c r="M92" s="285"/>
    </row>
    <row r="93" spans="2:13" ht="12.75">
      <c r="B93" s="284"/>
      <c r="C93" s="23"/>
      <c r="D93" s="35" t="s">
        <v>63</v>
      </c>
      <c r="E93" s="185" t="s">
        <v>61</v>
      </c>
      <c r="F93" s="23"/>
      <c r="G93" s="38">
        <v>0</v>
      </c>
      <c r="H93" s="456">
        <f aca="true" t="shared" si="8" ref="H93:K101">G93</f>
        <v>0</v>
      </c>
      <c r="I93" s="456">
        <f t="shared" si="8"/>
        <v>0</v>
      </c>
      <c r="J93" s="456">
        <f t="shared" si="8"/>
        <v>0</v>
      </c>
      <c r="K93" s="456">
        <f t="shared" si="8"/>
        <v>0</v>
      </c>
      <c r="L93" s="23"/>
      <c r="M93" s="285"/>
    </row>
    <row r="94" spans="2:13" ht="12.75">
      <c r="B94" s="284"/>
      <c r="C94" s="23"/>
      <c r="D94" s="35" t="s">
        <v>64</v>
      </c>
      <c r="E94" s="185" t="s">
        <v>71</v>
      </c>
      <c r="F94" s="23"/>
      <c r="G94" s="38">
        <v>0</v>
      </c>
      <c r="H94" s="456">
        <f t="shared" si="8"/>
        <v>0</v>
      </c>
      <c r="I94" s="456">
        <f t="shared" si="8"/>
        <v>0</v>
      </c>
      <c r="J94" s="456">
        <f t="shared" si="8"/>
        <v>0</v>
      </c>
      <c r="K94" s="456">
        <f t="shared" si="8"/>
        <v>0</v>
      </c>
      <c r="L94" s="23"/>
      <c r="M94" s="285"/>
    </row>
    <row r="95" spans="2:13" ht="12.75">
      <c r="B95" s="284"/>
      <c r="C95" s="23"/>
      <c r="D95" s="35" t="s">
        <v>65</v>
      </c>
      <c r="E95" s="185" t="s">
        <v>72</v>
      </c>
      <c r="F95" s="23"/>
      <c r="G95" s="38">
        <v>0</v>
      </c>
      <c r="H95" s="456">
        <f t="shared" si="8"/>
        <v>0</v>
      </c>
      <c r="I95" s="456">
        <f t="shared" si="8"/>
        <v>0</v>
      </c>
      <c r="J95" s="456">
        <f t="shared" si="8"/>
        <v>0</v>
      </c>
      <c r="K95" s="456">
        <f t="shared" si="8"/>
        <v>0</v>
      </c>
      <c r="L95" s="23"/>
      <c r="M95" s="285"/>
    </row>
    <row r="96" spans="2:13" ht="12.75">
      <c r="B96" s="284"/>
      <c r="C96" s="23"/>
      <c r="D96" s="35" t="s">
        <v>66</v>
      </c>
      <c r="E96" s="185" t="s">
        <v>73</v>
      </c>
      <c r="F96" s="23"/>
      <c r="G96" s="38">
        <v>0</v>
      </c>
      <c r="H96" s="456">
        <f t="shared" si="8"/>
        <v>0</v>
      </c>
      <c r="I96" s="456">
        <f t="shared" si="8"/>
        <v>0</v>
      </c>
      <c r="J96" s="456">
        <f t="shared" si="8"/>
        <v>0</v>
      </c>
      <c r="K96" s="456">
        <f t="shared" si="8"/>
        <v>0</v>
      </c>
      <c r="L96" s="23"/>
      <c r="M96" s="285"/>
    </row>
    <row r="97" spans="2:13" ht="12.75">
      <c r="B97" s="284"/>
      <c r="C97" s="23"/>
      <c r="D97" s="35" t="s">
        <v>67</v>
      </c>
      <c r="E97" s="185" t="s">
        <v>74</v>
      </c>
      <c r="F97" s="23"/>
      <c r="G97" s="38">
        <v>0</v>
      </c>
      <c r="H97" s="456">
        <f t="shared" si="8"/>
        <v>0</v>
      </c>
      <c r="I97" s="456">
        <f t="shared" si="8"/>
        <v>0</v>
      </c>
      <c r="J97" s="456">
        <f t="shared" si="8"/>
        <v>0</v>
      </c>
      <c r="K97" s="456">
        <f t="shared" si="8"/>
        <v>0</v>
      </c>
      <c r="L97" s="23"/>
      <c r="M97" s="285"/>
    </row>
    <row r="98" spans="2:13" ht="12.75">
      <c r="B98" s="284"/>
      <c r="C98" s="23"/>
      <c r="D98" s="35" t="s">
        <v>68</v>
      </c>
      <c r="E98" s="185" t="s">
        <v>75</v>
      </c>
      <c r="F98" s="23"/>
      <c r="G98" s="38">
        <v>0</v>
      </c>
      <c r="H98" s="456">
        <f t="shared" si="8"/>
        <v>0</v>
      </c>
      <c r="I98" s="456">
        <f t="shared" si="8"/>
        <v>0</v>
      </c>
      <c r="J98" s="456">
        <f t="shared" si="8"/>
        <v>0</v>
      </c>
      <c r="K98" s="456">
        <f t="shared" si="8"/>
        <v>0</v>
      </c>
      <c r="L98" s="23"/>
      <c r="M98" s="285"/>
    </row>
    <row r="99" spans="2:13" ht="12.75">
      <c r="B99" s="284"/>
      <c r="C99" s="23"/>
      <c r="D99" s="35" t="s">
        <v>69</v>
      </c>
      <c r="E99" s="185" t="s">
        <v>76</v>
      </c>
      <c r="F99" s="23"/>
      <c r="G99" s="38">
        <v>0</v>
      </c>
      <c r="H99" s="456">
        <f t="shared" si="8"/>
        <v>0</v>
      </c>
      <c r="I99" s="456">
        <f t="shared" si="8"/>
        <v>0</v>
      </c>
      <c r="J99" s="456">
        <f t="shared" si="8"/>
        <v>0</v>
      </c>
      <c r="K99" s="456">
        <f t="shared" si="8"/>
        <v>0</v>
      </c>
      <c r="L99" s="23"/>
      <c r="M99" s="285"/>
    </row>
    <row r="100" spans="2:13" ht="12.75">
      <c r="B100" s="284"/>
      <c r="C100" s="23"/>
      <c r="D100" s="35" t="s">
        <v>70</v>
      </c>
      <c r="E100" s="185" t="s">
        <v>77</v>
      </c>
      <c r="F100" s="23"/>
      <c r="G100" s="38">
        <v>0</v>
      </c>
      <c r="H100" s="456">
        <f t="shared" si="8"/>
        <v>0</v>
      </c>
      <c r="I100" s="456">
        <f t="shared" si="8"/>
        <v>0</v>
      </c>
      <c r="J100" s="456">
        <f t="shared" si="8"/>
        <v>0</v>
      </c>
      <c r="K100" s="456">
        <f t="shared" si="8"/>
        <v>0</v>
      </c>
      <c r="L100" s="23"/>
      <c r="M100" s="285"/>
    </row>
    <row r="101" spans="2:13" ht="12.75">
      <c r="B101" s="284"/>
      <c r="C101" s="23"/>
      <c r="D101" s="35" t="s">
        <v>422</v>
      </c>
      <c r="E101" s="185" t="s">
        <v>78</v>
      </c>
      <c r="F101" s="23"/>
      <c r="G101" s="38">
        <v>0</v>
      </c>
      <c r="H101" s="456">
        <f t="shared" si="8"/>
        <v>0</v>
      </c>
      <c r="I101" s="456">
        <f t="shared" si="8"/>
        <v>0</v>
      </c>
      <c r="J101" s="456">
        <f t="shared" si="8"/>
        <v>0</v>
      </c>
      <c r="K101" s="456">
        <f t="shared" si="8"/>
        <v>0</v>
      </c>
      <c r="L101" s="23"/>
      <c r="M101" s="285"/>
    </row>
    <row r="102" spans="2:13" ht="12.75">
      <c r="B102" s="284"/>
      <c r="C102" s="23"/>
      <c r="D102" s="35"/>
      <c r="E102" s="23"/>
      <c r="F102" s="23"/>
      <c r="G102" s="23"/>
      <c r="H102" s="23"/>
      <c r="I102" s="23"/>
      <c r="J102" s="23"/>
      <c r="K102" s="23"/>
      <c r="L102" s="23"/>
      <c r="M102" s="285"/>
    </row>
    <row r="103" spans="2:13" ht="12.75">
      <c r="B103" s="284"/>
      <c r="C103" s="23"/>
      <c r="D103" s="35">
        <v>6</v>
      </c>
      <c r="E103" s="23" t="s">
        <v>385</v>
      </c>
      <c r="F103" s="23"/>
      <c r="G103" s="38">
        <v>0</v>
      </c>
      <c r="H103" s="456">
        <f>G103</f>
        <v>0</v>
      </c>
      <c r="I103" s="456">
        <f>H103</f>
        <v>0</v>
      </c>
      <c r="J103" s="456">
        <f>I103</f>
        <v>0</v>
      </c>
      <c r="K103" s="456">
        <f>J103</f>
        <v>0</v>
      </c>
      <c r="L103" s="23"/>
      <c r="M103" s="285"/>
    </row>
    <row r="104" spans="2:13" ht="12.75">
      <c r="B104" s="284"/>
      <c r="C104" s="23"/>
      <c r="D104" s="35"/>
      <c r="E104" s="23"/>
      <c r="F104" s="23"/>
      <c r="G104" s="23"/>
      <c r="H104" s="23"/>
      <c r="I104" s="23"/>
      <c r="J104" s="23"/>
      <c r="K104" s="23"/>
      <c r="L104" s="23"/>
      <c r="M104" s="285"/>
    </row>
    <row r="105" spans="2:13" ht="12.75">
      <c r="B105" s="284"/>
      <c r="C105" s="23"/>
      <c r="D105" s="35">
        <v>7</v>
      </c>
      <c r="E105" s="23" t="s">
        <v>384</v>
      </c>
      <c r="F105" s="23"/>
      <c r="G105" s="38">
        <v>0</v>
      </c>
      <c r="H105" s="456">
        <f>G105</f>
        <v>0</v>
      </c>
      <c r="I105" s="456">
        <f>H105</f>
        <v>0</v>
      </c>
      <c r="J105" s="456">
        <f>I105</f>
        <v>0</v>
      </c>
      <c r="K105" s="456">
        <f>J105</f>
        <v>0</v>
      </c>
      <c r="L105" s="23"/>
      <c r="M105" s="285"/>
    </row>
    <row r="106" spans="2:13" ht="12.75">
      <c r="B106" s="284"/>
      <c r="C106" s="23"/>
      <c r="D106" s="35"/>
      <c r="E106" s="23"/>
      <c r="F106" s="23"/>
      <c r="G106" s="23"/>
      <c r="H106" s="23"/>
      <c r="I106" s="23"/>
      <c r="J106" s="23"/>
      <c r="K106" s="23"/>
      <c r="L106" s="23"/>
      <c r="M106" s="285"/>
    </row>
    <row r="107" spans="2:13" s="3" customFormat="1" ht="12.75">
      <c r="B107" s="315"/>
      <c r="C107" s="28"/>
      <c r="D107" s="27"/>
      <c r="E107" s="28" t="s">
        <v>549</v>
      </c>
      <c r="F107" s="28"/>
      <c r="G107" s="198">
        <f>SUM(G81:G106)</f>
        <v>25536.75</v>
      </c>
      <c r="H107" s="198">
        <f>SUM(H81:H106)</f>
        <v>25688</v>
      </c>
      <c r="I107" s="198">
        <f>SUM(I81:I106)</f>
        <v>25688</v>
      </c>
      <c r="J107" s="198">
        <f>SUM(J81:J106)</f>
        <v>25688</v>
      </c>
      <c r="K107" s="198">
        <f>SUM(K81:K106)</f>
        <v>25688</v>
      </c>
      <c r="L107" s="28"/>
      <c r="M107" s="316"/>
    </row>
    <row r="108" spans="2:13" ht="12.75">
      <c r="B108" s="284"/>
      <c r="C108" s="23"/>
      <c r="D108" s="35"/>
      <c r="E108" s="23"/>
      <c r="F108" s="23"/>
      <c r="G108" s="23"/>
      <c r="H108" s="23"/>
      <c r="I108" s="23"/>
      <c r="J108" s="23"/>
      <c r="K108" s="23"/>
      <c r="L108" s="23"/>
      <c r="M108" s="285"/>
    </row>
    <row r="109" spans="2:13" ht="12.75">
      <c r="B109" s="284"/>
      <c r="C109" s="23"/>
      <c r="D109" s="35"/>
      <c r="E109" s="28" t="s">
        <v>550</v>
      </c>
      <c r="F109" s="28"/>
      <c r="G109" s="198">
        <f>G75-G107</f>
        <v>19246.41666666667</v>
      </c>
      <c r="H109" s="198">
        <f>H75-H107</f>
        <v>18906</v>
      </c>
      <c r="I109" s="198">
        <f>I75-I107</f>
        <v>18906</v>
      </c>
      <c r="J109" s="198">
        <f>J75-J107</f>
        <v>18906</v>
      </c>
      <c r="K109" s="198">
        <f>K75-K107</f>
        <v>18906</v>
      </c>
      <c r="L109" s="23"/>
      <c r="M109" s="285"/>
    </row>
    <row r="110" spans="2:13" ht="12.75">
      <c r="B110" s="284"/>
      <c r="C110" s="23"/>
      <c r="D110" s="35"/>
      <c r="E110" s="23"/>
      <c r="F110" s="23"/>
      <c r="G110" s="23"/>
      <c r="H110" s="23"/>
      <c r="I110" s="23"/>
      <c r="J110" s="23"/>
      <c r="K110" s="23"/>
      <c r="L110" s="23"/>
      <c r="M110" s="285"/>
    </row>
    <row r="111" spans="2:13" s="407" customFormat="1" ht="12.75">
      <c r="B111" s="11"/>
      <c r="C111" s="10"/>
      <c r="D111" s="57"/>
      <c r="E111" s="10"/>
      <c r="F111" s="10"/>
      <c r="G111" s="408"/>
      <c r="H111" s="408"/>
      <c r="I111" s="408"/>
      <c r="J111" s="408"/>
      <c r="K111" s="408"/>
      <c r="L111" s="10"/>
      <c r="M111" s="12"/>
    </row>
    <row r="112" spans="2:13" s="407" customFormat="1" ht="12.75">
      <c r="B112" s="11"/>
      <c r="C112" s="23"/>
      <c r="D112" s="35"/>
      <c r="E112" s="23"/>
      <c r="F112" s="23"/>
      <c r="G112" s="406"/>
      <c r="H112" s="406"/>
      <c r="I112" s="406"/>
      <c r="J112" s="406"/>
      <c r="K112" s="406"/>
      <c r="L112" s="23"/>
      <c r="M112" s="12"/>
    </row>
    <row r="113" spans="2:13" s="516" customFormat="1" ht="15">
      <c r="B113" s="517"/>
      <c r="C113" s="518"/>
      <c r="D113" s="519"/>
      <c r="E113" s="480" t="s">
        <v>551</v>
      </c>
      <c r="F113" s="518"/>
      <c r="G113" s="520">
        <f>G59+G109</f>
        <v>576732.9766666667</v>
      </c>
      <c r="H113" s="520">
        <f>H59+H109</f>
        <v>564199.15</v>
      </c>
      <c r="I113" s="520">
        <f>I59+I109</f>
        <v>564199.15</v>
      </c>
      <c r="J113" s="520">
        <f>J59+J109</f>
        <v>564199.15</v>
      </c>
      <c r="K113" s="520">
        <f>K59+K109</f>
        <v>564199.15</v>
      </c>
      <c r="L113" s="518"/>
      <c r="M113" s="521"/>
    </row>
    <row r="114" spans="2:13" s="407" customFormat="1" ht="12.75">
      <c r="B114" s="11"/>
      <c r="C114" s="23"/>
      <c r="D114" s="35"/>
      <c r="E114" s="23"/>
      <c r="F114" s="23"/>
      <c r="G114" s="406"/>
      <c r="H114" s="406"/>
      <c r="I114" s="406"/>
      <c r="J114" s="406"/>
      <c r="K114" s="406"/>
      <c r="L114" s="23"/>
      <c r="M114" s="12"/>
    </row>
    <row r="115" spans="2:13" s="407" customFormat="1" ht="12.75">
      <c r="B115" s="11"/>
      <c r="C115" s="10"/>
      <c r="D115" s="57"/>
      <c r="E115" s="10"/>
      <c r="F115" s="10"/>
      <c r="G115" s="408"/>
      <c r="H115" s="408"/>
      <c r="I115" s="408"/>
      <c r="J115" s="408"/>
      <c r="K115" s="408"/>
      <c r="L115" s="10"/>
      <c r="M115" s="12"/>
    </row>
    <row r="116" spans="2:13" ht="13.5" thickBot="1">
      <c r="B116" s="403"/>
      <c r="C116" s="404"/>
      <c r="D116" s="428"/>
      <c r="E116" s="404"/>
      <c r="F116" s="404"/>
      <c r="G116" s="404"/>
      <c r="H116" s="404"/>
      <c r="I116" s="404"/>
      <c r="J116" s="404"/>
      <c r="K116" s="404"/>
      <c r="L116" s="404"/>
      <c r="M116" s="405"/>
    </row>
    <row r="121" spans="3:12" ht="12.75">
      <c r="C121" s="10"/>
      <c r="D121" s="57"/>
      <c r="E121" s="42"/>
      <c r="F121" s="10"/>
      <c r="G121" s="42"/>
      <c r="H121" s="10"/>
      <c r="I121" s="10"/>
      <c r="J121" s="10"/>
      <c r="K121" s="10"/>
      <c r="L121" s="10"/>
    </row>
    <row r="122" spans="3:12" ht="12.75">
      <c r="C122" s="10"/>
      <c r="D122" s="52" t="s">
        <v>513</v>
      </c>
      <c r="E122" s="16"/>
      <c r="F122" s="10"/>
      <c r="G122" s="19">
        <f>tab!G12</f>
        <v>2007</v>
      </c>
      <c r="H122" s="19">
        <f>tab!H12</f>
        <v>2008</v>
      </c>
      <c r="I122" s="19">
        <f>tab!I12</f>
        <v>2009</v>
      </c>
      <c r="J122" s="19">
        <f>tab!J12</f>
        <v>2010</v>
      </c>
      <c r="K122" s="19">
        <f>tab!K12</f>
        <v>2011</v>
      </c>
      <c r="L122" s="10"/>
    </row>
    <row r="123" spans="3:13" ht="12.75">
      <c r="C123" s="10"/>
      <c r="D123" s="57">
        <v>1</v>
      </c>
      <c r="E123" s="10" t="s">
        <v>270</v>
      </c>
      <c r="F123" s="10"/>
      <c r="G123" s="72">
        <f>ROUND(lln!G26*tab!F56,0)</f>
        <v>39660</v>
      </c>
      <c r="H123" s="72">
        <f>ROUND(lln!H26*tab!H56,0)</f>
        <v>40253</v>
      </c>
      <c r="I123" s="72">
        <f>ROUND(lln!I26*tab!J56,0)</f>
        <v>40253</v>
      </c>
      <c r="J123" s="72">
        <f>ROUND(lln!J26*tab!L56,0)</f>
        <v>40253</v>
      </c>
      <c r="K123" s="72">
        <f>ROUND(lln!K26*tab!N56,0)</f>
        <v>40253</v>
      </c>
      <c r="L123" s="10"/>
      <c r="M123" s="407"/>
    </row>
    <row r="124" spans="3:13" ht="12.75">
      <c r="C124" s="10"/>
      <c r="D124" s="57" t="s">
        <v>364</v>
      </c>
      <c r="E124" s="10" t="s">
        <v>370</v>
      </c>
      <c r="F124" s="10"/>
      <c r="G124" s="73">
        <f>ROUND(+lln!G67*(tab!F64+tab!F65)+lln!G68*tab!F65,0)</f>
        <v>5388</v>
      </c>
      <c r="H124" s="73">
        <f>ROUND(+lln!H67*(tab!H64+tab!H65)+lln!H68*tab!H65,0)</f>
        <v>4341</v>
      </c>
      <c r="I124" s="73">
        <f>ROUND(+lln!I67*(tab!J64+tab!J65)+lln!I68*tab!J65,0)</f>
        <v>4341</v>
      </c>
      <c r="J124" s="73">
        <f>ROUND(+lln!J67*(tab!L64+tab!L65)+lln!J68*tab!L65,0)</f>
        <v>4341</v>
      </c>
      <c r="K124" s="73">
        <f>ROUND(+lln!K67*(tab!N64+tab!N65)+lln!K68*tab!N65,0)</f>
        <v>4341</v>
      </c>
      <c r="L124" s="10"/>
      <c r="M124" s="407"/>
    </row>
    <row r="125" spans="3:13" ht="12.75">
      <c r="C125" s="10"/>
      <c r="D125" s="57" t="s">
        <v>373</v>
      </c>
      <c r="E125" s="10" t="s">
        <v>376</v>
      </c>
      <c r="F125" s="10"/>
      <c r="G125" s="73">
        <f>ROUND(+lln!G71*(tab!F64+tab!F65)+lln!G72*tab!F65,0)</f>
        <v>3658</v>
      </c>
      <c r="H125" s="73">
        <f>ROUND(+lln!H71*(tab!H64+tab!H65)+lln!H72*tab!H65,0)</f>
        <v>2977</v>
      </c>
      <c r="I125" s="73">
        <f>ROUND(+lln!I71*(tab!J64+tab!J65)+lln!I72*tab!J65,0)</f>
        <v>2977</v>
      </c>
      <c r="J125" s="73">
        <f>ROUND(+lln!J71*(tab!L64+tab!L65)+lln!J72*tab!L65,0)</f>
        <v>2977</v>
      </c>
      <c r="K125" s="73">
        <f>ROUND(+lln!K71*(tab!N64+tab!N65)+lln!K72*tab!N65,0)</f>
        <v>2977</v>
      </c>
      <c r="L125" s="10"/>
      <c r="M125" s="407"/>
    </row>
    <row r="126" spans="3:13" ht="12.75">
      <c r="C126" s="407"/>
      <c r="D126" s="474"/>
      <c r="E126" s="407"/>
      <c r="F126" s="407"/>
      <c r="G126" s="522"/>
      <c r="H126" s="522"/>
      <c r="I126" s="522"/>
      <c r="J126" s="522"/>
      <c r="K126" s="522"/>
      <c r="L126" s="407"/>
      <c r="M126" s="407"/>
    </row>
    <row r="127" spans="3:13" ht="12.75">
      <c r="C127" s="407"/>
      <c r="D127" s="474"/>
      <c r="E127" s="407"/>
      <c r="F127" s="407"/>
      <c r="G127" s="407"/>
      <c r="H127" s="407"/>
      <c r="I127" s="407"/>
      <c r="J127" s="407"/>
      <c r="K127" s="407"/>
      <c r="L127" s="407"/>
      <c r="M127" s="407"/>
    </row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49" r:id="rId3"/>
  <headerFooter alignWithMargins="0">
    <oddHeader>&amp;L&amp;"Arial,Vet"&amp;F&amp;R&amp;"Arial,Vet"&amp;A</oddHeader>
    <oddFooter>&amp;L&amp;"Arial,Vet"vos/abb&amp;C&amp;"Arial,Vet"&amp;P&amp;R&amp;"Arial,Vet"&amp;D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BA325"/>
  <sheetViews>
    <sheetView zoomScale="85" zoomScaleNormal="85" zoomScaleSheetLayoutView="85" workbookViewId="0" topLeftCell="A1">
      <selection activeCell="B2" sqref="B2"/>
    </sheetView>
  </sheetViews>
  <sheetFormatPr defaultColWidth="9.140625" defaultRowHeight="12.75"/>
  <cols>
    <col min="1" max="1" width="5.7109375" style="10" customWidth="1"/>
    <col min="2" max="3" width="2.7109375" style="10" customWidth="1"/>
    <col min="4" max="4" width="10.7109375" style="57" customWidth="1"/>
    <col min="5" max="5" width="20.7109375" style="57" customWidth="1"/>
    <col min="6" max="6" width="19.57421875" style="57" customWidth="1"/>
    <col min="7" max="7" width="6.7109375" style="66" customWidth="1"/>
    <col min="8" max="8" width="10.8515625" style="89" customWidth="1"/>
    <col min="9" max="9" width="1.7109375" style="10" customWidth="1"/>
    <col min="10" max="11" width="8.7109375" style="90" customWidth="1"/>
    <col min="12" max="12" width="0.85546875" style="91" customWidth="1"/>
    <col min="13" max="13" width="8.7109375" style="91" customWidth="1"/>
    <col min="14" max="14" width="1.7109375" style="91" customWidth="1"/>
    <col min="15" max="15" width="8.7109375" style="92" customWidth="1"/>
    <col min="16" max="16" width="8.7109375" style="90" customWidth="1"/>
    <col min="17" max="17" width="0.85546875" style="90" customWidth="1"/>
    <col min="18" max="18" width="9.00390625" style="93" customWidth="1"/>
    <col min="19" max="19" width="1.7109375" style="10" customWidth="1"/>
    <col min="20" max="21" width="12.7109375" style="10" customWidth="1"/>
    <col min="22" max="22" width="12.7109375" style="54" customWidth="1"/>
    <col min="23" max="23" width="1.7109375" style="54" customWidth="1"/>
    <col min="24" max="24" width="12.8515625" style="65" customWidth="1"/>
    <col min="25" max="25" width="1.7109375" style="10" customWidth="1"/>
    <col min="26" max="26" width="10.8515625" style="94" customWidth="1"/>
    <col min="27" max="27" width="12.8515625" style="65" customWidth="1"/>
    <col min="28" max="28" width="1.7109375" style="10" customWidth="1"/>
    <col min="29" max="29" width="12.8515625" style="10" customWidth="1"/>
    <col min="30" max="30" width="3.00390625" style="10" customWidth="1"/>
    <col min="31" max="31" width="2.7109375" style="10" customWidth="1"/>
    <col min="32" max="32" width="20.7109375" style="10" customWidth="1"/>
    <col min="33" max="35" width="8.7109375" style="10" customWidth="1"/>
    <col min="36" max="36" width="8.7109375" style="66" customWidth="1"/>
    <col min="37" max="37" width="1.57421875" style="63" customWidth="1"/>
    <col min="38" max="38" width="1.7109375" style="10" customWidth="1"/>
    <col min="39" max="42" width="8.7109375" style="10" customWidth="1"/>
    <col min="43" max="43" width="1.57421875" style="10" customWidth="1"/>
    <col min="44" max="44" width="12.7109375" style="10" customWidth="1"/>
    <col min="45" max="45" width="12.7109375" style="66" customWidth="1"/>
    <col min="46" max="46" width="12.7109375" style="63" customWidth="1"/>
    <col min="47" max="47" width="12.7109375" style="10" customWidth="1"/>
    <col min="48" max="48" width="1.57421875" style="10" customWidth="1"/>
    <col min="49" max="50" width="10.7109375" style="10" customWidth="1"/>
    <col min="51" max="52" width="2.7109375" style="10" customWidth="1"/>
    <col min="53" max="58" width="9.28125" style="10" bestFit="1" customWidth="1"/>
    <col min="59" max="16384" width="9.140625" style="10" customWidth="1"/>
  </cols>
  <sheetData>
    <row r="1" ht="12.75" customHeight="1" thickBot="1"/>
    <row r="2" spans="2:31" ht="12.75">
      <c r="B2" s="7"/>
      <c r="C2" s="8"/>
      <c r="D2" s="95"/>
      <c r="E2" s="95"/>
      <c r="F2" s="95"/>
      <c r="G2" s="64"/>
      <c r="H2" s="96"/>
      <c r="I2" s="8"/>
      <c r="J2" s="97"/>
      <c r="K2" s="97"/>
      <c r="L2" s="98"/>
      <c r="M2" s="98"/>
      <c r="N2" s="98"/>
      <c r="O2" s="99"/>
      <c r="P2" s="97"/>
      <c r="Q2" s="97"/>
      <c r="R2" s="100"/>
      <c r="S2" s="8"/>
      <c r="T2" s="8"/>
      <c r="U2" s="8"/>
      <c r="V2" s="101"/>
      <c r="W2" s="101"/>
      <c r="X2" s="102"/>
      <c r="Y2" s="8"/>
      <c r="Z2" s="103"/>
      <c r="AA2" s="102"/>
      <c r="AB2" s="8"/>
      <c r="AC2" s="8"/>
      <c r="AD2" s="8"/>
      <c r="AE2" s="9"/>
    </row>
    <row r="3" spans="2:31" ht="12.75">
      <c r="B3" s="11"/>
      <c r="AE3" s="12"/>
    </row>
    <row r="4" spans="2:46" s="104" customFormat="1" ht="18.75">
      <c r="B4" s="105"/>
      <c r="C4" s="106" t="s">
        <v>419</v>
      </c>
      <c r="E4" s="399"/>
      <c r="G4" s="107"/>
      <c r="H4" s="108"/>
      <c r="J4" s="109"/>
      <c r="K4" s="109"/>
      <c r="L4" s="110"/>
      <c r="M4" s="110"/>
      <c r="N4" s="110"/>
      <c r="O4" s="111"/>
      <c r="P4" s="109"/>
      <c r="Q4" s="109"/>
      <c r="R4" s="112"/>
      <c r="V4" s="113"/>
      <c r="W4" s="113"/>
      <c r="X4" s="114"/>
      <c r="Z4" s="115"/>
      <c r="AA4" s="114"/>
      <c r="AE4" s="116"/>
      <c r="AJ4" s="110"/>
      <c r="AK4" s="114"/>
      <c r="AL4" s="110"/>
      <c r="AM4" s="110"/>
      <c r="AN4" s="110"/>
      <c r="AO4" s="110"/>
      <c r="AP4" s="111"/>
      <c r="AQ4" s="109"/>
      <c r="AR4" s="112"/>
      <c r="AS4" s="117"/>
      <c r="AT4" s="111"/>
    </row>
    <row r="5" spans="2:46" ht="12.75" customHeight="1">
      <c r="B5" s="11"/>
      <c r="D5" s="10"/>
      <c r="AE5" s="12"/>
      <c r="AJ5" s="91"/>
      <c r="AK5" s="65"/>
      <c r="AL5" s="91"/>
      <c r="AM5" s="91"/>
      <c r="AN5" s="91"/>
      <c r="AO5" s="91"/>
      <c r="AP5" s="92"/>
      <c r="AQ5" s="90"/>
      <c r="AR5" s="93"/>
      <c r="AS5" s="118"/>
      <c r="AT5" s="92"/>
    </row>
    <row r="6" spans="2:46" ht="12.75" customHeight="1">
      <c r="B6" s="11"/>
      <c r="D6" s="10"/>
      <c r="AE6" s="12"/>
      <c r="AJ6" s="91"/>
      <c r="AK6" s="65"/>
      <c r="AL6" s="91"/>
      <c r="AM6" s="91"/>
      <c r="AN6" s="91"/>
      <c r="AO6" s="91"/>
      <c r="AP6" s="92"/>
      <c r="AQ6" s="90"/>
      <c r="AR6" s="93"/>
      <c r="AS6" s="118"/>
      <c r="AT6" s="92"/>
    </row>
    <row r="7" spans="2:46" s="119" customFormat="1" ht="12.75" customHeight="1">
      <c r="B7" s="120"/>
      <c r="E7" s="400"/>
      <c r="F7" s="121"/>
      <c r="G7" s="122"/>
      <c r="H7" s="123"/>
      <c r="J7" s="124"/>
      <c r="K7" s="124"/>
      <c r="L7" s="125"/>
      <c r="M7" s="125"/>
      <c r="N7" s="125"/>
      <c r="O7" s="126"/>
      <c r="P7" s="124"/>
      <c r="Q7" s="124"/>
      <c r="R7" s="127"/>
      <c r="V7" s="128"/>
      <c r="W7" s="128"/>
      <c r="X7" s="129"/>
      <c r="Z7" s="130"/>
      <c r="AA7" s="129"/>
      <c r="AE7" s="131"/>
      <c r="AJ7" s="125"/>
      <c r="AK7" s="129"/>
      <c r="AL7" s="125"/>
      <c r="AM7" s="125"/>
      <c r="AN7" s="125"/>
      <c r="AO7" s="125"/>
      <c r="AP7" s="126"/>
      <c r="AQ7" s="124"/>
      <c r="AR7" s="127"/>
      <c r="AS7" s="132"/>
      <c r="AT7" s="126"/>
    </row>
    <row r="8" spans="2:46" s="119" customFormat="1" ht="12.75" customHeight="1">
      <c r="B8" s="120"/>
      <c r="D8" s="133"/>
      <c r="E8" s="401"/>
      <c r="F8" s="121"/>
      <c r="G8" s="122"/>
      <c r="H8" s="123"/>
      <c r="J8" s="124"/>
      <c r="K8" s="124"/>
      <c r="L8" s="125"/>
      <c r="M8" s="125"/>
      <c r="N8" s="125"/>
      <c r="O8" s="126"/>
      <c r="P8" s="124"/>
      <c r="Q8" s="124"/>
      <c r="R8" s="127"/>
      <c r="V8" s="128"/>
      <c r="W8" s="128"/>
      <c r="X8" s="129"/>
      <c r="Z8" s="130"/>
      <c r="AA8" s="129"/>
      <c r="AE8" s="131"/>
      <c r="AJ8" s="125"/>
      <c r="AK8" s="129"/>
      <c r="AL8" s="125"/>
      <c r="AM8" s="125"/>
      <c r="AN8" s="125"/>
      <c r="AO8" s="125"/>
      <c r="AP8" s="126"/>
      <c r="AQ8" s="124"/>
      <c r="AR8" s="127"/>
      <c r="AS8" s="132"/>
      <c r="AT8" s="126"/>
    </row>
    <row r="9" spans="2:46" s="119" customFormat="1" ht="12.75" customHeight="1">
      <c r="B9" s="120"/>
      <c r="C9" s="10" t="s">
        <v>310</v>
      </c>
      <c r="D9" s="57"/>
      <c r="E9" s="134" t="str">
        <f>tab!G11</f>
        <v>2007/08</v>
      </c>
      <c r="F9" s="121"/>
      <c r="G9" s="122"/>
      <c r="H9" s="123"/>
      <c r="J9" s="124"/>
      <c r="K9" s="124"/>
      <c r="L9" s="125"/>
      <c r="M9" s="125"/>
      <c r="N9" s="125"/>
      <c r="O9" s="126"/>
      <c r="P9" s="124"/>
      <c r="Q9" s="124"/>
      <c r="R9" s="127"/>
      <c r="V9" s="128"/>
      <c r="W9" s="128"/>
      <c r="Z9" s="130"/>
      <c r="AA9" s="129"/>
      <c r="AE9" s="131"/>
      <c r="AJ9" s="125"/>
      <c r="AK9" s="129"/>
      <c r="AL9" s="125"/>
      <c r="AM9" s="125"/>
      <c r="AN9" s="125"/>
      <c r="AO9" s="125"/>
      <c r="AP9" s="126"/>
      <c r="AQ9" s="124"/>
      <c r="AR9" s="127"/>
      <c r="AS9" s="132"/>
      <c r="AT9" s="126"/>
    </row>
    <row r="10" spans="2:46" ht="12.75" customHeight="1">
      <c r="B10" s="11"/>
      <c r="C10" s="10" t="s">
        <v>311</v>
      </c>
      <c r="E10" s="134">
        <f>tab!H13</f>
        <v>39356</v>
      </c>
      <c r="F10" s="135"/>
      <c r="G10" s="19"/>
      <c r="H10" s="136"/>
      <c r="X10" s="259"/>
      <c r="AE10" s="12"/>
      <c r="AJ10" s="91"/>
      <c r="AK10" s="65"/>
      <c r="AL10" s="91"/>
      <c r="AM10" s="91"/>
      <c r="AN10" s="91"/>
      <c r="AO10" s="91"/>
      <c r="AP10" s="92"/>
      <c r="AQ10" s="90"/>
      <c r="AR10" s="93"/>
      <c r="AS10" s="118"/>
      <c r="AT10" s="92"/>
    </row>
    <row r="11" spans="2:46" ht="12.75" customHeight="1">
      <c r="B11" s="11"/>
      <c r="D11" s="133"/>
      <c r="E11" s="402"/>
      <c r="F11" s="135"/>
      <c r="G11" s="19"/>
      <c r="H11" s="136"/>
      <c r="AE11" s="12"/>
      <c r="AJ11" s="137"/>
      <c r="AK11" s="138"/>
      <c r="AL11" s="137"/>
      <c r="AM11" s="137"/>
      <c r="AN11" s="137"/>
      <c r="AO11" s="91"/>
      <c r="AP11" s="139"/>
      <c r="AQ11" s="140"/>
      <c r="AR11" s="141"/>
      <c r="AS11" s="142"/>
      <c r="AT11" s="139"/>
    </row>
    <row r="12" spans="2:46" ht="12.75" customHeight="1">
      <c r="B12" s="11"/>
      <c r="C12" s="23"/>
      <c r="D12" s="35"/>
      <c r="E12" s="39"/>
      <c r="F12" s="35"/>
      <c r="G12" s="36"/>
      <c r="H12" s="143"/>
      <c r="I12" s="23"/>
      <c r="J12" s="144"/>
      <c r="K12" s="144"/>
      <c r="L12" s="45"/>
      <c r="M12" s="45"/>
      <c r="N12" s="45"/>
      <c r="O12" s="145"/>
      <c r="P12" s="144"/>
      <c r="Q12" s="144"/>
      <c r="R12" s="146"/>
      <c r="S12" s="23"/>
      <c r="T12" s="23"/>
      <c r="U12" s="23"/>
      <c r="V12" s="55"/>
      <c r="W12" s="55"/>
      <c r="X12" s="31"/>
      <c r="Y12" s="23"/>
      <c r="Z12" s="147"/>
      <c r="AA12" s="31"/>
      <c r="AB12" s="23"/>
      <c r="AC12" s="23"/>
      <c r="AD12" s="23"/>
      <c r="AE12" s="12"/>
      <c r="AJ12" s="137"/>
      <c r="AK12" s="138"/>
      <c r="AL12" s="137"/>
      <c r="AM12" s="137"/>
      <c r="AN12" s="137"/>
      <c r="AO12" s="91"/>
      <c r="AP12" s="139"/>
      <c r="AQ12" s="140"/>
      <c r="AR12" s="141"/>
      <c r="AS12" s="142"/>
      <c r="AT12" s="139"/>
    </row>
    <row r="13" spans="2:48" ht="12.75" customHeight="1">
      <c r="B13" s="11"/>
      <c r="C13" s="23"/>
      <c r="D13" s="598" t="s">
        <v>312</v>
      </c>
      <c r="E13" s="599"/>
      <c r="F13" s="599"/>
      <c r="G13" s="599"/>
      <c r="H13" s="599"/>
      <c r="I13" s="149"/>
      <c r="J13" s="598" t="s">
        <v>313</v>
      </c>
      <c r="K13" s="599"/>
      <c r="L13" s="599"/>
      <c r="M13" s="599"/>
      <c r="N13" s="36"/>
      <c r="O13" s="600" t="s">
        <v>314</v>
      </c>
      <c r="P13" s="599"/>
      <c r="Q13" s="599"/>
      <c r="R13" s="599"/>
      <c r="S13" s="151"/>
      <c r="T13" s="598" t="s">
        <v>315</v>
      </c>
      <c r="U13" s="598"/>
      <c r="V13" s="598"/>
      <c r="W13" s="36"/>
      <c r="X13" s="77" t="s">
        <v>316</v>
      </c>
      <c r="Y13" s="36"/>
      <c r="Z13" s="152"/>
      <c r="AA13" s="148" t="s">
        <v>317</v>
      </c>
      <c r="AB13" s="144"/>
      <c r="AC13" s="153" t="s">
        <v>315</v>
      </c>
      <c r="AD13" s="144"/>
      <c r="AE13" s="154"/>
      <c r="AF13" s="155"/>
      <c r="AG13" s="92"/>
      <c r="AH13" s="156"/>
      <c r="AI13" s="92"/>
      <c r="AJ13" s="10"/>
      <c r="AK13" s="10"/>
      <c r="AS13" s="10"/>
      <c r="AT13" s="10"/>
      <c r="AU13" s="155"/>
      <c r="AV13" s="155"/>
    </row>
    <row r="14" spans="2:48" ht="12.75" customHeight="1">
      <c r="B14" s="11"/>
      <c r="C14" s="23"/>
      <c r="D14" s="159" t="s">
        <v>318</v>
      </c>
      <c r="E14" s="159" t="s">
        <v>319</v>
      </c>
      <c r="F14" s="159" t="s">
        <v>320</v>
      </c>
      <c r="G14" s="160" t="s">
        <v>321</v>
      </c>
      <c r="H14" s="161" t="s">
        <v>322</v>
      </c>
      <c r="I14" s="30"/>
      <c r="J14" s="160" t="s">
        <v>208</v>
      </c>
      <c r="K14" s="160" t="s">
        <v>323</v>
      </c>
      <c r="L14" s="162"/>
      <c r="M14" s="163" t="s">
        <v>324</v>
      </c>
      <c r="N14" s="164"/>
      <c r="O14" s="165" t="s">
        <v>325</v>
      </c>
      <c r="P14" s="166" t="s">
        <v>326</v>
      </c>
      <c r="Q14" s="166"/>
      <c r="R14" s="165" t="s">
        <v>325</v>
      </c>
      <c r="S14" s="30"/>
      <c r="T14" s="167" t="s">
        <v>327</v>
      </c>
      <c r="U14" s="167" t="s">
        <v>328</v>
      </c>
      <c r="V14" s="167" t="s">
        <v>329</v>
      </c>
      <c r="W14" s="164"/>
      <c r="X14" s="168" t="s">
        <v>330</v>
      </c>
      <c r="Y14" s="35"/>
      <c r="Z14" s="169" t="s">
        <v>331</v>
      </c>
      <c r="AA14" s="168" t="s">
        <v>330</v>
      </c>
      <c r="AB14" s="170"/>
      <c r="AC14" s="160" t="s">
        <v>332</v>
      </c>
      <c r="AD14" s="170"/>
      <c r="AE14" s="171"/>
      <c r="AF14" s="172"/>
      <c r="AG14" s="173"/>
      <c r="AH14" s="174"/>
      <c r="AI14" s="173"/>
      <c r="AJ14" s="10"/>
      <c r="AK14" s="10"/>
      <c r="AS14" s="10"/>
      <c r="AT14" s="10"/>
      <c r="AU14" s="155"/>
      <c r="AV14" s="172"/>
    </row>
    <row r="15" spans="2:48" ht="12.75" customHeight="1">
      <c r="B15" s="11"/>
      <c r="C15" s="23"/>
      <c r="D15" s="157"/>
      <c r="E15" s="159"/>
      <c r="F15" s="175"/>
      <c r="G15" s="160" t="s">
        <v>333</v>
      </c>
      <c r="H15" s="161" t="s">
        <v>334</v>
      </c>
      <c r="I15" s="30"/>
      <c r="J15" s="160"/>
      <c r="K15" s="160"/>
      <c r="L15" s="162"/>
      <c r="M15" s="163" t="s">
        <v>335</v>
      </c>
      <c r="N15" s="164"/>
      <c r="O15" s="165"/>
      <c r="P15" s="166"/>
      <c r="Q15" s="166"/>
      <c r="R15" s="165" t="s">
        <v>337</v>
      </c>
      <c r="S15" s="30"/>
      <c r="T15" s="167"/>
      <c r="U15" s="176">
        <f>+tab!G87</f>
        <v>0.503</v>
      </c>
      <c r="V15" s="167"/>
      <c r="W15" s="164"/>
      <c r="X15" s="168"/>
      <c r="Y15" s="23"/>
      <c r="Z15" s="169"/>
      <c r="AA15" s="168"/>
      <c r="AB15" s="23"/>
      <c r="AC15" s="69"/>
      <c r="AD15" s="23"/>
      <c r="AE15" s="12"/>
      <c r="AJ15" s="10"/>
      <c r="AK15" s="10"/>
      <c r="AS15" s="10"/>
      <c r="AT15" s="10"/>
      <c r="AV15" s="177"/>
    </row>
    <row r="16" spans="2:48" ht="12.75" customHeight="1">
      <c r="B16" s="11"/>
      <c r="C16" s="23"/>
      <c r="D16" s="35"/>
      <c r="E16" s="35"/>
      <c r="F16" s="35"/>
      <c r="G16" s="36"/>
      <c r="H16" s="143"/>
      <c r="I16" s="23"/>
      <c r="J16" s="170"/>
      <c r="K16" s="170"/>
      <c r="L16" s="178"/>
      <c r="M16" s="179"/>
      <c r="N16" s="164"/>
      <c r="O16" s="180"/>
      <c r="P16" s="181"/>
      <c r="Q16" s="164"/>
      <c r="R16" s="180"/>
      <c r="S16" s="164"/>
      <c r="T16" s="182"/>
      <c r="U16" s="182"/>
      <c r="V16" s="182"/>
      <c r="W16" s="164"/>
      <c r="X16" s="183"/>
      <c r="Y16" s="164"/>
      <c r="Z16" s="184"/>
      <c r="AA16" s="183"/>
      <c r="AB16" s="164"/>
      <c r="AC16" s="164"/>
      <c r="AD16" s="164"/>
      <c r="AE16" s="12"/>
      <c r="AJ16" s="10"/>
      <c r="AK16" s="10"/>
      <c r="AS16" s="10"/>
      <c r="AT16" s="10"/>
      <c r="AV16" s="177"/>
    </row>
    <row r="17" spans="2:53" s="185" customFormat="1" ht="12.75" customHeight="1">
      <c r="B17" s="11"/>
      <c r="C17" s="23"/>
      <c r="D17" s="186"/>
      <c r="E17" s="412"/>
      <c r="F17" s="412"/>
      <c r="G17" s="412"/>
      <c r="H17" s="188"/>
      <c r="I17" s="35"/>
      <c r="J17" s="187"/>
      <c r="K17" s="239"/>
      <c r="L17" s="35"/>
      <c r="M17" s="47">
        <f>IF(J17="","",VLOOKUP(J17,tabelsalaris,K17+1,FALSE))</f>
      </c>
      <c r="N17" s="190"/>
      <c r="O17" s="191"/>
      <c r="P17" s="550"/>
      <c r="Q17" s="190"/>
      <c r="R17" s="193">
        <f>IF(P17="",O17,O17-P17)</f>
        <v>0</v>
      </c>
      <c r="S17" s="190"/>
      <c r="T17" s="47">
        <f aca="true" t="shared" si="0" ref="T17:T35">IF(E17=0,"",(M17*R17*12))</f>
      </c>
      <c r="U17" s="47">
        <f>IF(E17=0,"",+T17*tab!G$87)</f>
      </c>
      <c r="V17" s="46">
        <f>IF(E17="",0,(T17+U17))</f>
        <v>0</v>
      </c>
      <c r="W17" s="49"/>
      <c r="X17" s="76">
        <f>IF(P17="",0,M17*12*P17*IF(OR(J17&lt;=8,J17="ID1",J17="ID2",J17="ID3"),1+tab!H$89,1+tab!G$89))</f>
        <v>0</v>
      </c>
      <c r="Y17" s="190"/>
      <c r="Z17" s="158">
        <f>IF(G17&lt;25,0,IF(G17=25,25,IF(G17&lt;40,0,IF(G17=40,40,IF(G17&gt;=40,0)))))</f>
        <v>0</v>
      </c>
      <c r="AA17" s="76">
        <f>IF(E17="",0,IF(Z17=25,(M17*1.08*(O17)/2),IF(Z17=40,(M17*1.08*(O17)),IF(Z17=0,0))))</f>
        <v>0</v>
      </c>
      <c r="AB17" s="49"/>
      <c r="AC17" s="47">
        <f>IF(E17="",0,(V17+X17+AA17))</f>
        <v>0</v>
      </c>
      <c r="AD17" s="49"/>
      <c r="AE17" s="12"/>
      <c r="AF17" s="10"/>
      <c r="AG17" s="10"/>
      <c r="AH17" s="10"/>
      <c r="AI17" s="10"/>
      <c r="AJ17" s="187"/>
      <c r="AK17" s="194"/>
      <c r="AS17" s="187"/>
      <c r="AT17" s="194"/>
      <c r="BA17" s="462" t="s">
        <v>186</v>
      </c>
    </row>
    <row r="18" spans="2:53" s="185" customFormat="1" ht="12.75" customHeight="1">
      <c r="B18" s="11"/>
      <c r="C18" s="23"/>
      <c r="D18" s="186"/>
      <c r="E18" s="186"/>
      <c r="F18" s="186"/>
      <c r="G18" s="186"/>
      <c r="H18" s="188"/>
      <c r="I18" s="35"/>
      <c r="J18" s="187"/>
      <c r="K18" s="239"/>
      <c r="L18" s="35"/>
      <c r="M18" s="47">
        <f aca="true" t="shared" si="1" ref="M18:M35">IF(J18="","",VLOOKUP(J18,tabelsalaris,K18+1,FALSE))</f>
      </c>
      <c r="N18" s="190"/>
      <c r="O18" s="191"/>
      <c r="P18" s="550"/>
      <c r="Q18" s="190"/>
      <c r="R18" s="193">
        <f>IF(P18="",O18,O18-P18)</f>
        <v>0</v>
      </c>
      <c r="S18" s="190"/>
      <c r="T18" s="47">
        <f t="shared" si="0"/>
      </c>
      <c r="U18" s="47">
        <f>IF(E18=0,"",+T18*tab!G$87)</f>
      </c>
      <c r="V18" s="46">
        <f aca="true" t="shared" si="2" ref="V18:V66">IF(E18="",0,(T18+U18))</f>
        <v>0</v>
      </c>
      <c r="W18" s="49"/>
      <c r="X18" s="76">
        <f>IF(P18="",0,M18*12*P18*IF(OR(J18&lt;=8,J18="ID1",J18="ID2",J18="ID3"),1+tab!H$89,1+tab!G$89))</f>
        <v>0</v>
      </c>
      <c r="Y18" s="190"/>
      <c r="Z18" s="158">
        <f aca="true" t="shared" si="3" ref="Z18:Z66">IF(G18&lt;25,0,IF(G18=25,25,IF(G18&lt;40,0,IF(G18=40,40,IF(G18&gt;=40,0)))))</f>
        <v>0</v>
      </c>
      <c r="AA18" s="76">
        <f aca="true" t="shared" si="4" ref="AA18:AA66">IF(E18="",0,IF(Z18=25,(M18*1.08*(O18)/2),IF(Z18=40,(M18*1.08*(O18)),IF(Z18=0,0))))</f>
        <v>0</v>
      </c>
      <c r="AB18" s="49"/>
      <c r="AC18" s="47">
        <f aca="true" t="shared" si="5" ref="AC18:AC66">IF(E18="",0,(V18+X18+AA18))</f>
        <v>0</v>
      </c>
      <c r="AD18" s="49"/>
      <c r="AE18" s="12"/>
      <c r="AF18" s="10"/>
      <c r="AG18" s="10"/>
      <c r="AH18" s="10"/>
      <c r="AI18" s="10"/>
      <c r="AJ18" s="187"/>
      <c r="AK18" s="194"/>
      <c r="AS18" s="187"/>
      <c r="AT18" s="194"/>
      <c r="BA18" s="462" t="s">
        <v>187</v>
      </c>
    </row>
    <row r="19" spans="2:53" s="185" customFormat="1" ht="12.75" customHeight="1">
      <c r="B19" s="11"/>
      <c r="C19" s="23"/>
      <c r="D19" s="186"/>
      <c r="E19" s="186"/>
      <c r="F19" s="186"/>
      <c r="G19" s="186"/>
      <c r="H19" s="188"/>
      <c r="I19" s="35"/>
      <c r="J19" s="187"/>
      <c r="K19" s="239"/>
      <c r="L19" s="35"/>
      <c r="M19" s="47">
        <f t="shared" si="1"/>
      </c>
      <c r="N19" s="190"/>
      <c r="O19" s="191"/>
      <c r="P19" s="550"/>
      <c r="Q19" s="190"/>
      <c r="R19" s="193">
        <f aca="true" t="shared" si="6" ref="R19:R35">IF(P19="",O19,O19-P19)</f>
        <v>0</v>
      </c>
      <c r="S19" s="190"/>
      <c r="T19" s="47">
        <f t="shared" si="0"/>
      </c>
      <c r="U19" s="47">
        <f>IF(E19=0,"",+T19*tab!G$87)</f>
      </c>
      <c r="V19" s="46">
        <f t="shared" si="2"/>
        <v>0</v>
      </c>
      <c r="W19" s="49"/>
      <c r="X19" s="76">
        <f>IF(P19="",0,M19*12*P19*IF(OR(J19&lt;=8,J19="ID1",J19="ID2",J19="ID3"),1+tab!H$89,1+tab!G$89))</f>
        <v>0</v>
      </c>
      <c r="Y19" s="190"/>
      <c r="Z19" s="158">
        <f t="shared" si="3"/>
        <v>0</v>
      </c>
      <c r="AA19" s="76">
        <f t="shared" si="4"/>
        <v>0</v>
      </c>
      <c r="AB19" s="49"/>
      <c r="AC19" s="47">
        <f t="shared" si="5"/>
        <v>0</v>
      </c>
      <c r="AD19" s="49"/>
      <c r="AE19" s="12"/>
      <c r="AF19" s="10"/>
      <c r="AG19" s="10"/>
      <c r="AH19" s="10"/>
      <c r="AI19" s="10"/>
      <c r="AJ19" s="187"/>
      <c r="AK19" s="194"/>
      <c r="AS19" s="187"/>
      <c r="AT19" s="194"/>
      <c r="BA19" s="462" t="s">
        <v>188</v>
      </c>
    </row>
    <row r="20" spans="2:53" s="185" customFormat="1" ht="12.75" customHeight="1">
      <c r="B20" s="11"/>
      <c r="C20" s="23"/>
      <c r="D20" s="186"/>
      <c r="E20" s="186"/>
      <c r="F20" s="186"/>
      <c r="G20" s="186"/>
      <c r="H20" s="188"/>
      <c r="I20" s="35"/>
      <c r="J20" s="187"/>
      <c r="K20" s="239"/>
      <c r="L20" s="35"/>
      <c r="M20" s="47">
        <f t="shared" si="1"/>
      </c>
      <c r="N20" s="190"/>
      <c r="O20" s="191"/>
      <c r="P20" s="550"/>
      <c r="Q20" s="190"/>
      <c r="R20" s="193">
        <f t="shared" si="6"/>
        <v>0</v>
      </c>
      <c r="S20" s="190"/>
      <c r="T20" s="47">
        <f t="shared" si="0"/>
      </c>
      <c r="U20" s="47">
        <f>IF(E20=0,"",+T20*tab!G$87)</f>
      </c>
      <c r="V20" s="46">
        <f t="shared" si="2"/>
        <v>0</v>
      </c>
      <c r="W20" s="49"/>
      <c r="X20" s="76">
        <f>IF(P20="",0,M20*12*P20*IF(OR(J20&lt;=8,J20="ID1",J20="ID2",J20="ID3"),1+tab!H$89,1+tab!G$89))</f>
        <v>0</v>
      </c>
      <c r="Y20" s="190"/>
      <c r="Z20" s="158">
        <f t="shared" si="3"/>
        <v>0</v>
      </c>
      <c r="AA20" s="76">
        <f t="shared" si="4"/>
        <v>0</v>
      </c>
      <c r="AB20" s="49"/>
      <c r="AC20" s="47">
        <f t="shared" si="5"/>
        <v>0</v>
      </c>
      <c r="AD20" s="49"/>
      <c r="AE20" s="12"/>
      <c r="AF20" s="10"/>
      <c r="AG20" s="10"/>
      <c r="AH20" s="10"/>
      <c r="AI20" s="10"/>
      <c r="AJ20" s="187"/>
      <c r="AK20" s="194"/>
      <c r="AS20" s="187"/>
      <c r="AT20" s="194"/>
      <c r="BA20" s="462" t="s">
        <v>189</v>
      </c>
    </row>
    <row r="21" spans="2:53" s="185" customFormat="1" ht="12.75" customHeight="1">
      <c r="B21" s="11"/>
      <c r="C21" s="23"/>
      <c r="D21" s="186"/>
      <c r="E21" s="186"/>
      <c r="F21" s="186"/>
      <c r="G21" s="186"/>
      <c r="H21" s="188"/>
      <c r="I21" s="35"/>
      <c r="J21" s="187"/>
      <c r="K21" s="239"/>
      <c r="L21" s="35"/>
      <c r="M21" s="47">
        <f t="shared" si="1"/>
      </c>
      <c r="N21" s="190"/>
      <c r="O21" s="191"/>
      <c r="P21" s="550"/>
      <c r="Q21" s="190"/>
      <c r="R21" s="193">
        <f t="shared" si="6"/>
        <v>0</v>
      </c>
      <c r="S21" s="190"/>
      <c r="T21" s="47">
        <f t="shared" si="0"/>
      </c>
      <c r="U21" s="47">
        <f>IF(E21=0,"",+T21*tab!G$87)</f>
      </c>
      <c r="V21" s="46">
        <f t="shared" si="2"/>
        <v>0</v>
      </c>
      <c r="W21" s="49"/>
      <c r="X21" s="76">
        <f>IF(P21="",0,M21*12*P21*IF(OR(J21&lt;=8,J21="ID1",J21="ID2",J21="ID3"),1+tab!H$89,1+tab!G$89))</f>
        <v>0</v>
      </c>
      <c r="Y21" s="190"/>
      <c r="Z21" s="158">
        <f t="shared" si="3"/>
        <v>0</v>
      </c>
      <c r="AA21" s="76">
        <f t="shared" si="4"/>
        <v>0</v>
      </c>
      <c r="AB21" s="49"/>
      <c r="AC21" s="47">
        <f t="shared" si="5"/>
        <v>0</v>
      </c>
      <c r="AD21" s="49"/>
      <c r="AE21" s="12"/>
      <c r="AF21" s="10"/>
      <c r="AG21" s="10"/>
      <c r="AH21" s="10"/>
      <c r="AI21" s="10"/>
      <c r="AJ21" s="187"/>
      <c r="AK21" s="194"/>
      <c r="AS21" s="187"/>
      <c r="AT21" s="194"/>
      <c r="BA21" s="462" t="s">
        <v>190</v>
      </c>
    </row>
    <row r="22" spans="2:53" s="185" customFormat="1" ht="12.75" customHeight="1">
      <c r="B22" s="11"/>
      <c r="C22" s="23"/>
      <c r="D22" s="186"/>
      <c r="E22" s="186"/>
      <c r="F22" s="186"/>
      <c r="G22" s="186"/>
      <c r="H22" s="188"/>
      <c r="I22" s="35"/>
      <c r="J22" s="187"/>
      <c r="K22" s="239"/>
      <c r="L22" s="35"/>
      <c r="M22" s="47">
        <f t="shared" si="1"/>
      </c>
      <c r="N22" s="190"/>
      <c r="O22" s="191"/>
      <c r="P22" s="550"/>
      <c r="Q22" s="190"/>
      <c r="R22" s="193">
        <f t="shared" si="6"/>
        <v>0</v>
      </c>
      <c r="S22" s="190"/>
      <c r="T22" s="47">
        <f t="shared" si="0"/>
      </c>
      <c r="U22" s="47">
        <f>IF(E22=0,"",+T22*tab!G$87)</f>
      </c>
      <c r="V22" s="46">
        <f t="shared" si="2"/>
        <v>0</v>
      </c>
      <c r="W22" s="49"/>
      <c r="X22" s="76">
        <f>IF(P22="",0,M22*12*P22*IF(OR(J22&lt;=8,J22="ID1",J22="ID2",J22="ID3"),1+tab!H$89,1+tab!G$89))</f>
        <v>0</v>
      </c>
      <c r="Y22" s="190"/>
      <c r="Z22" s="158">
        <f t="shared" si="3"/>
        <v>0</v>
      </c>
      <c r="AA22" s="76">
        <f t="shared" si="4"/>
        <v>0</v>
      </c>
      <c r="AB22" s="49"/>
      <c r="AC22" s="47">
        <f t="shared" si="5"/>
        <v>0</v>
      </c>
      <c r="AD22" s="49"/>
      <c r="AE22" s="12"/>
      <c r="AF22" s="10"/>
      <c r="AG22" s="10"/>
      <c r="AH22" s="10"/>
      <c r="AI22" s="10"/>
      <c r="AJ22" s="187"/>
      <c r="AK22" s="194"/>
      <c r="AS22" s="187"/>
      <c r="AT22" s="194"/>
      <c r="BA22" s="462" t="s">
        <v>191</v>
      </c>
    </row>
    <row r="23" spans="2:53" s="185" customFormat="1" ht="12.75" customHeight="1">
      <c r="B23" s="11"/>
      <c r="C23" s="23"/>
      <c r="D23" s="186"/>
      <c r="E23" s="186"/>
      <c r="F23" s="186"/>
      <c r="G23" s="186"/>
      <c r="H23" s="188"/>
      <c r="I23" s="35"/>
      <c r="J23" s="187"/>
      <c r="K23" s="239"/>
      <c r="L23" s="35"/>
      <c r="M23" s="47">
        <f t="shared" si="1"/>
      </c>
      <c r="N23" s="190"/>
      <c r="O23" s="191"/>
      <c r="P23" s="550"/>
      <c r="Q23" s="190"/>
      <c r="R23" s="193">
        <f t="shared" si="6"/>
        <v>0</v>
      </c>
      <c r="S23" s="190"/>
      <c r="T23" s="47">
        <f t="shared" si="0"/>
      </c>
      <c r="U23" s="47">
        <f>IF(E23=0,"",+T23*tab!G$87)</f>
      </c>
      <c r="V23" s="46">
        <f t="shared" si="2"/>
        <v>0</v>
      </c>
      <c r="W23" s="49"/>
      <c r="X23" s="76">
        <f>IF(P23="",0,M23*12*P23*IF(OR(J23&lt;=8,J23="ID1",J23="ID2",J23="ID3"),1+tab!H$89,1+tab!G$89))</f>
        <v>0</v>
      </c>
      <c r="Y23" s="190"/>
      <c r="Z23" s="158">
        <f t="shared" si="3"/>
        <v>0</v>
      </c>
      <c r="AA23" s="76">
        <f t="shared" si="4"/>
        <v>0</v>
      </c>
      <c r="AB23" s="49"/>
      <c r="AC23" s="47">
        <f t="shared" si="5"/>
        <v>0</v>
      </c>
      <c r="AD23" s="49"/>
      <c r="AE23" s="12"/>
      <c r="AF23" s="10"/>
      <c r="AG23" s="10"/>
      <c r="AH23" s="10"/>
      <c r="AI23" s="10"/>
      <c r="AJ23" s="187"/>
      <c r="AK23" s="194"/>
      <c r="AS23" s="187"/>
      <c r="AT23" s="194"/>
      <c r="BA23" s="462" t="s">
        <v>192</v>
      </c>
    </row>
    <row r="24" spans="2:53" s="185" customFormat="1" ht="12.75" customHeight="1">
      <c r="B24" s="11"/>
      <c r="C24" s="23"/>
      <c r="D24" s="186"/>
      <c r="E24" s="186"/>
      <c r="F24" s="186"/>
      <c r="G24" s="186"/>
      <c r="H24" s="188"/>
      <c r="I24" s="35"/>
      <c r="J24" s="187"/>
      <c r="K24" s="239"/>
      <c r="L24" s="35"/>
      <c r="M24" s="47">
        <f t="shared" si="1"/>
      </c>
      <c r="N24" s="190"/>
      <c r="O24" s="191"/>
      <c r="P24" s="550"/>
      <c r="Q24" s="190"/>
      <c r="R24" s="193">
        <f t="shared" si="6"/>
        <v>0</v>
      </c>
      <c r="S24" s="190"/>
      <c r="T24" s="47">
        <f t="shared" si="0"/>
      </c>
      <c r="U24" s="47">
        <f>IF(E24=0,"",+T24*tab!G$87)</f>
      </c>
      <c r="V24" s="46">
        <f t="shared" si="2"/>
        <v>0</v>
      </c>
      <c r="W24" s="49"/>
      <c r="X24" s="76">
        <f>IF(P24="",0,M24*12*P24*IF(OR(J24&lt;=8,J24="ID1",J24="ID2",J24="ID3"),1+tab!H$89,1+tab!G$89))</f>
        <v>0</v>
      </c>
      <c r="Y24" s="190"/>
      <c r="Z24" s="158">
        <f t="shared" si="3"/>
        <v>0</v>
      </c>
      <c r="AA24" s="76">
        <f t="shared" si="4"/>
        <v>0</v>
      </c>
      <c r="AB24" s="49"/>
      <c r="AC24" s="47">
        <f t="shared" si="5"/>
        <v>0</v>
      </c>
      <c r="AD24" s="49"/>
      <c r="AE24" s="12"/>
      <c r="AF24" s="10"/>
      <c r="AG24" s="10"/>
      <c r="AH24" s="10"/>
      <c r="AI24" s="10"/>
      <c r="AJ24" s="187"/>
      <c r="AK24" s="194"/>
      <c r="AS24" s="187"/>
      <c r="AT24" s="194"/>
      <c r="BA24" s="462" t="s">
        <v>193</v>
      </c>
    </row>
    <row r="25" spans="2:53" s="185" customFormat="1" ht="12.75" customHeight="1">
      <c r="B25" s="11"/>
      <c r="C25" s="23"/>
      <c r="D25" s="186"/>
      <c r="E25" s="186"/>
      <c r="F25" s="186"/>
      <c r="G25" s="186"/>
      <c r="H25" s="188"/>
      <c r="I25" s="35"/>
      <c r="J25" s="187"/>
      <c r="K25" s="239"/>
      <c r="L25" s="35"/>
      <c r="M25" s="47">
        <f t="shared" si="1"/>
      </c>
      <c r="N25" s="190"/>
      <c r="O25" s="191"/>
      <c r="P25" s="550"/>
      <c r="Q25" s="190"/>
      <c r="R25" s="193">
        <f t="shared" si="6"/>
        <v>0</v>
      </c>
      <c r="S25" s="190"/>
      <c r="T25" s="47">
        <f t="shared" si="0"/>
      </c>
      <c r="U25" s="47">
        <f>IF(E25=0,"",+T25*tab!G$87)</f>
      </c>
      <c r="V25" s="46">
        <f t="shared" si="2"/>
        <v>0</v>
      </c>
      <c r="W25" s="49"/>
      <c r="X25" s="76">
        <f>IF(P25="",0,M25*12*P25*IF(OR(J25&lt;=8,J25="ID1",J25="ID2",J25="ID3"),1+tab!H$89,1+tab!G$89))</f>
        <v>0</v>
      </c>
      <c r="Y25" s="190"/>
      <c r="Z25" s="158">
        <f t="shared" si="3"/>
        <v>0</v>
      </c>
      <c r="AA25" s="76">
        <f t="shared" si="4"/>
        <v>0</v>
      </c>
      <c r="AB25" s="49"/>
      <c r="AC25" s="47">
        <f t="shared" si="5"/>
        <v>0</v>
      </c>
      <c r="AD25" s="49"/>
      <c r="AE25" s="12"/>
      <c r="AF25" s="10"/>
      <c r="AG25" s="10"/>
      <c r="AH25" s="10"/>
      <c r="AI25" s="10"/>
      <c r="AJ25" s="187"/>
      <c r="AK25" s="194"/>
      <c r="AS25" s="187"/>
      <c r="AT25" s="194"/>
      <c r="BA25" s="462" t="s">
        <v>194</v>
      </c>
    </row>
    <row r="26" spans="2:53" s="185" customFormat="1" ht="12.75" customHeight="1">
      <c r="B26" s="11"/>
      <c r="C26" s="23"/>
      <c r="D26" s="186"/>
      <c r="E26" s="186"/>
      <c r="F26" s="186"/>
      <c r="G26" s="186"/>
      <c r="H26" s="188"/>
      <c r="I26" s="35"/>
      <c r="J26" s="187"/>
      <c r="K26" s="239"/>
      <c r="L26" s="35"/>
      <c r="M26" s="47">
        <f t="shared" si="1"/>
      </c>
      <c r="N26" s="190"/>
      <c r="O26" s="191"/>
      <c r="P26" s="550"/>
      <c r="Q26" s="190"/>
      <c r="R26" s="193">
        <f t="shared" si="6"/>
        <v>0</v>
      </c>
      <c r="S26" s="190"/>
      <c r="T26" s="47">
        <f t="shared" si="0"/>
      </c>
      <c r="U26" s="47">
        <f>IF(E26=0,"",+T26*tab!G$87)</f>
      </c>
      <c r="V26" s="46">
        <f t="shared" si="2"/>
        <v>0</v>
      </c>
      <c r="W26" s="49"/>
      <c r="X26" s="76">
        <f>IF(P26="",0,M26*12*P26*IF(OR(J26&lt;=8,J26="ID1",J26="ID2",J26="ID3"),1+tab!H$89,1+tab!G$89))</f>
        <v>0</v>
      </c>
      <c r="Y26" s="190"/>
      <c r="Z26" s="158">
        <f t="shared" si="3"/>
        <v>0</v>
      </c>
      <c r="AA26" s="76">
        <f t="shared" si="4"/>
        <v>0</v>
      </c>
      <c r="AB26" s="49"/>
      <c r="AC26" s="47">
        <f t="shared" si="5"/>
        <v>0</v>
      </c>
      <c r="AD26" s="49"/>
      <c r="AE26" s="12"/>
      <c r="AF26" s="10"/>
      <c r="AG26" s="10"/>
      <c r="AH26" s="10"/>
      <c r="AI26" s="10"/>
      <c r="AJ26" s="187"/>
      <c r="AK26" s="194"/>
      <c r="AS26" s="187"/>
      <c r="AT26" s="194"/>
      <c r="BA26" s="462" t="s">
        <v>195</v>
      </c>
    </row>
    <row r="27" spans="2:53" s="185" customFormat="1" ht="12.75" customHeight="1">
      <c r="B27" s="11"/>
      <c r="C27" s="23"/>
      <c r="D27" s="186"/>
      <c r="E27" s="186"/>
      <c r="F27" s="186"/>
      <c r="G27" s="186"/>
      <c r="H27" s="188"/>
      <c r="I27" s="35"/>
      <c r="J27" s="187"/>
      <c r="K27" s="239"/>
      <c r="L27" s="35"/>
      <c r="M27" s="47">
        <f t="shared" si="1"/>
      </c>
      <c r="N27" s="190"/>
      <c r="O27" s="191"/>
      <c r="P27" s="550"/>
      <c r="Q27" s="190"/>
      <c r="R27" s="193">
        <f t="shared" si="6"/>
        <v>0</v>
      </c>
      <c r="S27" s="190"/>
      <c r="T27" s="47">
        <f t="shared" si="0"/>
      </c>
      <c r="U27" s="47">
        <f>IF(E27=0,"",+T27*tab!G$87)</f>
      </c>
      <c r="V27" s="46">
        <f t="shared" si="2"/>
        <v>0</v>
      </c>
      <c r="W27" s="49"/>
      <c r="X27" s="76">
        <f>IF(P27="",0,M27*12*P27*IF(OR(J27&lt;=8,J27="ID1",J27="ID2",J27="ID3"),1+tab!H$89,1+tab!G$89))</f>
        <v>0</v>
      </c>
      <c r="Y27" s="190"/>
      <c r="Z27" s="158">
        <f t="shared" si="3"/>
        <v>0</v>
      </c>
      <c r="AA27" s="76">
        <f t="shared" si="4"/>
        <v>0</v>
      </c>
      <c r="AB27" s="49"/>
      <c r="AC27" s="47">
        <f t="shared" si="5"/>
        <v>0</v>
      </c>
      <c r="AD27" s="49"/>
      <c r="AE27" s="12"/>
      <c r="AF27" s="10"/>
      <c r="AG27" s="10"/>
      <c r="AH27" s="10"/>
      <c r="AI27" s="10"/>
      <c r="AJ27" s="187"/>
      <c r="AK27" s="194"/>
      <c r="AS27" s="187"/>
      <c r="AT27" s="194"/>
      <c r="BA27" s="462" t="s">
        <v>196</v>
      </c>
    </row>
    <row r="28" spans="2:53" s="185" customFormat="1" ht="12.75" customHeight="1">
      <c r="B28" s="11"/>
      <c r="C28" s="23"/>
      <c r="D28" s="186"/>
      <c r="E28" s="186"/>
      <c r="F28" s="186"/>
      <c r="G28" s="186"/>
      <c r="H28" s="188"/>
      <c r="I28" s="35"/>
      <c r="J28" s="187"/>
      <c r="K28" s="239"/>
      <c r="L28" s="35"/>
      <c r="M28" s="47">
        <f t="shared" si="1"/>
      </c>
      <c r="N28" s="190"/>
      <c r="O28" s="191"/>
      <c r="P28" s="550"/>
      <c r="Q28" s="190"/>
      <c r="R28" s="193">
        <f t="shared" si="6"/>
        <v>0</v>
      </c>
      <c r="S28" s="190"/>
      <c r="T28" s="47">
        <f t="shared" si="0"/>
      </c>
      <c r="U28" s="47">
        <f>IF(E28=0,"",+T28*tab!G$87)</f>
      </c>
      <c r="V28" s="46">
        <f t="shared" si="2"/>
        <v>0</v>
      </c>
      <c r="W28" s="49"/>
      <c r="X28" s="76">
        <f>IF(P28="",0,M28*12*P28*IF(OR(J28&lt;=8,J28="ID1",J28="ID2",J28="ID3"),1+tab!H$89,1+tab!G$89))</f>
        <v>0</v>
      </c>
      <c r="Y28" s="190"/>
      <c r="Z28" s="158">
        <f t="shared" si="3"/>
        <v>0</v>
      </c>
      <c r="AA28" s="76">
        <f t="shared" si="4"/>
        <v>0</v>
      </c>
      <c r="AB28" s="49"/>
      <c r="AC28" s="47">
        <f t="shared" si="5"/>
        <v>0</v>
      </c>
      <c r="AD28" s="49"/>
      <c r="AE28" s="12"/>
      <c r="AF28" s="10"/>
      <c r="AG28" s="10"/>
      <c r="AH28" s="10"/>
      <c r="AI28" s="10"/>
      <c r="AJ28" s="187"/>
      <c r="AK28" s="194"/>
      <c r="AS28" s="187"/>
      <c r="AT28" s="194"/>
      <c r="BA28" s="462" t="s">
        <v>197</v>
      </c>
    </row>
    <row r="29" spans="2:53" s="185" customFormat="1" ht="12.75" customHeight="1">
      <c r="B29" s="11"/>
      <c r="C29" s="23"/>
      <c r="D29" s="186"/>
      <c r="E29" s="186"/>
      <c r="F29" s="186"/>
      <c r="G29" s="186"/>
      <c r="H29" s="188"/>
      <c r="I29" s="35"/>
      <c r="J29" s="187"/>
      <c r="K29" s="239"/>
      <c r="L29" s="35"/>
      <c r="M29" s="47">
        <f t="shared" si="1"/>
      </c>
      <c r="N29" s="190"/>
      <c r="O29" s="191"/>
      <c r="P29" s="550"/>
      <c r="Q29" s="190"/>
      <c r="R29" s="193">
        <f t="shared" si="6"/>
        <v>0</v>
      </c>
      <c r="S29" s="190"/>
      <c r="T29" s="47">
        <f t="shared" si="0"/>
      </c>
      <c r="U29" s="47">
        <f>IF(E29=0,"",+T29*tab!G$87)</f>
      </c>
      <c r="V29" s="46">
        <f t="shared" si="2"/>
        <v>0</v>
      </c>
      <c r="W29" s="49"/>
      <c r="X29" s="76">
        <f>IF(P29="",0,M29*12*P29*IF(OR(J29&lt;=8,J29="ID1",J29="ID2",J29="ID3"),1+tab!H$89,1+tab!G$89))</f>
        <v>0</v>
      </c>
      <c r="Y29" s="190"/>
      <c r="Z29" s="158">
        <f t="shared" si="3"/>
        <v>0</v>
      </c>
      <c r="AA29" s="76">
        <f t="shared" si="4"/>
        <v>0</v>
      </c>
      <c r="AB29" s="49"/>
      <c r="AC29" s="47">
        <f t="shared" si="5"/>
        <v>0</v>
      </c>
      <c r="AD29" s="49"/>
      <c r="AE29" s="12"/>
      <c r="AF29" s="10"/>
      <c r="AG29" s="10"/>
      <c r="AH29" s="10"/>
      <c r="AI29" s="10"/>
      <c r="AJ29" s="187"/>
      <c r="AK29" s="194"/>
      <c r="AS29" s="187"/>
      <c r="AT29" s="194"/>
      <c r="BA29" s="462" t="s">
        <v>198</v>
      </c>
    </row>
    <row r="30" spans="2:53" s="185" customFormat="1" ht="12.75" customHeight="1">
      <c r="B30" s="11"/>
      <c r="C30" s="23"/>
      <c r="D30" s="186"/>
      <c r="E30" s="186"/>
      <c r="F30" s="186"/>
      <c r="G30" s="186"/>
      <c r="H30" s="188"/>
      <c r="I30" s="35"/>
      <c r="J30" s="187"/>
      <c r="K30" s="239"/>
      <c r="L30" s="35"/>
      <c r="M30" s="47">
        <f t="shared" si="1"/>
      </c>
      <c r="N30" s="190"/>
      <c r="O30" s="191"/>
      <c r="P30" s="550"/>
      <c r="Q30" s="190"/>
      <c r="R30" s="193">
        <f t="shared" si="6"/>
        <v>0</v>
      </c>
      <c r="S30" s="190"/>
      <c r="T30" s="47">
        <f t="shared" si="0"/>
      </c>
      <c r="U30" s="47">
        <f>IF(E30=0,"",+T30*tab!G$87)</f>
      </c>
      <c r="V30" s="46">
        <f t="shared" si="2"/>
        <v>0</v>
      </c>
      <c r="W30" s="49"/>
      <c r="X30" s="76">
        <f>IF(P30="",0,M30*12*P30*IF(OR(J30&lt;=8,J30="ID1",J30="ID2",J30="ID3"),1+tab!H$89,1+tab!G$89))</f>
        <v>0</v>
      </c>
      <c r="Y30" s="190"/>
      <c r="Z30" s="158">
        <f t="shared" si="3"/>
        <v>0</v>
      </c>
      <c r="AA30" s="76">
        <f t="shared" si="4"/>
        <v>0</v>
      </c>
      <c r="AB30" s="49"/>
      <c r="AC30" s="47">
        <f t="shared" si="5"/>
        <v>0</v>
      </c>
      <c r="AD30" s="49"/>
      <c r="AE30" s="12"/>
      <c r="AF30" s="10"/>
      <c r="AG30" s="10"/>
      <c r="AH30" s="10"/>
      <c r="AI30" s="10"/>
      <c r="AJ30" s="187"/>
      <c r="AK30" s="194"/>
      <c r="AS30" s="187"/>
      <c r="AT30" s="194"/>
      <c r="BA30" s="462" t="s">
        <v>199</v>
      </c>
    </row>
    <row r="31" spans="2:53" s="185" customFormat="1" ht="12.75" customHeight="1">
      <c r="B31" s="11"/>
      <c r="C31" s="23"/>
      <c r="D31" s="186"/>
      <c r="E31" s="186"/>
      <c r="F31" s="186"/>
      <c r="G31" s="186"/>
      <c r="H31" s="188"/>
      <c r="I31" s="35"/>
      <c r="J31" s="187"/>
      <c r="K31" s="239"/>
      <c r="L31" s="35"/>
      <c r="M31" s="47">
        <f t="shared" si="1"/>
      </c>
      <c r="N31" s="190"/>
      <c r="O31" s="191"/>
      <c r="P31" s="550"/>
      <c r="Q31" s="190"/>
      <c r="R31" s="193">
        <f t="shared" si="6"/>
        <v>0</v>
      </c>
      <c r="S31" s="190"/>
      <c r="T31" s="47">
        <f t="shared" si="0"/>
      </c>
      <c r="U31" s="47">
        <f>IF(E31=0,"",+T31*tab!G$87)</f>
      </c>
      <c r="V31" s="46">
        <f t="shared" si="2"/>
        <v>0</v>
      </c>
      <c r="W31" s="49"/>
      <c r="X31" s="76">
        <f>IF(P31="",0,M31*12*P31*IF(OR(J31&lt;=8,J31="ID1",J31="ID2",J31="ID3"),1+tab!H$89,1+tab!G$89))</f>
        <v>0</v>
      </c>
      <c r="Y31" s="190"/>
      <c r="Z31" s="158">
        <f t="shared" si="3"/>
        <v>0</v>
      </c>
      <c r="AA31" s="76">
        <f t="shared" si="4"/>
        <v>0</v>
      </c>
      <c r="AB31" s="49"/>
      <c r="AC31" s="47">
        <f t="shared" si="5"/>
        <v>0</v>
      </c>
      <c r="AD31" s="49"/>
      <c r="AE31" s="12"/>
      <c r="AF31" s="10"/>
      <c r="AG31" s="10"/>
      <c r="AH31" s="10"/>
      <c r="AI31" s="10"/>
      <c r="AJ31" s="187"/>
      <c r="AK31" s="194"/>
      <c r="AS31" s="187"/>
      <c r="AT31" s="194"/>
      <c r="BA31" s="462" t="s">
        <v>200</v>
      </c>
    </row>
    <row r="32" spans="2:53" s="185" customFormat="1" ht="12.75" customHeight="1">
      <c r="B32" s="11"/>
      <c r="C32" s="23"/>
      <c r="D32" s="186"/>
      <c r="E32" s="186"/>
      <c r="F32" s="186"/>
      <c r="G32" s="186"/>
      <c r="H32" s="188"/>
      <c r="I32" s="35"/>
      <c r="J32" s="187"/>
      <c r="K32" s="239"/>
      <c r="L32" s="35"/>
      <c r="M32" s="47">
        <f t="shared" si="1"/>
      </c>
      <c r="N32" s="190"/>
      <c r="O32" s="191"/>
      <c r="P32" s="550"/>
      <c r="Q32" s="190"/>
      <c r="R32" s="193">
        <f t="shared" si="6"/>
        <v>0</v>
      </c>
      <c r="S32" s="190"/>
      <c r="T32" s="47">
        <f t="shared" si="0"/>
      </c>
      <c r="U32" s="47">
        <f>IF(E32=0,"",+T32*tab!G$87)</f>
      </c>
      <c r="V32" s="46">
        <f t="shared" si="2"/>
        <v>0</v>
      </c>
      <c r="W32" s="49"/>
      <c r="X32" s="76">
        <f>IF(P32="",0,M32*12*P32*IF(OR(J32&lt;=8,J32="ID1",J32="ID2",J32="ID3"),1+tab!H$89,1+tab!G$89))</f>
        <v>0</v>
      </c>
      <c r="Y32" s="190"/>
      <c r="Z32" s="158">
        <f t="shared" si="3"/>
        <v>0</v>
      </c>
      <c r="AA32" s="76">
        <f t="shared" si="4"/>
        <v>0</v>
      </c>
      <c r="AB32" s="49"/>
      <c r="AC32" s="47">
        <f t="shared" si="5"/>
        <v>0</v>
      </c>
      <c r="AD32" s="49"/>
      <c r="AE32" s="12"/>
      <c r="AF32" s="10"/>
      <c r="AG32" s="10"/>
      <c r="AH32" s="10"/>
      <c r="AI32" s="10"/>
      <c r="AJ32" s="187"/>
      <c r="AK32" s="194"/>
      <c r="AS32" s="187"/>
      <c r="AT32" s="194"/>
      <c r="BA32" s="462" t="s">
        <v>201</v>
      </c>
    </row>
    <row r="33" spans="2:53" s="185" customFormat="1" ht="12.75" customHeight="1">
      <c r="B33" s="11"/>
      <c r="C33" s="23"/>
      <c r="D33" s="186"/>
      <c r="E33" s="186"/>
      <c r="F33" s="186"/>
      <c r="G33" s="186"/>
      <c r="H33" s="188"/>
      <c r="I33" s="35"/>
      <c r="J33" s="187"/>
      <c r="K33" s="239"/>
      <c r="L33" s="35"/>
      <c r="M33" s="47">
        <f t="shared" si="1"/>
      </c>
      <c r="N33" s="190"/>
      <c r="O33" s="191"/>
      <c r="P33" s="550"/>
      <c r="Q33" s="190"/>
      <c r="R33" s="193">
        <f t="shared" si="6"/>
        <v>0</v>
      </c>
      <c r="S33" s="190"/>
      <c r="T33" s="47">
        <f t="shared" si="0"/>
      </c>
      <c r="U33" s="47">
        <f>IF(E33=0,"",+T33*tab!G$87)</f>
      </c>
      <c r="V33" s="46">
        <f t="shared" si="2"/>
        <v>0</v>
      </c>
      <c r="W33" s="49"/>
      <c r="X33" s="76">
        <f>IF(P33="",0,M33*12*P33*IF(OR(J33&lt;=8,J33="ID1",J33="ID2",J33="ID3"),1+tab!H$89,1+tab!G$89))</f>
        <v>0</v>
      </c>
      <c r="Y33" s="190"/>
      <c r="Z33" s="158">
        <f t="shared" si="3"/>
        <v>0</v>
      </c>
      <c r="AA33" s="76">
        <f t="shared" si="4"/>
        <v>0</v>
      </c>
      <c r="AB33" s="49"/>
      <c r="AC33" s="47">
        <f t="shared" si="5"/>
        <v>0</v>
      </c>
      <c r="AD33" s="49"/>
      <c r="AE33" s="12"/>
      <c r="AF33" s="10"/>
      <c r="AG33" s="10"/>
      <c r="AH33" s="10"/>
      <c r="AI33" s="10"/>
      <c r="AJ33" s="187"/>
      <c r="AK33" s="194"/>
      <c r="AS33" s="187"/>
      <c r="AT33" s="194"/>
      <c r="BA33" s="462" t="s">
        <v>202</v>
      </c>
    </row>
    <row r="34" spans="2:53" s="185" customFormat="1" ht="12.75" customHeight="1">
      <c r="B34" s="11"/>
      <c r="C34" s="23"/>
      <c r="D34" s="186"/>
      <c r="E34" s="186"/>
      <c r="F34" s="186"/>
      <c r="G34" s="186"/>
      <c r="H34" s="188"/>
      <c r="I34" s="35"/>
      <c r="J34" s="187"/>
      <c r="K34" s="239"/>
      <c r="L34" s="35"/>
      <c r="M34" s="47">
        <f t="shared" si="1"/>
      </c>
      <c r="N34" s="190"/>
      <c r="O34" s="191"/>
      <c r="P34" s="550"/>
      <c r="Q34" s="190"/>
      <c r="R34" s="193">
        <f t="shared" si="6"/>
        <v>0</v>
      </c>
      <c r="S34" s="190"/>
      <c r="T34" s="47">
        <f t="shared" si="0"/>
      </c>
      <c r="U34" s="47">
        <f>IF(E34=0,"",+T34*tab!G$87)</f>
      </c>
      <c r="V34" s="46">
        <f t="shared" si="2"/>
        <v>0</v>
      </c>
      <c r="W34" s="49"/>
      <c r="X34" s="76">
        <f>IF(P34="",0,M34*12*P34*IF(OR(J34&lt;=8,J34="ID1",J34="ID2",J34="ID3"),1+tab!H$89,1+tab!G$89))</f>
        <v>0</v>
      </c>
      <c r="Y34" s="190"/>
      <c r="Z34" s="158">
        <f t="shared" si="3"/>
        <v>0</v>
      </c>
      <c r="AA34" s="76">
        <f t="shared" si="4"/>
        <v>0</v>
      </c>
      <c r="AB34" s="49"/>
      <c r="AC34" s="47">
        <f t="shared" si="5"/>
        <v>0</v>
      </c>
      <c r="AD34" s="49"/>
      <c r="AE34" s="12"/>
      <c r="AF34" s="10"/>
      <c r="AG34" s="10"/>
      <c r="AH34" s="10"/>
      <c r="AI34" s="10"/>
      <c r="AJ34" s="187"/>
      <c r="AK34" s="194"/>
      <c r="AS34" s="187"/>
      <c r="AT34" s="194"/>
      <c r="BA34" s="463">
        <v>1</v>
      </c>
    </row>
    <row r="35" spans="2:53" s="185" customFormat="1" ht="12.75" customHeight="1">
      <c r="B35" s="11"/>
      <c r="C35" s="23"/>
      <c r="D35" s="186"/>
      <c r="E35" s="186"/>
      <c r="F35" s="186"/>
      <c r="G35" s="186"/>
      <c r="H35" s="188"/>
      <c r="I35" s="35"/>
      <c r="J35" s="187"/>
      <c r="K35" s="239"/>
      <c r="L35" s="35"/>
      <c r="M35" s="47">
        <f t="shared" si="1"/>
      </c>
      <c r="N35" s="190"/>
      <c r="O35" s="191"/>
      <c r="P35" s="550"/>
      <c r="Q35" s="190"/>
      <c r="R35" s="193">
        <f t="shared" si="6"/>
        <v>0</v>
      </c>
      <c r="S35" s="190"/>
      <c r="T35" s="47">
        <f t="shared" si="0"/>
      </c>
      <c r="U35" s="47">
        <f>IF(E35=0,"",+T35*tab!G$87)</f>
      </c>
      <c r="V35" s="46">
        <f t="shared" si="2"/>
        <v>0</v>
      </c>
      <c r="W35" s="49"/>
      <c r="X35" s="76">
        <f>IF(P35="",0,M35*12*P35*IF(OR(J35&lt;=8,J35="ID1",J35="ID2",J35="ID3"),1+tab!H$89,1+tab!G$89))</f>
        <v>0</v>
      </c>
      <c r="Y35" s="190"/>
      <c r="Z35" s="158">
        <f t="shared" si="3"/>
        <v>0</v>
      </c>
      <c r="AA35" s="76">
        <f t="shared" si="4"/>
        <v>0</v>
      </c>
      <c r="AB35" s="49"/>
      <c r="AC35" s="47">
        <f t="shared" si="5"/>
        <v>0</v>
      </c>
      <c r="AD35" s="49"/>
      <c r="AE35" s="12"/>
      <c r="AF35" s="10"/>
      <c r="AG35" s="10"/>
      <c r="AH35" s="10"/>
      <c r="AI35" s="10"/>
      <c r="AJ35" s="187"/>
      <c r="AK35" s="194"/>
      <c r="AS35" s="187"/>
      <c r="AT35" s="194"/>
      <c r="BA35" s="463">
        <v>2</v>
      </c>
    </row>
    <row r="36" spans="2:53" s="185" customFormat="1" ht="12.75" customHeight="1">
      <c r="B36" s="11"/>
      <c r="C36" s="23"/>
      <c r="D36" s="186"/>
      <c r="E36" s="186"/>
      <c r="F36" s="186"/>
      <c r="G36" s="186"/>
      <c r="H36" s="188"/>
      <c r="I36" s="35"/>
      <c r="J36" s="187"/>
      <c r="K36" s="239"/>
      <c r="L36" s="35"/>
      <c r="M36" s="47">
        <f aca="true" t="shared" si="7" ref="M36:M65">IF(J36="","",VLOOKUP(J36,tabelsalaris,K36+1,FALSE))</f>
      </c>
      <c r="N36" s="190"/>
      <c r="O36" s="191"/>
      <c r="P36" s="550"/>
      <c r="Q36" s="190"/>
      <c r="R36" s="193">
        <f aca="true" t="shared" si="8" ref="R36:R65">IF(P36="",O36,O36-P36)</f>
        <v>0</v>
      </c>
      <c r="S36" s="190"/>
      <c r="T36" s="47">
        <f aca="true" t="shared" si="9" ref="T36:T65">IF(E36=0,"",(M36*R36*12))</f>
      </c>
      <c r="U36" s="47">
        <f>IF(E36=0,"",+T36*tab!G$87)</f>
      </c>
      <c r="V36" s="46">
        <f t="shared" si="2"/>
        <v>0</v>
      </c>
      <c r="W36" s="49"/>
      <c r="X36" s="76">
        <f>IF(P36="",0,M36*12*P36*IF(OR(J36&lt;=8,J36="ID1",J36="ID2",J36="ID3"),1+tab!H$89,1+tab!G$89))</f>
        <v>0</v>
      </c>
      <c r="Y36" s="190"/>
      <c r="Z36" s="158">
        <f t="shared" si="3"/>
        <v>0</v>
      </c>
      <c r="AA36" s="76">
        <f t="shared" si="4"/>
        <v>0</v>
      </c>
      <c r="AB36" s="49"/>
      <c r="AC36" s="47">
        <f t="shared" si="5"/>
        <v>0</v>
      </c>
      <c r="AD36" s="49"/>
      <c r="AE36" s="12"/>
      <c r="AF36" s="10"/>
      <c r="AG36" s="10"/>
      <c r="AH36" s="10"/>
      <c r="AI36" s="10"/>
      <c r="AJ36" s="187"/>
      <c r="AK36" s="194"/>
      <c r="AS36" s="187"/>
      <c r="AT36" s="194"/>
      <c r="BA36" s="463">
        <v>3</v>
      </c>
    </row>
    <row r="37" spans="2:53" s="185" customFormat="1" ht="12.75" customHeight="1">
      <c r="B37" s="11"/>
      <c r="C37" s="23"/>
      <c r="D37" s="186"/>
      <c r="E37" s="186"/>
      <c r="F37" s="186"/>
      <c r="G37" s="186"/>
      <c r="H37" s="188"/>
      <c r="I37" s="35"/>
      <c r="J37" s="187"/>
      <c r="K37" s="239"/>
      <c r="L37" s="35"/>
      <c r="M37" s="47">
        <f t="shared" si="7"/>
      </c>
      <c r="N37" s="190"/>
      <c r="O37" s="191"/>
      <c r="P37" s="550"/>
      <c r="Q37" s="190"/>
      <c r="R37" s="193">
        <f t="shared" si="8"/>
        <v>0</v>
      </c>
      <c r="S37" s="190"/>
      <c r="T37" s="47">
        <f t="shared" si="9"/>
      </c>
      <c r="U37" s="47">
        <f>IF(E37=0,"",+T37*tab!G$87)</f>
      </c>
      <c r="V37" s="46">
        <f t="shared" si="2"/>
        <v>0</v>
      </c>
      <c r="W37" s="49"/>
      <c r="X37" s="76">
        <f>IF(P37="",0,M37*12*P37*IF(OR(J37&lt;=8,J37="ID1",J37="ID2",J37="ID3"),1+tab!H$89,1+tab!G$89))</f>
        <v>0</v>
      </c>
      <c r="Y37" s="190"/>
      <c r="Z37" s="158">
        <f t="shared" si="3"/>
        <v>0</v>
      </c>
      <c r="AA37" s="76">
        <f t="shared" si="4"/>
        <v>0</v>
      </c>
      <c r="AB37" s="49"/>
      <c r="AC37" s="47">
        <f t="shared" si="5"/>
        <v>0</v>
      </c>
      <c r="AD37" s="49"/>
      <c r="AE37" s="12"/>
      <c r="AF37" s="10"/>
      <c r="AG37" s="10"/>
      <c r="AH37" s="10"/>
      <c r="AI37" s="10"/>
      <c r="AJ37" s="187"/>
      <c r="AK37" s="194"/>
      <c r="AS37" s="187"/>
      <c r="AT37" s="194"/>
      <c r="BA37" s="463">
        <v>4</v>
      </c>
    </row>
    <row r="38" spans="2:53" s="185" customFormat="1" ht="12.75" customHeight="1">
      <c r="B38" s="11"/>
      <c r="C38" s="23"/>
      <c r="D38" s="186"/>
      <c r="E38" s="186"/>
      <c r="F38" s="186"/>
      <c r="G38" s="186"/>
      <c r="H38" s="188"/>
      <c r="I38" s="35"/>
      <c r="J38" s="187"/>
      <c r="K38" s="239"/>
      <c r="L38" s="35"/>
      <c r="M38" s="47">
        <f t="shared" si="7"/>
      </c>
      <c r="N38" s="190"/>
      <c r="O38" s="191"/>
      <c r="P38" s="550"/>
      <c r="Q38" s="190"/>
      <c r="R38" s="193">
        <f t="shared" si="8"/>
        <v>0</v>
      </c>
      <c r="S38" s="190"/>
      <c r="T38" s="47">
        <f t="shared" si="9"/>
      </c>
      <c r="U38" s="47">
        <f>IF(E38=0,"",+T38*tab!G$87)</f>
      </c>
      <c r="V38" s="46">
        <f t="shared" si="2"/>
        <v>0</v>
      </c>
      <c r="W38" s="49"/>
      <c r="X38" s="76">
        <f>IF(P38="",0,M38*12*P38*IF(OR(J38&lt;=8,J38="ID1",J38="ID2",J38="ID3"),1+tab!H$89,1+tab!G$89))</f>
        <v>0</v>
      </c>
      <c r="Y38" s="190"/>
      <c r="Z38" s="158">
        <f t="shared" si="3"/>
        <v>0</v>
      </c>
      <c r="AA38" s="76">
        <f t="shared" si="4"/>
        <v>0</v>
      </c>
      <c r="AB38" s="49"/>
      <c r="AC38" s="47">
        <f t="shared" si="5"/>
        <v>0</v>
      </c>
      <c r="AD38" s="49"/>
      <c r="AE38" s="12"/>
      <c r="AF38" s="10"/>
      <c r="AG38" s="10"/>
      <c r="AH38" s="10"/>
      <c r="AI38" s="10"/>
      <c r="AJ38" s="187"/>
      <c r="AK38" s="194"/>
      <c r="AS38" s="187"/>
      <c r="AT38" s="194"/>
      <c r="BA38" s="463">
        <v>5</v>
      </c>
    </row>
    <row r="39" spans="2:53" s="185" customFormat="1" ht="12.75" customHeight="1">
      <c r="B39" s="11"/>
      <c r="C39" s="23"/>
      <c r="D39" s="186"/>
      <c r="E39" s="186"/>
      <c r="F39" s="186"/>
      <c r="G39" s="186"/>
      <c r="H39" s="188"/>
      <c r="I39" s="35"/>
      <c r="J39" s="187"/>
      <c r="K39" s="239"/>
      <c r="L39" s="35"/>
      <c r="M39" s="47">
        <f t="shared" si="7"/>
      </c>
      <c r="N39" s="190"/>
      <c r="O39" s="191"/>
      <c r="P39" s="550"/>
      <c r="Q39" s="190"/>
      <c r="R39" s="193">
        <f t="shared" si="8"/>
        <v>0</v>
      </c>
      <c r="S39" s="190"/>
      <c r="T39" s="47">
        <f t="shared" si="9"/>
      </c>
      <c r="U39" s="47">
        <f>IF(E39=0,"",+T39*tab!G$87)</f>
      </c>
      <c r="V39" s="46">
        <f t="shared" si="2"/>
        <v>0</v>
      </c>
      <c r="W39" s="49"/>
      <c r="X39" s="76">
        <f>IF(P39="",0,M39*12*P39*IF(OR(J39&lt;=8,J39="ID1",J39="ID2",J39="ID3"),1+tab!H$89,1+tab!G$89))</f>
        <v>0</v>
      </c>
      <c r="Y39" s="190"/>
      <c r="Z39" s="158">
        <f t="shared" si="3"/>
        <v>0</v>
      </c>
      <c r="AA39" s="76">
        <f t="shared" si="4"/>
        <v>0</v>
      </c>
      <c r="AB39" s="49"/>
      <c r="AC39" s="47">
        <f t="shared" si="5"/>
        <v>0</v>
      </c>
      <c r="AD39" s="49"/>
      <c r="AE39" s="12"/>
      <c r="AF39" s="10"/>
      <c r="AG39" s="10"/>
      <c r="AH39" s="10"/>
      <c r="AI39" s="10"/>
      <c r="AJ39" s="187"/>
      <c r="AK39" s="194"/>
      <c r="AS39" s="187"/>
      <c r="AT39" s="194"/>
      <c r="BA39" s="463">
        <v>6</v>
      </c>
    </row>
    <row r="40" spans="2:53" s="185" customFormat="1" ht="12.75" customHeight="1">
      <c r="B40" s="11"/>
      <c r="C40" s="23"/>
      <c r="D40" s="186"/>
      <c r="E40" s="186"/>
      <c r="F40" s="186"/>
      <c r="G40" s="186"/>
      <c r="H40" s="188"/>
      <c r="I40" s="35"/>
      <c r="J40" s="187"/>
      <c r="K40" s="239"/>
      <c r="L40" s="35"/>
      <c r="M40" s="47">
        <f t="shared" si="7"/>
      </c>
      <c r="N40" s="190"/>
      <c r="O40" s="191"/>
      <c r="P40" s="550"/>
      <c r="Q40" s="190"/>
      <c r="R40" s="193">
        <f t="shared" si="8"/>
        <v>0</v>
      </c>
      <c r="S40" s="190"/>
      <c r="T40" s="47">
        <f t="shared" si="9"/>
      </c>
      <c r="U40" s="47">
        <f>IF(E40=0,"",+T40*tab!G$87)</f>
      </c>
      <c r="V40" s="46">
        <f t="shared" si="2"/>
        <v>0</v>
      </c>
      <c r="W40" s="49"/>
      <c r="X40" s="76">
        <f>IF(P40="",0,M40*12*P40*IF(OR(J40&lt;=8,J40="ID1",J40="ID2",J40="ID3"),1+tab!H$89,1+tab!G$89))</f>
        <v>0</v>
      </c>
      <c r="Y40" s="190"/>
      <c r="Z40" s="158">
        <f t="shared" si="3"/>
        <v>0</v>
      </c>
      <c r="AA40" s="76">
        <f t="shared" si="4"/>
        <v>0</v>
      </c>
      <c r="AB40" s="49"/>
      <c r="AC40" s="47">
        <f t="shared" si="5"/>
        <v>0</v>
      </c>
      <c r="AD40" s="49"/>
      <c r="AE40" s="12"/>
      <c r="AF40" s="10"/>
      <c r="AG40" s="10"/>
      <c r="AH40" s="10"/>
      <c r="AI40" s="10"/>
      <c r="AJ40" s="187"/>
      <c r="AK40" s="194"/>
      <c r="AS40" s="187"/>
      <c r="AT40" s="194"/>
      <c r="BA40" s="463">
        <v>7</v>
      </c>
    </row>
    <row r="41" spans="2:53" s="185" customFormat="1" ht="12.75" customHeight="1">
      <c r="B41" s="11"/>
      <c r="C41" s="23"/>
      <c r="D41" s="186"/>
      <c r="E41" s="186"/>
      <c r="F41" s="186"/>
      <c r="G41" s="186"/>
      <c r="H41" s="188"/>
      <c r="I41" s="35"/>
      <c r="J41" s="187"/>
      <c r="K41" s="239"/>
      <c r="L41" s="35"/>
      <c r="M41" s="47">
        <f t="shared" si="7"/>
      </c>
      <c r="N41" s="190"/>
      <c r="O41" s="191"/>
      <c r="P41" s="550"/>
      <c r="Q41" s="190"/>
      <c r="R41" s="193">
        <f t="shared" si="8"/>
        <v>0</v>
      </c>
      <c r="S41" s="190"/>
      <c r="T41" s="47">
        <f t="shared" si="9"/>
      </c>
      <c r="U41" s="47">
        <f>IF(E41=0,"",+T41*tab!G$87)</f>
      </c>
      <c r="V41" s="46">
        <f t="shared" si="2"/>
        <v>0</v>
      </c>
      <c r="W41" s="49"/>
      <c r="X41" s="76">
        <f>IF(P41="",0,M41*12*P41*IF(OR(J41&lt;=8,J41="ID1",J41="ID2",J41="ID3"),1+tab!H$89,1+tab!G$89))</f>
        <v>0</v>
      </c>
      <c r="Y41" s="190"/>
      <c r="Z41" s="158">
        <f t="shared" si="3"/>
        <v>0</v>
      </c>
      <c r="AA41" s="76">
        <f t="shared" si="4"/>
        <v>0</v>
      </c>
      <c r="AB41" s="49"/>
      <c r="AC41" s="47">
        <f t="shared" si="5"/>
        <v>0</v>
      </c>
      <c r="AD41" s="49"/>
      <c r="AE41" s="12"/>
      <c r="AF41" s="10"/>
      <c r="AG41" s="10"/>
      <c r="AH41" s="10"/>
      <c r="AI41" s="10"/>
      <c r="AJ41" s="187"/>
      <c r="AK41" s="194"/>
      <c r="AS41" s="187"/>
      <c r="AT41" s="194"/>
      <c r="BA41" s="463">
        <v>8</v>
      </c>
    </row>
    <row r="42" spans="2:53" s="185" customFormat="1" ht="12.75" customHeight="1">
      <c r="B42" s="11"/>
      <c r="C42" s="23"/>
      <c r="D42" s="186"/>
      <c r="E42" s="186"/>
      <c r="F42" s="186"/>
      <c r="G42" s="186"/>
      <c r="H42" s="188"/>
      <c r="I42" s="35"/>
      <c r="J42" s="187"/>
      <c r="K42" s="239"/>
      <c r="L42" s="35"/>
      <c r="M42" s="47">
        <f t="shared" si="7"/>
      </c>
      <c r="N42" s="190"/>
      <c r="O42" s="191"/>
      <c r="P42" s="550"/>
      <c r="Q42" s="190"/>
      <c r="R42" s="193">
        <f t="shared" si="8"/>
        <v>0</v>
      </c>
      <c r="S42" s="190"/>
      <c r="T42" s="47">
        <f t="shared" si="9"/>
      </c>
      <c r="U42" s="47">
        <f>IF(E42=0,"",+T42*tab!G$87)</f>
      </c>
      <c r="V42" s="46">
        <f t="shared" si="2"/>
        <v>0</v>
      </c>
      <c r="W42" s="49"/>
      <c r="X42" s="76">
        <f>IF(P42="",0,M42*12*P42*IF(OR(J42&lt;=8,J42="ID1",J42="ID2",J42="ID3"),1+tab!H$89,1+tab!G$89))</f>
        <v>0</v>
      </c>
      <c r="Y42" s="190"/>
      <c r="Z42" s="158">
        <f t="shared" si="3"/>
        <v>0</v>
      </c>
      <c r="AA42" s="76">
        <f t="shared" si="4"/>
        <v>0</v>
      </c>
      <c r="AB42" s="49"/>
      <c r="AC42" s="47">
        <f t="shared" si="5"/>
        <v>0</v>
      </c>
      <c r="AD42" s="49"/>
      <c r="AE42" s="12"/>
      <c r="AF42" s="10"/>
      <c r="AG42" s="10"/>
      <c r="AH42" s="10"/>
      <c r="AI42" s="10"/>
      <c r="AJ42" s="187"/>
      <c r="AK42" s="194"/>
      <c r="AS42" s="187"/>
      <c r="AT42" s="194"/>
      <c r="BA42" s="463">
        <v>9</v>
      </c>
    </row>
    <row r="43" spans="2:53" s="185" customFormat="1" ht="12.75" customHeight="1">
      <c r="B43" s="11"/>
      <c r="C43" s="23"/>
      <c r="D43" s="186"/>
      <c r="E43" s="186"/>
      <c r="F43" s="186"/>
      <c r="G43" s="186"/>
      <c r="H43" s="188"/>
      <c r="I43" s="35"/>
      <c r="J43" s="187"/>
      <c r="K43" s="239"/>
      <c r="L43" s="35"/>
      <c r="M43" s="47">
        <f t="shared" si="7"/>
      </c>
      <c r="N43" s="190"/>
      <c r="O43" s="191"/>
      <c r="P43" s="550"/>
      <c r="Q43" s="190"/>
      <c r="R43" s="193">
        <f t="shared" si="8"/>
        <v>0</v>
      </c>
      <c r="S43" s="190"/>
      <c r="T43" s="47">
        <f t="shared" si="9"/>
      </c>
      <c r="U43" s="47">
        <f>IF(E43=0,"",+T43*tab!G$87)</f>
      </c>
      <c r="V43" s="46">
        <f t="shared" si="2"/>
        <v>0</v>
      </c>
      <c r="W43" s="49"/>
      <c r="X43" s="76">
        <f>IF(P43="",0,M43*12*P43*IF(OR(J43&lt;=8,J43="ID1",J43="ID2",J43="ID3"),1+tab!H$89,1+tab!G$89))</f>
        <v>0</v>
      </c>
      <c r="Y43" s="190"/>
      <c r="Z43" s="158">
        <f t="shared" si="3"/>
        <v>0</v>
      </c>
      <c r="AA43" s="76">
        <f t="shared" si="4"/>
        <v>0</v>
      </c>
      <c r="AB43" s="49"/>
      <c r="AC43" s="47">
        <f t="shared" si="5"/>
        <v>0</v>
      </c>
      <c r="AD43" s="49"/>
      <c r="AE43" s="12"/>
      <c r="AF43" s="10"/>
      <c r="AG43" s="10"/>
      <c r="AH43" s="10"/>
      <c r="AI43" s="10"/>
      <c r="AJ43" s="187"/>
      <c r="AK43" s="194"/>
      <c r="AS43" s="187"/>
      <c r="AT43" s="194"/>
      <c r="BA43" s="463">
        <v>10</v>
      </c>
    </row>
    <row r="44" spans="2:53" s="185" customFormat="1" ht="12.75" customHeight="1">
      <c r="B44" s="11"/>
      <c r="C44" s="23"/>
      <c r="D44" s="186"/>
      <c r="E44" s="186"/>
      <c r="F44" s="186"/>
      <c r="G44" s="186"/>
      <c r="H44" s="188"/>
      <c r="I44" s="35"/>
      <c r="J44" s="187"/>
      <c r="K44" s="239"/>
      <c r="L44" s="35"/>
      <c r="M44" s="47">
        <f t="shared" si="7"/>
      </c>
      <c r="N44" s="190"/>
      <c r="O44" s="191"/>
      <c r="P44" s="550"/>
      <c r="Q44" s="190"/>
      <c r="R44" s="193">
        <f t="shared" si="8"/>
        <v>0</v>
      </c>
      <c r="S44" s="190"/>
      <c r="T44" s="47">
        <f t="shared" si="9"/>
      </c>
      <c r="U44" s="47">
        <f>IF(E44=0,"",+T44*tab!G$87)</f>
      </c>
      <c r="V44" s="46">
        <f t="shared" si="2"/>
        <v>0</v>
      </c>
      <c r="W44" s="49"/>
      <c r="X44" s="76">
        <f>IF(P44="",0,M44*12*P44*IF(OR(J44&lt;=8,J44="ID1",J44="ID2",J44="ID3"),1+tab!H$89,1+tab!G$89))</f>
        <v>0</v>
      </c>
      <c r="Y44" s="190"/>
      <c r="Z44" s="158">
        <f t="shared" si="3"/>
        <v>0</v>
      </c>
      <c r="AA44" s="76">
        <f t="shared" si="4"/>
        <v>0</v>
      </c>
      <c r="AB44" s="49"/>
      <c r="AC44" s="47">
        <f t="shared" si="5"/>
        <v>0</v>
      </c>
      <c r="AD44" s="49"/>
      <c r="AE44" s="12"/>
      <c r="AF44" s="10"/>
      <c r="AG44" s="10"/>
      <c r="AH44" s="10"/>
      <c r="AI44" s="10"/>
      <c r="AJ44" s="187"/>
      <c r="AK44" s="194"/>
      <c r="AS44" s="187"/>
      <c r="AT44" s="194"/>
      <c r="BA44" s="463">
        <v>11</v>
      </c>
    </row>
    <row r="45" spans="2:53" s="185" customFormat="1" ht="12.75" customHeight="1">
      <c r="B45" s="11"/>
      <c r="C45" s="23"/>
      <c r="D45" s="186"/>
      <c r="E45" s="186"/>
      <c r="F45" s="186"/>
      <c r="G45" s="186"/>
      <c r="H45" s="188"/>
      <c r="I45" s="35"/>
      <c r="J45" s="187"/>
      <c r="K45" s="239"/>
      <c r="L45" s="35"/>
      <c r="M45" s="47">
        <f t="shared" si="7"/>
      </c>
      <c r="N45" s="190"/>
      <c r="O45" s="191"/>
      <c r="P45" s="550"/>
      <c r="Q45" s="190"/>
      <c r="R45" s="193">
        <f t="shared" si="8"/>
        <v>0</v>
      </c>
      <c r="S45" s="190"/>
      <c r="T45" s="47">
        <f t="shared" si="9"/>
      </c>
      <c r="U45" s="47">
        <f>IF(E45=0,"",+T45*tab!G$87)</f>
      </c>
      <c r="V45" s="46">
        <f t="shared" si="2"/>
        <v>0</v>
      </c>
      <c r="W45" s="49"/>
      <c r="X45" s="76">
        <f>IF(P45="",0,M45*12*P45*IF(OR(J45&lt;=8,J45="ID1",J45="ID2",J45="ID3"),1+tab!H$89,1+tab!G$89))</f>
        <v>0</v>
      </c>
      <c r="Y45" s="190"/>
      <c r="Z45" s="158">
        <f t="shared" si="3"/>
        <v>0</v>
      </c>
      <c r="AA45" s="76">
        <f t="shared" si="4"/>
        <v>0</v>
      </c>
      <c r="AB45" s="49"/>
      <c r="AC45" s="47">
        <f t="shared" si="5"/>
        <v>0</v>
      </c>
      <c r="AD45" s="49"/>
      <c r="AE45" s="12"/>
      <c r="AF45" s="10"/>
      <c r="AG45" s="10"/>
      <c r="AH45" s="10"/>
      <c r="AI45" s="10"/>
      <c r="AJ45" s="187"/>
      <c r="AK45" s="194"/>
      <c r="AS45" s="187"/>
      <c r="AT45" s="194"/>
      <c r="BA45" s="463">
        <v>12</v>
      </c>
    </row>
    <row r="46" spans="2:53" s="185" customFormat="1" ht="12.75" customHeight="1">
      <c r="B46" s="11"/>
      <c r="C46" s="23"/>
      <c r="D46" s="186"/>
      <c r="E46" s="186"/>
      <c r="F46" s="186"/>
      <c r="G46" s="186"/>
      <c r="H46" s="188"/>
      <c r="I46" s="35"/>
      <c r="J46" s="187"/>
      <c r="K46" s="239"/>
      <c r="L46" s="35"/>
      <c r="M46" s="47">
        <f t="shared" si="7"/>
      </c>
      <c r="N46" s="190"/>
      <c r="O46" s="191"/>
      <c r="P46" s="550"/>
      <c r="Q46" s="190"/>
      <c r="R46" s="193">
        <f t="shared" si="8"/>
        <v>0</v>
      </c>
      <c r="S46" s="190"/>
      <c r="T46" s="47">
        <f t="shared" si="9"/>
      </c>
      <c r="U46" s="47">
        <f>IF(E46=0,"",+T46*tab!G$87)</f>
      </c>
      <c r="V46" s="46">
        <f t="shared" si="2"/>
        <v>0</v>
      </c>
      <c r="W46" s="49"/>
      <c r="X46" s="76">
        <f>IF(P46="",0,M46*12*P46*IF(OR(J46&lt;=8,J46="ID1",J46="ID2",J46="ID3"),1+tab!H$89,1+tab!G$89))</f>
        <v>0</v>
      </c>
      <c r="Y46" s="190"/>
      <c r="Z46" s="158">
        <f t="shared" si="3"/>
        <v>0</v>
      </c>
      <c r="AA46" s="76">
        <f t="shared" si="4"/>
        <v>0</v>
      </c>
      <c r="AB46" s="49"/>
      <c r="AC46" s="47">
        <f t="shared" si="5"/>
        <v>0</v>
      </c>
      <c r="AD46" s="49"/>
      <c r="AE46" s="12"/>
      <c r="AF46" s="10"/>
      <c r="AG46" s="10"/>
      <c r="AH46" s="10"/>
      <c r="AI46" s="10"/>
      <c r="AJ46" s="187"/>
      <c r="AK46" s="194"/>
      <c r="AS46" s="187"/>
      <c r="AT46" s="194"/>
      <c r="BA46" s="463">
        <v>13</v>
      </c>
    </row>
    <row r="47" spans="2:53" s="185" customFormat="1" ht="12.75" customHeight="1">
      <c r="B47" s="11"/>
      <c r="C47" s="23"/>
      <c r="D47" s="186"/>
      <c r="E47" s="186"/>
      <c r="F47" s="186"/>
      <c r="G47" s="186"/>
      <c r="H47" s="188"/>
      <c r="I47" s="35"/>
      <c r="J47" s="187"/>
      <c r="K47" s="239"/>
      <c r="L47" s="35"/>
      <c r="M47" s="47">
        <f t="shared" si="7"/>
      </c>
      <c r="N47" s="190"/>
      <c r="O47" s="191"/>
      <c r="P47" s="550"/>
      <c r="Q47" s="190"/>
      <c r="R47" s="193">
        <f t="shared" si="8"/>
        <v>0</v>
      </c>
      <c r="S47" s="190"/>
      <c r="T47" s="47">
        <f t="shared" si="9"/>
      </c>
      <c r="U47" s="47">
        <f>IF(E47=0,"",+T47*tab!G$87)</f>
      </c>
      <c r="V47" s="46">
        <f t="shared" si="2"/>
        <v>0</v>
      </c>
      <c r="W47" s="49"/>
      <c r="X47" s="76">
        <f>IF(P47="",0,M47*12*P47*IF(OR(J47&lt;=8,J47="ID1",J47="ID2",J47="ID3"),1+tab!H$89,1+tab!G$89))</f>
        <v>0</v>
      </c>
      <c r="Y47" s="190"/>
      <c r="Z47" s="158">
        <f t="shared" si="3"/>
        <v>0</v>
      </c>
      <c r="AA47" s="76">
        <f t="shared" si="4"/>
        <v>0</v>
      </c>
      <c r="AB47" s="49"/>
      <c r="AC47" s="47">
        <f t="shared" si="5"/>
        <v>0</v>
      </c>
      <c r="AD47" s="49"/>
      <c r="AE47" s="12"/>
      <c r="AF47" s="10"/>
      <c r="AG47" s="10"/>
      <c r="AH47" s="10"/>
      <c r="AI47" s="10"/>
      <c r="AJ47" s="187"/>
      <c r="AK47" s="194"/>
      <c r="AS47" s="187"/>
      <c r="AT47" s="194"/>
      <c r="BA47" s="463">
        <v>14</v>
      </c>
    </row>
    <row r="48" spans="2:53" s="185" customFormat="1" ht="12.75" customHeight="1">
      <c r="B48" s="11"/>
      <c r="C48" s="23"/>
      <c r="D48" s="186"/>
      <c r="E48" s="186"/>
      <c r="F48" s="186"/>
      <c r="G48" s="186"/>
      <c r="H48" s="188"/>
      <c r="I48" s="35"/>
      <c r="J48" s="187"/>
      <c r="K48" s="239"/>
      <c r="L48" s="35"/>
      <c r="M48" s="47">
        <f t="shared" si="7"/>
      </c>
      <c r="N48" s="190"/>
      <c r="O48" s="191"/>
      <c r="P48" s="550"/>
      <c r="Q48" s="190"/>
      <c r="R48" s="193">
        <f t="shared" si="8"/>
        <v>0</v>
      </c>
      <c r="S48" s="190"/>
      <c r="T48" s="47">
        <f t="shared" si="9"/>
      </c>
      <c r="U48" s="47">
        <f>IF(E48=0,"",+T48*tab!G$87)</f>
      </c>
      <c r="V48" s="46">
        <f t="shared" si="2"/>
        <v>0</v>
      </c>
      <c r="W48" s="49"/>
      <c r="X48" s="76">
        <f>IF(P48="",0,M48*12*P48*IF(OR(J48&lt;=8,J48="ID1",J48="ID2",J48="ID3"),1+tab!H$89,1+tab!G$89))</f>
        <v>0</v>
      </c>
      <c r="Y48" s="190"/>
      <c r="Z48" s="158">
        <f t="shared" si="3"/>
        <v>0</v>
      </c>
      <c r="AA48" s="76">
        <f t="shared" si="4"/>
        <v>0</v>
      </c>
      <c r="AB48" s="49"/>
      <c r="AC48" s="47">
        <f t="shared" si="5"/>
        <v>0</v>
      </c>
      <c r="AD48" s="49"/>
      <c r="AE48" s="12"/>
      <c r="AF48" s="10"/>
      <c r="AG48" s="10"/>
      <c r="AH48" s="10"/>
      <c r="AI48" s="10"/>
      <c r="AJ48" s="187"/>
      <c r="AK48" s="194"/>
      <c r="AS48" s="187"/>
      <c r="AT48" s="194"/>
      <c r="BA48" s="463" t="s">
        <v>203</v>
      </c>
    </row>
    <row r="49" spans="2:53" s="185" customFormat="1" ht="12.75" customHeight="1">
      <c r="B49" s="11"/>
      <c r="C49" s="23"/>
      <c r="D49" s="186"/>
      <c r="E49" s="186"/>
      <c r="F49" s="186"/>
      <c r="G49" s="186"/>
      <c r="H49" s="188"/>
      <c r="I49" s="35"/>
      <c r="J49" s="187"/>
      <c r="K49" s="239"/>
      <c r="L49" s="35"/>
      <c r="M49" s="47">
        <f t="shared" si="7"/>
      </c>
      <c r="N49" s="190"/>
      <c r="O49" s="191"/>
      <c r="P49" s="550"/>
      <c r="Q49" s="190"/>
      <c r="R49" s="193">
        <f t="shared" si="8"/>
        <v>0</v>
      </c>
      <c r="S49" s="190"/>
      <c r="T49" s="47">
        <f t="shared" si="9"/>
      </c>
      <c r="U49" s="47">
        <f>IF(E49=0,"",+T49*tab!G$87)</f>
      </c>
      <c r="V49" s="46">
        <f t="shared" si="2"/>
        <v>0</v>
      </c>
      <c r="W49" s="49"/>
      <c r="X49" s="76">
        <f>IF(P49="",0,M49*12*P49*IF(OR(J49&lt;=8,J49="ID1",J49="ID2",J49="ID3"),1+tab!H$89,1+tab!G$89))</f>
        <v>0</v>
      </c>
      <c r="Y49" s="190"/>
      <c r="Z49" s="158">
        <f t="shared" si="3"/>
        <v>0</v>
      </c>
      <c r="AA49" s="76">
        <f t="shared" si="4"/>
        <v>0</v>
      </c>
      <c r="AB49" s="49"/>
      <c r="AC49" s="47">
        <f t="shared" si="5"/>
        <v>0</v>
      </c>
      <c r="AD49" s="49"/>
      <c r="AE49" s="12"/>
      <c r="AF49" s="10"/>
      <c r="AG49" s="10"/>
      <c r="AH49" s="10"/>
      <c r="AI49" s="10"/>
      <c r="AJ49" s="187"/>
      <c r="AK49" s="194"/>
      <c r="AS49" s="187"/>
      <c r="AT49" s="194"/>
      <c r="BA49" s="463" t="s">
        <v>204</v>
      </c>
    </row>
    <row r="50" spans="2:53" s="185" customFormat="1" ht="12.75" customHeight="1">
      <c r="B50" s="11"/>
      <c r="C50" s="23"/>
      <c r="D50" s="186"/>
      <c r="E50" s="186"/>
      <c r="F50" s="186"/>
      <c r="G50" s="186"/>
      <c r="H50" s="188"/>
      <c r="I50" s="35"/>
      <c r="J50" s="187"/>
      <c r="K50" s="239"/>
      <c r="L50" s="35"/>
      <c r="M50" s="47">
        <f t="shared" si="7"/>
      </c>
      <c r="N50" s="190"/>
      <c r="O50" s="191"/>
      <c r="P50" s="550"/>
      <c r="Q50" s="190"/>
      <c r="R50" s="193">
        <f t="shared" si="8"/>
        <v>0</v>
      </c>
      <c r="S50" s="190"/>
      <c r="T50" s="47">
        <f t="shared" si="9"/>
      </c>
      <c r="U50" s="47">
        <f>IF(E50=0,"",+T50*tab!G$87)</f>
      </c>
      <c r="V50" s="46">
        <f t="shared" si="2"/>
        <v>0</v>
      </c>
      <c r="W50" s="49"/>
      <c r="X50" s="76">
        <f>IF(P50="",0,M50*12*P50*IF(OR(J50&lt;=8,J50="ID1",J50="ID2",J50="ID3"),1+tab!H$89,1+tab!G$89))</f>
        <v>0</v>
      </c>
      <c r="Y50" s="190"/>
      <c r="Z50" s="158">
        <f t="shared" si="3"/>
        <v>0</v>
      </c>
      <c r="AA50" s="76">
        <f t="shared" si="4"/>
        <v>0</v>
      </c>
      <c r="AB50" s="49"/>
      <c r="AC50" s="47">
        <f t="shared" si="5"/>
        <v>0</v>
      </c>
      <c r="AD50" s="49"/>
      <c r="AE50" s="12"/>
      <c r="AF50" s="10"/>
      <c r="AG50" s="10"/>
      <c r="AH50" s="10"/>
      <c r="AI50" s="10"/>
      <c r="AJ50" s="187"/>
      <c r="AK50" s="194"/>
      <c r="AS50" s="187"/>
      <c r="AT50" s="194"/>
      <c r="BA50" s="463" t="s">
        <v>298</v>
      </c>
    </row>
    <row r="51" spans="2:53" s="185" customFormat="1" ht="12.75" customHeight="1">
      <c r="B51" s="11"/>
      <c r="C51" s="23"/>
      <c r="D51" s="186"/>
      <c r="E51" s="186"/>
      <c r="F51" s="186"/>
      <c r="G51" s="186"/>
      <c r="H51" s="188"/>
      <c r="I51" s="35"/>
      <c r="J51" s="187"/>
      <c r="K51" s="239"/>
      <c r="L51" s="35"/>
      <c r="M51" s="47">
        <f t="shared" si="7"/>
      </c>
      <c r="N51" s="190"/>
      <c r="O51" s="191"/>
      <c r="P51" s="550"/>
      <c r="Q51" s="190"/>
      <c r="R51" s="193">
        <f t="shared" si="8"/>
        <v>0</v>
      </c>
      <c r="S51" s="190"/>
      <c r="T51" s="47">
        <f t="shared" si="9"/>
      </c>
      <c r="U51" s="47">
        <f>IF(E51=0,"",+T51*tab!G$87)</f>
      </c>
      <c r="V51" s="46">
        <f t="shared" si="2"/>
        <v>0</v>
      </c>
      <c r="W51" s="49"/>
      <c r="X51" s="76">
        <f>IF(P51="",0,M51*12*P51*IF(OR(J51&lt;=8,J51="ID1",J51="ID2",J51="ID3"),1+tab!H$89,1+tab!G$89))</f>
        <v>0</v>
      </c>
      <c r="Y51" s="190"/>
      <c r="Z51" s="158">
        <f t="shared" si="3"/>
        <v>0</v>
      </c>
      <c r="AA51" s="76">
        <f t="shared" si="4"/>
        <v>0</v>
      </c>
      <c r="AB51" s="49"/>
      <c r="AC51" s="47">
        <f t="shared" si="5"/>
        <v>0</v>
      </c>
      <c r="AD51" s="49"/>
      <c r="AE51" s="12"/>
      <c r="AF51" s="10"/>
      <c r="AG51" s="10"/>
      <c r="AH51" s="10"/>
      <c r="AI51" s="10"/>
      <c r="AJ51" s="187"/>
      <c r="AK51" s="194"/>
      <c r="AS51" s="187"/>
      <c r="AT51" s="194"/>
      <c r="BA51" s="463" t="s">
        <v>299</v>
      </c>
    </row>
    <row r="52" spans="2:53" s="185" customFormat="1" ht="12.75" customHeight="1">
      <c r="B52" s="11"/>
      <c r="C52" s="23"/>
      <c r="D52" s="186"/>
      <c r="E52" s="186"/>
      <c r="F52" s="186"/>
      <c r="G52" s="186"/>
      <c r="H52" s="188"/>
      <c r="I52" s="35"/>
      <c r="J52" s="187"/>
      <c r="K52" s="239"/>
      <c r="L52" s="35"/>
      <c r="M52" s="47">
        <f t="shared" si="7"/>
      </c>
      <c r="N52" s="190"/>
      <c r="O52" s="191"/>
      <c r="P52" s="550"/>
      <c r="Q52" s="190"/>
      <c r="R52" s="193">
        <f t="shared" si="8"/>
        <v>0</v>
      </c>
      <c r="S52" s="190"/>
      <c r="T52" s="47">
        <f t="shared" si="9"/>
      </c>
      <c r="U52" s="47">
        <f>IF(E52=0,"",+T52*tab!G$87)</f>
      </c>
      <c r="V52" s="46">
        <f t="shared" si="2"/>
        <v>0</v>
      </c>
      <c r="W52" s="49"/>
      <c r="X52" s="76">
        <f>IF(P52="",0,M52*12*P52*IF(OR(J52&lt;=8,J52="ID1",J52="ID2",J52="ID3"),1+tab!H$89,1+tab!G$89))</f>
        <v>0</v>
      </c>
      <c r="Y52" s="190"/>
      <c r="Z52" s="158">
        <f t="shared" si="3"/>
        <v>0</v>
      </c>
      <c r="AA52" s="76">
        <f t="shared" si="4"/>
        <v>0</v>
      </c>
      <c r="AB52" s="49"/>
      <c r="AC52" s="47">
        <f t="shared" si="5"/>
        <v>0</v>
      </c>
      <c r="AD52" s="49"/>
      <c r="AE52" s="12"/>
      <c r="AF52" s="10"/>
      <c r="AG52" s="10"/>
      <c r="AH52" s="10"/>
      <c r="AI52" s="10"/>
      <c r="AJ52" s="187"/>
      <c r="AK52" s="194"/>
      <c r="AS52" s="187"/>
      <c r="AT52" s="194"/>
      <c r="BA52" s="463" t="s">
        <v>300</v>
      </c>
    </row>
    <row r="53" spans="2:53" s="185" customFormat="1" ht="12.75" customHeight="1">
      <c r="B53" s="11"/>
      <c r="C53" s="23"/>
      <c r="D53" s="186"/>
      <c r="E53" s="186"/>
      <c r="F53" s="186"/>
      <c r="G53" s="186"/>
      <c r="H53" s="188"/>
      <c r="I53" s="35"/>
      <c r="J53" s="187"/>
      <c r="K53" s="239"/>
      <c r="L53" s="35"/>
      <c r="M53" s="47">
        <f t="shared" si="7"/>
      </c>
      <c r="N53" s="190"/>
      <c r="O53" s="191"/>
      <c r="P53" s="550"/>
      <c r="Q53" s="190"/>
      <c r="R53" s="193">
        <f t="shared" si="8"/>
        <v>0</v>
      </c>
      <c r="S53" s="190"/>
      <c r="T53" s="47">
        <f t="shared" si="9"/>
      </c>
      <c r="U53" s="47">
        <f>IF(E53=0,"",+T53*tab!G$87)</f>
      </c>
      <c r="V53" s="46">
        <f t="shared" si="2"/>
        <v>0</v>
      </c>
      <c r="W53" s="49"/>
      <c r="X53" s="76">
        <f>IF(P53="",0,M53*12*P53*IF(OR(J53&lt;=8,J53="ID1",J53="ID2",J53="ID3"),1+tab!H$89,1+tab!G$89))</f>
        <v>0</v>
      </c>
      <c r="Y53" s="190"/>
      <c r="Z53" s="158">
        <f t="shared" si="3"/>
        <v>0</v>
      </c>
      <c r="AA53" s="76">
        <f t="shared" si="4"/>
        <v>0</v>
      </c>
      <c r="AB53" s="49"/>
      <c r="AC53" s="47">
        <f t="shared" si="5"/>
        <v>0</v>
      </c>
      <c r="AD53" s="49"/>
      <c r="AE53" s="12"/>
      <c r="AF53" s="10"/>
      <c r="AG53" s="10"/>
      <c r="AH53" s="10"/>
      <c r="AI53" s="10"/>
      <c r="AJ53" s="187"/>
      <c r="AK53" s="194"/>
      <c r="AS53" s="187"/>
      <c r="AT53" s="194"/>
      <c r="BA53" s="463"/>
    </row>
    <row r="54" spans="2:53" s="185" customFormat="1" ht="12.75" customHeight="1">
      <c r="B54" s="11"/>
      <c r="C54" s="23"/>
      <c r="D54" s="186"/>
      <c r="E54" s="186"/>
      <c r="F54" s="186"/>
      <c r="G54" s="186"/>
      <c r="H54" s="188"/>
      <c r="I54" s="35"/>
      <c r="J54" s="187"/>
      <c r="K54" s="239"/>
      <c r="L54" s="35"/>
      <c r="M54" s="47">
        <f t="shared" si="7"/>
      </c>
      <c r="N54" s="190"/>
      <c r="O54" s="191"/>
      <c r="P54" s="550"/>
      <c r="Q54" s="190"/>
      <c r="R54" s="193">
        <f t="shared" si="8"/>
        <v>0</v>
      </c>
      <c r="S54" s="190"/>
      <c r="T54" s="47">
        <f t="shared" si="9"/>
      </c>
      <c r="U54" s="47">
        <f>IF(E54=0,"",+T54*tab!G$87)</f>
      </c>
      <c r="V54" s="46">
        <f t="shared" si="2"/>
        <v>0</v>
      </c>
      <c r="W54" s="49"/>
      <c r="X54" s="76">
        <f>IF(P54="",0,M54*12*P54*IF(OR(J54&lt;=8,J54="ID1",J54="ID2",J54="ID3"),1+tab!H$89,1+tab!G$89))</f>
        <v>0</v>
      </c>
      <c r="Y54" s="190"/>
      <c r="Z54" s="158">
        <f t="shared" si="3"/>
        <v>0</v>
      </c>
      <c r="AA54" s="76">
        <f t="shared" si="4"/>
        <v>0</v>
      </c>
      <c r="AB54" s="49"/>
      <c r="AC54" s="47">
        <f t="shared" si="5"/>
        <v>0</v>
      </c>
      <c r="AD54" s="49"/>
      <c r="AE54" s="12"/>
      <c r="AF54" s="10"/>
      <c r="AG54" s="10"/>
      <c r="AH54" s="10"/>
      <c r="AI54" s="10"/>
      <c r="AJ54" s="187"/>
      <c r="AK54" s="194"/>
      <c r="AS54" s="187"/>
      <c r="AT54" s="194"/>
      <c r="BA54" s="463"/>
    </row>
    <row r="55" spans="2:53" s="185" customFormat="1" ht="12.75" customHeight="1">
      <c r="B55" s="11"/>
      <c r="C55" s="23"/>
      <c r="D55" s="186"/>
      <c r="E55" s="186"/>
      <c r="F55" s="186"/>
      <c r="G55" s="186"/>
      <c r="H55" s="188"/>
      <c r="I55" s="35"/>
      <c r="J55" s="187"/>
      <c r="K55" s="239"/>
      <c r="L55" s="35"/>
      <c r="M55" s="47">
        <f t="shared" si="7"/>
      </c>
      <c r="N55" s="190"/>
      <c r="O55" s="191"/>
      <c r="P55" s="550"/>
      <c r="Q55" s="190"/>
      <c r="R55" s="193">
        <f t="shared" si="8"/>
        <v>0</v>
      </c>
      <c r="S55" s="190"/>
      <c r="T55" s="47">
        <f t="shared" si="9"/>
      </c>
      <c r="U55" s="47">
        <f>IF(E55=0,"",+T55*tab!G$87)</f>
      </c>
      <c r="V55" s="46">
        <f t="shared" si="2"/>
        <v>0</v>
      </c>
      <c r="W55" s="49"/>
      <c r="X55" s="76">
        <f>IF(P55="",0,M55*12*P55*IF(OR(J55&lt;=8,J55="ID1",J55="ID2",J55="ID3"),1+tab!H$89,1+tab!G$89))</f>
        <v>0</v>
      </c>
      <c r="Y55" s="190"/>
      <c r="Z55" s="158">
        <f t="shared" si="3"/>
        <v>0</v>
      </c>
      <c r="AA55" s="76">
        <f t="shared" si="4"/>
        <v>0</v>
      </c>
      <c r="AB55" s="49"/>
      <c r="AC55" s="47">
        <f t="shared" si="5"/>
        <v>0</v>
      </c>
      <c r="AD55" s="49"/>
      <c r="AE55" s="12"/>
      <c r="AF55" s="10"/>
      <c r="AG55" s="10"/>
      <c r="AH55" s="10"/>
      <c r="AI55" s="10"/>
      <c r="AJ55" s="187"/>
      <c r="AK55" s="194"/>
      <c r="AS55" s="187"/>
      <c r="AT55" s="194"/>
      <c r="BA55" s="463"/>
    </row>
    <row r="56" spans="2:53" s="185" customFormat="1" ht="12.75" customHeight="1">
      <c r="B56" s="11"/>
      <c r="C56" s="23"/>
      <c r="D56" s="186"/>
      <c r="E56" s="186"/>
      <c r="F56" s="186"/>
      <c r="G56" s="186"/>
      <c r="H56" s="188"/>
      <c r="I56" s="35"/>
      <c r="J56" s="187"/>
      <c r="K56" s="239"/>
      <c r="L56" s="35"/>
      <c r="M56" s="47">
        <f t="shared" si="7"/>
      </c>
      <c r="N56" s="190"/>
      <c r="O56" s="191"/>
      <c r="P56" s="550"/>
      <c r="Q56" s="190"/>
      <c r="R56" s="193">
        <f t="shared" si="8"/>
        <v>0</v>
      </c>
      <c r="S56" s="190"/>
      <c r="T56" s="47">
        <f t="shared" si="9"/>
      </c>
      <c r="U56" s="47">
        <f>IF(E56=0,"",+T56*tab!G$87)</f>
      </c>
      <c r="V56" s="46">
        <f t="shared" si="2"/>
        <v>0</v>
      </c>
      <c r="W56" s="49"/>
      <c r="X56" s="76">
        <f>IF(P56="",0,M56*12*P56*IF(OR(J56&lt;=8,J56="ID1",J56="ID2",J56="ID3"),1+tab!H$89,1+tab!G$89))</f>
        <v>0</v>
      </c>
      <c r="Y56" s="190"/>
      <c r="Z56" s="158">
        <f t="shared" si="3"/>
        <v>0</v>
      </c>
      <c r="AA56" s="76">
        <f t="shared" si="4"/>
        <v>0</v>
      </c>
      <c r="AB56" s="49"/>
      <c r="AC56" s="47">
        <f t="shared" si="5"/>
        <v>0</v>
      </c>
      <c r="AD56" s="49"/>
      <c r="AE56" s="12"/>
      <c r="AF56" s="10"/>
      <c r="AG56" s="10"/>
      <c r="AH56" s="10"/>
      <c r="AI56" s="10"/>
      <c r="AJ56" s="187"/>
      <c r="AK56" s="194"/>
      <c r="AS56" s="187"/>
      <c r="AT56" s="194"/>
      <c r="BA56" s="463"/>
    </row>
    <row r="57" spans="2:53" s="185" customFormat="1" ht="12.75" customHeight="1">
      <c r="B57" s="11"/>
      <c r="C57" s="23"/>
      <c r="D57" s="186"/>
      <c r="E57" s="186"/>
      <c r="F57" s="186"/>
      <c r="G57" s="186"/>
      <c r="H57" s="188"/>
      <c r="I57" s="35"/>
      <c r="J57" s="187"/>
      <c r="K57" s="239"/>
      <c r="L57" s="35"/>
      <c r="M57" s="47">
        <f t="shared" si="7"/>
      </c>
      <c r="N57" s="190"/>
      <c r="O57" s="191"/>
      <c r="P57" s="550"/>
      <c r="Q57" s="190"/>
      <c r="R57" s="193">
        <f t="shared" si="8"/>
        <v>0</v>
      </c>
      <c r="S57" s="190"/>
      <c r="T57" s="47">
        <f t="shared" si="9"/>
      </c>
      <c r="U57" s="47">
        <f>IF(E57=0,"",+T57*tab!G$87)</f>
      </c>
      <c r="V57" s="46">
        <f t="shared" si="2"/>
        <v>0</v>
      </c>
      <c r="W57" s="49"/>
      <c r="X57" s="76">
        <f>IF(P57="",0,M57*12*P57*IF(OR(J57&lt;=8,J57="ID1",J57="ID2",J57="ID3"),1+tab!H$89,1+tab!G$89))</f>
        <v>0</v>
      </c>
      <c r="Y57" s="190"/>
      <c r="Z57" s="158">
        <f t="shared" si="3"/>
        <v>0</v>
      </c>
      <c r="AA57" s="76">
        <f t="shared" si="4"/>
        <v>0</v>
      </c>
      <c r="AB57" s="49"/>
      <c r="AC57" s="47">
        <f t="shared" si="5"/>
        <v>0</v>
      </c>
      <c r="AD57" s="49"/>
      <c r="AE57" s="12"/>
      <c r="AF57" s="10"/>
      <c r="AG57" s="10"/>
      <c r="AH57" s="10"/>
      <c r="AI57" s="10"/>
      <c r="AJ57" s="187"/>
      <c r="AK57" s="194"/>
      <c r="AS57" s="187"/>
      <c r="AT57" s="194"/>
      <c r="BA57" s="463"/>
    </row>
    <row r="58" spans="2:53" s="185" customFormat="1" ht="12.75" customHeight="1">
      <c r="B58" s="11"/>
      <c r="C58" s="23"/>
      <c r="D58" s="186"/>
      <c r="E58" s="186"/>
      <c r="F58" s="186"/>
      <c r="G58" s="186"/>
      <c r="H58" s="188"/>
      <c r="I58" s="35"/>
      <c r="J58" s="187"/>
      <c r="K58" s="239"/>
      <c r="L58" s="35"/>
      <c r="M58" s="47">
        <f t="shared" si="7"/>
      </c>
      <c r="N58" s="190"/>
      <c r="O58" s="191"/>
      <c r="P58" s="550"/>
      <c r="Q58" s="190"/>
      <c r="R58" s="193">
        <f t="shared" si="8"/>
        <v>0</v>
      </c>
      <c r="S58" s="190"/>
      <c r="T58" s="47">
        <f t="shared" si="9"/>
      </c>
      <c r="U58" s="47">
        <f>IF(E58=0,"",+T58*tab!G$87)</f>
      </c>
      <c r="V58" s="46">
        <f t="shared" si="2"/>
        <v>0</v>
      </c>
      <c r="W58" s="49"/>
      <c r="X58" s="76">
        <f>IF(P58="",0,M58*12*P58*IF(OR(J58&lt;=8,J58="ID1",J58="ID2",J58="ID3"),1+tab!H$89,1+tab!G$89))</f>
        <v>0</v>
      </c>
      <c r="Y58" s="190"/>
      <c r="Z58" s="158">
        <f t="shared" si="3"/>
        <v>0</v>
      </c>
      <c r="AA58" s="76">
        <f t="shared" si="4"/>
        <v>0</v>
      </c>
      <c r="AB58" s="49"/>
      <c r="AC58" s="47">
        <f t="shared" si="5"/>
        <v>0</v>
      </c>
      <c r="AD58" s="49"/>
      <c r="AE58" s="12"/>
      <c r="AF58" s="10"/>
      <c r="AG58" s="10"/>
      <c r="AH58" s="10"/>
      <c r="AI58" s="10"/>
      <c r="AJ58" s="187"/>
      <c r="AK58" s="194"/>
      <c r="AS58" s="187"/>
      <c r="AT58" s="194"/>
      <c r="BA58" s="463"/>
    </row>
    <row r="59" spans="2:53" s="185" customFormat="1" ht="12.75" customHeight="1">
      <c r="B59" s="11"/>
      <c r="C59" s="23"/>
      <c r="D59" s="186"/>
      <c r="E59" s="186"/>
      <c r="F59" s="186"/>
      <c r="G59" s="186"/>
      <c r="H59" s="188"/>
      <c r="I59" s="35"/>
      <c r="J59" s="187"/>
      <c r="K59" s="239"/>
      <c r="L59" s="35"/>
      <c r="M59" s="47">
        <f t="shared" si="7"/>
      </c>
      <c r="N59" s="190"/>
      <c r="O59" s="191"/>
      <c r="P59" s="550"/>
      <c r="Q59" s="190"/>
      <c r="R59" s="193">
        <f t="shared" si="8"/>
        <v>0</v>
      </c>
      <c r="S59" s="190"/>
      <c r="T59" s="47">
        <f t="shared" si="9"/>
      </c>
      <c r="U59" s="47">
        <f>IF(E59=0,"",+T59*tab!G$87)</f>
      </c>
      <c r="V59" s="46">
        <f t="shared" si="2"/>
        <v>0</v>
      </c>
      <c r="W59" s="49"/>
      <c r="X59" s="76">
        <f>IF(P59="",0,M59*12*P59*IF(OR(J59&lt;=8,J59="ID1",J59="ID2",J59="ID3"),1+tab!H$89,1+tab!G$89))</f>
        <v>0</v>
      </c>
      <c r="Y59" s="190"/>
      <c r="Z59" s="158">
        <f t="shared" si="3"/>
        <v>0</v>
      </c>
      <c r="AA59" s="76">
        <f t="shared" si="4"/>
        <v>0</v>
      </c>
      <c r="AB59" s="49"/>
      <c r="AC59" s="47">
        <f t="shared" si="5"/>
        <v>0</v>
      </c>
      <c r="AD59" s="49"/>
      <c r="AE59" s="12"/>
      <c r="AF59" s="10"/>
      <c r="AG59" s="10"/>
      <c r="AH59" s="10"/>
      <c r="AI59" s="10"/>
      <c r="AJ59" s="187"/>
      <c r="AK59" s="194"/>
      <c r="AS59" s="187"/>
      <c r="AT59" s="194"/>
      <c r="BA59" s="463"/>
    </row>
    <row r="60" spans="2:53" s="185" customFormat="1" ht="12.75" customHeight="1">
      <c r="B60" s="11"/>
      <c r="C60" s="23"/>
      <c r="D60" s="186"/>
      <c r="E60" s="186"/>
      <c r="F60" s="186"/>
      <c r="G60" s="186"/>
      <c r="H60" s="188"/>
      <c r="I60" s="35"/>
      <c r="J60" s="187"/>
      <c r="K60" s="239"/>
      <c r="L60" s="35"/>
      <c r="M60" s="47">
        <f t="shared" si="7"/>
      </c>
      <c r="N60" s="190"/>
      <c r="O60" s="191"/>
      <c r="P60" s="550"/>
      <c r="Q60" s="190"/>
      <c r="R60" s="193">
        <f t="shared" si="8"/>
        <v>0</v>
      </c>
      <c r="S60" s="190"/>
      <c r="T60" s="47">
        <f t="shared" si="9"/>
      </c>
      <c r="U60" s="47">
        <f>IF(E60=0,"",+T60*tab!G$87)</f>
      </c>
      <c r="V60" s="46">
        <f t="shared" si="2"/>
        <v>0</v>
      </c>
      <c r="W60" s="49"/>
      <c r="X60" s="76">
        <f>IF(P60="",0,M60*12*P60*IF(OR(J60&lt;=8,J60="ID1",J60="ID2",J60="ID3"),1+tab!H$89,1+tab!G$89))</f>
        <v>0</v>
      </c>
      <c r="Y60" s="190"/>
      <c r="Z60" s="158">
        <f t="shared" si="3"/>
        <v>0</v>
      </c>
      <c r="AA60" s="76">
        <f t="shared" si="4"/>
        <v>0</v>
      </c>
      <c r="AB60" s="49"/>
      <c r="AC60" s="47">
        <f t="shared" si="5"/>
        <v>0</v>
      </c>
      <c r="AD60" s="49"/>
      <c r="AE60" s="12"/>
      <c r="AF60" s="10"/>
      <c r="AG60" s="10"/>
      <c r="AH60" s="10"/>
      <c r="AI60" s="10"/>
      <c r="AJ60" s="187"/>
      <c r="AK60" s="194"/>
      <c r="AS60" s="187"/>
      <c r="AT60" s="194"/>
      <c r="BA60" s="463"/>
    </row>
    <row r="61" spans="2:53" s="185" customFormat="1" ht="12.75" customHeight="1">
      <c r="B61" s="11"/>
      <c r="C61" s="23"/>
      <c r="D61" s="186"/>
      <c r="E61" s="186"/>
      <c r="F61" s="186"/>
      <c r="G61" s="186"/>
      <c r="H61" s="188"/>
      <c r="I61" s="35"/>
      <c r="J61" s="187"/>
      <c r="K61" s="239"/>
      <c r="L61" s="35"/>
      <c r="M61" s="47">
        <f t="shared" si="7"/>
      </c>
      <c r="N61" s="190"/>
      <c r="O61" s="191"/>
      <c r="P61" s="550"/>
      <c r="Q61" s="190"/>
      <c r="R61" s="193">
        <f t="shared" si="8"/>
        <v>0</v>
      </c>
      <c r="S61" s="190"/>
      <c r="T61" s="47">
        <f t="shared" si="9"/>
      </c>
      <c r="U61" s="47">
        <f>IF(E61=0,"",+T61*tab!G$87)</f>
      </c>
      <c r="V61" s="46">
        <f t="shared" si="2"/>
        <v>0</v>
      </c>
      <c r="W61" s="49"/>
      <c r="X61" s="76">
        <f>IF(P61="",0,M61*12*P61*IF(OR(J61&lt;=8,J61="ID1",J61="ID2",J61="ID3"),1+tab!H$89,1+tab!G$89))</f>
        <v>0</v>
      </c>
      <c r="Y61" s="190"/>
      <c r="Z61" s="158">
        <f t="shared" si="3"/>
        <v>0</v>
      </c>
      <c r="AA61" s="76">
        <f t="shared" si="4"/>
        <v>0</v>
      </c>
      <c r="AB61" s="49"/>
      <c r="AC61" s="47">
        <f t="shared" si="5"/>
        <v>0</v>
      </c>
      <c r="AD61" s="49"/>
      <c r="AE61" s="12"/>
      <c r="AF61" s="10"/>
      <c r="AG61" s="10"/>
      <c r="AH61" s="10"/>
      <c r="AI61" s="10"/>
      <c r="AJ61" s="187"/>
      <c r="AK61" s="194"/>
      <c r="AS61" s="187"/>
      <c r="AT61" s="194"/>
      <c r="BA61" s="463"/>
    </row>
    <row r="62" spans="2:53" s="185" customFormat="1" ht="12.75" customHeight="1">
      <c r="B62" s="11"/>
      <c r="C62" s="23"/>
      <c r="D62" s="186"/>
      <c r="E62" s="186"/>
      <c r="F62" s="186"/>
      <c r="G62" s="186"/>
      <c r="H62" s="188"/>
      <c r="I62" s="35"/>
      <c r="J62" s="187"/>
      <c r="K62" s="239"/>
      <c r="L62" s="35"/>
      <c r="M62" s="47">
        <f t="shared" si="7"/>
      </c>
      <c r="N62" s="190"/>
      <c r="O62" s="191"/>
      <c r="P62" s="550"/>
      <c r="Q62" s="190"/>
      <c r="R62" s="193">
        <f t="shared" si="8"/>
        <v>0</v>
      </c>
      <c r="S62" s="190"/>
      <c r="T62" s="47">
        <f t="shared" si="9"/>
      </c>
      <c r="U62" s="47">
        <f>IF(E62=0,"",+T62*tab!G$87)</f>
      </c>
      <c r="V62" s="46">
        <f t="shared" si="2"/>
        <v>0</v>
      </c>
      <c r="W62" s="49"/>
      <c r="X62" s="76">
        <f>IF(P62="",0,M62*12*P62*IF(OR(J62&lt;=8,J62="ID1",J62="ID2",J62="ID3"),1+tab!H$89,1+tab!G$89))</f>
        <v>0</v>
      </c>
      <c r="Y62" s="190"/>
      <c r="Z62" s="158">
        <f t="shared" si="3"/>
        <v>0</v>
      </c>
      <c r="AA62" s="76">
        <f t="shared" si="4"/>
        <v>0</v>
      </c>
      <c r="AB62" s="49"/>
      <c r="AC62" s="47">
        <f t="shared" si="5"/>
        <v>0</v>
      </c>
      <c r="AD62" s="49"/>
      <c r="AE62" s="12"/>
      <c r="AF62" s="10"/>
      <c r="AG62" s="10"/>
      <c r="AH62" s="10"/>
      <c r="AI62" s="10"/>
      <c r="AJ62" s="187"/>
      <c r="AK62" s="194"/>
      <c r="AS62" s="187"/>
      <c r="AT62" s="194"/>
      <c r="BA62" s="463"/>
    </row>
    <row r="63" spans="2:53" s="185" customFormat="1" ht="12.75" customHeight="1">
      <c r="B63" s="11"/>
      <c r="C63" s="23"/>
      <c r="D63" s="186"/>
      <c r="E63" s="186"/>
      <c r="F63" s="186"/>
      <c r="G63" s="186"/>
      <c r="H63" s="188"/>
      <c r="I63" s="35"/>
      <c r="J63" s="187"/>
      <c r="K63" s="239"/>
      <c r="L63" s="35"/>
      <c r="M63" s="47">
        <f t="shared" si="7"/>
      </c>
      <c r="N63" s="190"/>
      <c r="O63" s="191"/>
      <c r="P63" s="550"/>
      <c r="Q63" s="190"/>
      <c r="R63" s="193">
        <f t="shared" si="8"/>
        <v>0</v>
      </c>
      <c r="S63" s="190"/>
      <c r="T63" s="47">
        <f t="shared" si="9"/>
      </c>
      <c r="U63" s="47">
        <f>IF(E63=0,"",+T63*tab!G$87)</f>
      </c>
      <c r="V63" s="46">
        <f t="shared" si="2"/>
        <v>0</v>
      </c>
      <c r="W63" s="49"/>
      <c r="X63" s="76">
        <f>IF(P63="",0,M63*12*P63*IF(OR(J63&lt;=8,J63="ID1",J63="ID2",J63="ID3"),1+tab!H$89,1+tab!G$89))</f>
        <v>0</v>
      </c>
      <c r="Y63" s="190"/>
      <c r="Z63" s="158">
        <f t="shared" si="3"/>
        <v>0</v>
      </c>
      <c r="AA63" s="76">
        <f t="shared" si="4"/>
        <v>0</v>
      </c>
      <c r="AB63" s="49"/>
      <c r="AC63" s="47">
        <f t="shared" si="5"/>
        <v>0</v>
      </c>
      <c r="AD63" s="49"/>
      <c r="AE63" s="12"/>
      <c r="AF63" s="10"/>
      <c r="AG63" s="10"/>
      <c r="AH63" s="10"/>
      <c r="AI63" s="10"/>
      <c r="AJ63" s="187"/>
      <c r="AK63" s="194"/>
      <c r="AS63" s="187"/>
      <c r="AT63" s="194"/>
      <c r="BA63" s="463"/>
    </row>
    <row r="64" spans="2:53" s="185" customFormat="1" ht="12.75" customHeight="1">
      <c r="B64" s="11"/>
      <c r="C64" s="23"/>
      <c r="D64" s="186"/>
      <c r="E64" s="186"/>
      <c r="F64" s="186"/>
      <c r="G64" s="186"/>
      <c r="H64" s="188"/>
      <c r="I64" s="35"/>
      <c r="J64" s="187"/>
      <c r="K64" s="239"/>
      <c r="L64" s="35"/>
      <c r="M64" s="47">
        <f t="shared" si="7"/>
      </c>
      <c r="N64" s="190"/>
      <c r="O64" s="191"/>
      <c r="P64" s="550"/>
      <c r="Q64" s="190"/>
      <c r="R64" s="193">
        <f t="shared" si="8"/>
        <v>0</v>
      </c>
      <c r="S64" s="190"/>
      <c r="T64" s="47">
        <f t="shared" si="9"/>
      </c>
      <c r="U64" s="47">
        <f>IF(E64=0,"",+T64*tab!G$87)</f>
      </c>
      <c r="V64" s="46">
        <f t="shared" si="2"/>
        <v>0</v>
      </c>
      <c r="W64" s="49"/>
      <c r="X64" s="76">
        <f>IF(P64="",0,M64*12*P64*IF(OR(J64&lt;=8,J64="ID1",J64="ID2",J64="ID3"),1+tab!H$89,1+tab!G$89))</f>
        <v>0</v>
      </c>
      <c r="Y64" s="190"/>
      <c r="Z64" s="158">
        <f t="shared" si="3"/>
        <v>0</v>
      </c>
      <c r="AA64" s="76">
        <f t="shared" si="4"/>
        <v>0</v>
      </c>
      <c r="AB64" s="49"/>
      <c r="AC64" s="47">
        <f t="shared" si="5"/>
        <v>0</v>
      </c>
      <c r="AD64" s="49"/>
      <c r="AE64" s="12"/>
      <c r="AF64" s="10"/>
      <c r="AG64" s="10"/>
      <c r="AH64" s="10"/>
      <c r="AI64" s="10"/>
      <c r="AJ64" s="187"/>
      <c r="AK64" s="194"/>
      <c r="AS64" s="187"/>
      <c r="AT64" s="194"/>
      <c r="BA64" s="463"/>
    </row>
    <row r="65" spans="2:53" s="185" customFormat="1" ht="12.75" customHeight="1">
      <c r="B65" s="11"/>
      <c r="C65" s="23"/>
      <c r="D65" s="186"/>
      <c r="E65" s="186"/>
      <c r="F65" s="186"/>
      <c r="G65" s="186"/>
      <c r="H65" s="188"/>
      <c r="I65" s="35"/>
      <c r="J65" s="187"/>
      <c r="K65" s="239"/>
      <c r="L65" s="35"/>
      <c r="M65" s="47">
        <f t="shared" si="7"/>
      </c>
      <c r="N65" s="190"/>
      <c r="O65" s="191"/>
      <c r="P65" s="550"/>
      <c r="Q65" s="190"/>
      <c r="R65" s="193">
        <f t="shared" si="8"/>
        <v>0</v>
      </c>
      <c r="S65" s="190"/>
      <c r="T65" s="47">
        <f t="shared" si="9"/>
      </c>
      <c r="U65" s="47">
        <f>IF(E65=0,"",+T65*tab!G$87)</f>
      </c>
      <c r="V65" s="46">
        <f t="shared" si="2"/>
        <v>0</v>
      </c>
      <c r="W65" s="49"/>
      <c r="X65" s="76">
        <f>IF(P65="",0,M65*12*P65*IF(OR(J65&lt;=8,J65="ID1",J65="ID2",J65="ID3"),1+tab!H$89,1+tab!G$89))</f>
        <v>0</v>
      </c>
      <c r="Y65" s="190"/>
      <c r="Z65" s="158">
        <f t="shared" si="3"/>
        <v>0</v>
      </c>
      <c r="AA65" s="76">
        <f t="shared" si="4"/>
        <v>0</v>
      </c>
      <c r="AB65" s="49"/>
      <c r="AC65" s="47">
        <f t="shared" si="5"/>
        <v>0</v>
      </c>
      <c r="AD65" s="49"/>
      <c r="AE65" s="12"/>
      <c r="AF65" s="10"/>
      <c r="AG65" s="10"/>
      <c r="AH65" s="10"/>
      <c r="AI65" s="10"/>
      <c r="AJ65" s="187"/>
      <c r="AK65" s="194"/>
      <c r="AS65" s="187"/>
      <c r="AT65" s="194"/>
      <c r="BA65" s="463"/>
    </row>
    <row r="66" spans="2:53" s="185" customFormat="1" ht="12.75" customHeight="1">
      <c r="B66" s="11"/>
      <c r="C66" s="23"/>
      <c r="D66" s="186"/>
      <c r="E66" s="186"/>
      <c r="F66" s="186"/>
      <c r="G66" s="186"/>
      <c r="H66" s="188"/>
      <c r="I66" s="35"/>
      <c r="J66" s="187"/>
      <c r="K66" s="239"/>
      <c r="L66" s="35"/>
      <c r="M66" s="47">
        <f>IF(J66="","",VLOOKUP(J66,tabelsalaris,K66+1,FALSE))</f>
      </c>
      <c r="N66" s="190"/>
      <c r="O66" s="191"/>
      <c r="P66" s="550"/>
      <c r="Q66" s="190"/>
      <c r="R66" s="193">
        <f>IF(P66="",O66,O66-P66)</f>
        <v>0</v>
      </c>
      <c r="S66" s="190"/>
      <c r="T66" s="47">
        <f>IF(E66=0,"",(M66*R66*12))</f>
      </c>
      <c r="U66" s="47">
        <f>IF(E66=0,"",+T66*tab!G$87)</f>
      </c>
      <c r="V66" s="46">
        <f t="shared" si="2"/>
        <v>0</v>
      </c>
      <c r="W66" s="49"/>
      <c r="X66" s="76">
        <f>IF(P66="",0,M66*12*P66*IF(OR(J66&lt;=8,J66="ID1",J66="ID2",J66="ID3"),1+tab!H$89,1+tab!G$89))</f>
        <v>0</v>
      </c>
      <c r="Y66" s="190"/>
      <c r="Z66" s="158">
        <f t="shared" si="3"/>
        <v>0</v>
      </c>
      <c r="AA66" s="76">
        <f t="shared" si="4"/>
        <v>0</v>
      </c>
      <c r="AB66" s="49"/>
      <c r="AC66" s="47">
        <f t="shared" si="5"/>
        <v>0</v>
      </c>
      <c r="AD66" s="49"/>
      <c r="AE66" s="12"/>
      <c r="AF66" s="10"/>
      <c r="AG66" s="10"/>
      <c r="AH66" s="10"/>
      <c r="AI66" s="10"/>
      <c r="AJ66" s="187"/>
      <c r="AK66" s="194"/>
      <c r="AS66" s="187"/>
      <c r="AT66" s="194"/>
      <c r="BA66" s="463"/>
    </row>
    <row r="67" spans="2:53" ht="12.75" customHeight="1">
      <c r="B67" s="11"/>
      <c r="C67" s="23"/>
      <c r="D67" s="27"/>
      <c r="E67" s="27"/>
      <c r="F67" s="27"/>
      <c r="G67" s="195"/>
      <c r="H67" s="196"/>
      <c r="I67" s="35"/>
      <c r="J67" s="195"/>
      <c r="K67" s="197"/>
      <c r="L67" s="35"/>
      <c r="M67" s="144"/>
      <c r="N67" s="144"/>
      <c r="O67" s="150">
        <f>SUM(O17:O66)</f>
        <v>0</v>
      </c>
      <c r="P67" s="150">
        <f>SUM(P17:P66)</f>
        <v>0</v>
      </c>
      <c r="Q67" s="144"/>
      <c r="R67" s="145"/>
      <c r="S67" s="144"/>
      <c r="T67" s="50">
        <f>SUM(T17:T66)</f>
        <v>0</v>
      </c>
      <c r="U67" s="50">
        <f>SUM(U17:U66)</f>
        <v>0</v>
      </c>
      <c r="V67" s="50">
        <f>SUM(V17:V66)</f>
        <v>0</v>
      </c>
      <c r="W67" s="144"/>
      <c r="X67" s="198">
        <f>SUM(X17:X66)</f>
        <v>0</v>
      </c>
      <c r="Y67" s="144"/>
      <c r="Z67" s="199">
        <f>SUM(Z17:Z66)</f>
        <v>0</v>
      </c>
      <c r="AA67" s="198">
        <f>SUM(AA17:AA66)</f>
        <v>0</v>
      </c>
      <c r="AB67" s="144"/>
      <c r="AC67" s="198">
        <f>SUM(AC17:AC66)</f>
        <v>0</v>
      </c>
      <c r="AD67" s="144"/>
      <c r="AE67" s="12"/>
      <c r="BA67" s="463"/>
    </row>
    <row r="68" spans="2:31" ht="12.75" customHeight="1">
      <c r="B68" s="11"/>
      <c r="C68" s="23"/>
      <c r="D68" s="35"/>
      <c r="E68" s="35"/>
      <c r="F68" s="35"/>
      <c r="G68" s="36"/>
      <c r="H68" s="143"/>
      <c r="I68" s="35"/>
      <c r="J68" s="36"/>
      <c r="K68" s="144"/>
      <c r="L68" s="36"/>
      <c r="M68" s="144"/>
      <c r="N68" s="144"/>
      <c r="O68" s="145"/>
      <c r="P68" s="144"/>
      <c r="Q68" s="144"/>
      <c r="R68" s="145"/>
      <c r="S68" s="144"/>
      <c r="T68" s="200"/>
      <c r="U68" s="200"/>
      <c r="V68" s="200"/>
      <c r="W68" s="144"/>
      <c r="X68" s="201"/>
      <c r="Y68" s="144"/>
      <c r="Z68" s="202"/>
      <c r="AA68" s="201"/>
      <c r="AB68" s="144"/>
      <c r="AC68" s="144"/>
      <c r="AD68" s="144"/>
      <c r="AE68" s="12"/>
    </row>
    <row r="69" spans="2:53" s="185" customFormat="1" ht="12.75" customHeight="1">
      <c r="B69" s="11"/>
      <c r="C69" s="10"/>
      <c r="D69" s="186"/>
      <c r="E69" s="186"/>
      <c r="F69" s="186"/>
      <c r="G69" s="187"/>
      <c r="H69" s="188"/>
      <c r="I69" s="10"/>
      <c r="J69" s="187"/>
      <c r="K69" s="189"/>
      <c r="L69" s="187"/>
      <c r="M69" s="177"/>
      <c r="N69" s="203"/>
      <c r="O69" s="191"/>
      <c r="P69" s="192"/>
      <c r="Q69" s="192"/>
      <c r="R69" s="92"/>
      <c r="S69" s="10"/>
      <c r="T69" s="177"/>
      <c r="U69" s="177"/>
      <c r="V69" s="204"/>
      <c r="W69" s="177"/>
      <c r="X69" s="72"/>
      <c r="Y69" s="186"/>
      <c r="Z69" s="205"/>
      <c r="AA69" s="72"/>
      <c r="AB69" s="10"/>
      <c r="AC69" s="10"/>
      <c r="AD69" s="10"/>
      <c r="AE69" s="12"/>
      <c r="AF69" s="10"/>
      <c r="AG69" s="10"/>
      <c r="AH69" s="10"/>
      <c r="AI69" s="10"/>
      <c r="AJ69" s="187"/>
      <c r="AK69" s="194"/>
      <c r="AS69" s="187"/>
      <c r="AT69" s="194"/>
      <c r="BA69" s="10"/>
    </row>
    <row r="70" spans="2:46" s="185" customFormat="1" ht="12.75" customHeight="1" thickBot="1">
      <c r="B70" s="59"/>
      <c r="C70" s="60"/>
      <c r="D70" s="213"/>
      <c r="E70" s="213"/>
      <c r="F70" s="213"/>
      <c r="G70" s="214"/>
      <c r="H70" s="215"/>
      <c r="I70" s="60"/>
      <c r="J70" s="214"/>
      <c r="K70" s="216"/>
      <c r="L70" s="214"/>
      <c r="M70" s="217"/>
      <c r="N70" s="218"/>
      <c r="O70" s="219"/>
      <c r="P70" s="220"/>
      <c r="Q70" s="220"/>
      <c r="R70" s="221"/>
      <c r="S70" s="60"/>
      <c r="T70" s="217"/>
      <c r="U70" s="217"/>
      <c r="V70" s="222"/>
      <c r="W70" s="217"/>
      <c r="X70" s="223"/>
      <c r="Y70" s="213"/>
      <c r="Z70" s="224"/>
      <c r="AA70" s="223"/>
      <c r="AB70" s="60"/>
      <c r="AC70" s="60"/>
      <c r="AD70" s="60"/>
      <c r="AE70" s="62"/>
      <c r="AF70" s="10"/>
      <c r="AG70" s="10"/>
      <c r="AH70" s="10"/>
      <c r="AI70" s="10"/>
      <c r="AJ70" s="187"/>
      <c r="AK70" s="194"/>
      <c r="AS70" s="187"/>
      <c r="AT70" s="194"/>
    </row>
    <row r="71" spans="2:46" s="185" customFormat="1" ht="12.75" customHeight="1">
      <c r="B71" s="7"/>
      <c r="C71" s="8"/>
      <c r="D71" s="413"/>
      <c r="E71" s="413"/>
      <c r="F71" s="413"/>
      <c r="G71" s="414"/>
      <c r="H71" s="415"/>
      <c r="I71" s="8"/>
      <c r="J71" s="414"/>
      <c r="K71" s="416"/>
      <c r="L71" s="414"/>
      <c r="M71" s="417"/>
      <c r="N71" s="418"/>
      <c r="O71" s="419"/>
      <c r="P71" s="420"/>
      <c r="Q71" s="420"/>
      <c r="R71" s="99"/>
      <c r="S71" s="8"/>
      <c r="T71" s="417"/>
      <c r="U71" s="417"/>
      <c r="V71" s="421"/>
      <c r="W71" s="417"/>
      <c r="X71" s="422"/>
      <c r="Y71" s="413"/>
      <c r="Z71" s="423"/>
      <c r="AA71" s="422"/>
      <c r="AB71" s="8"/>
      <c r="AC71" s="8"/>
      <c r="AD71" s="8"/>
      <c r="AE71" s="9"/>
      <c r="AF71" s="10"/>
      <c r="AG71" s="10"/>
      <c r="AH71" s="10"/>
      <c r="AI71" s="10"/>
      <c r="AJ71" s="187"/>
      <c r="AK71" s="194"/>
      <c r="AS71" s="187"/>
      <c r="AT71" s="194"/>
    </row>
    <row r="72" spans="2:46" s="185" customFormat="1" ht="12.75" customHeight="1">
      <c r="B72" s="11"/>
      <c r="C72" s="10"/>
      <c r="D72" s="186"/>
      <c r="E72" s="186"/>
      <c r="F72" s="186"/>
      <c r="G72" s="187"/>
      <c r="H72" s="188"/>
      <c r="I72" s="10"/>
      <c r="J72" s="187"/>
      <c r="K72" s="189"/>
      <c r="L72" s="187"/>
      <c r="M72" s="177"/>
      <c r="N72" s="203"/>
      <c r="O72" s="191"/>
      <c r="P72" s="192"/>
      <c r="Q72" s="192"/>
      <c r="R72" s="92"/>
      <c r="S72" s="10"/>
      <c r="T72" s="177"/>
      <c r="U72" s="177"/>
      <c r="V72" s="204"/>
      <c r="W72" s="177"/>
      <c r="X72" s="72"/>
      <c r="Y72" s="186"/>
      <c r="Z72" s="205"/>
      <c r="AA72" s="72"/>
      <c r="AB72" s="10"/>
      <c r="AC72" s="10"/>
      <c r="AD72" s="10"/>
      <c r="AE72" s="12"/>
      <c r="AF72" s="10"/>
      <c r="AG72" s="10"/>
      <c r="AH72" s="10"/>
      <c r="AI72" s="10"/>
      <c r="AJ72" s="187"/>
      <c r="AK72" s="194"/>
      <c r="AS72" s="187"/>
      <c r="AT72" s="194"/>
    </row>
    <row r="73" spans="2:46" s="185" customFormat="1" ht="12.75" customHeight="1">
      <c r="B73" s="11"/>
      <c r="C73" s="10"/>
      <c r="D73" s="186"/>
      <c r="E73" s="186"/>
      <c r="F73" s="186"/>
      <c r="G73" s="187"/>
      <c r="H73" s="188"/>
      <c r="I73" s="10"/>
      <c r="J73" s="187"/>
      <c r="K73" s="189"/>
      <c r="L73" s="187"/>
      <c r="M73" s="177"/>
      <c r="N73" s="203"/>
      <c r="O73" s="191"/>
      <c r="P73" s="192"/>
      <c r="Q73" s="192"/>
      <c r="R73" s="92"/>
      <c r="S73" s="10"/>
      <c r="T73" s="177"/>
      <c r="U73" s="177"/>
      <c r="V73" s="204"/>
      <c r="W73" s="177"/>
      <c r="X73" s="72"/>
      <c r="Y73" s="186"/>
      <c r="Z73" s="205"/>
      <c r="AA73" s="72"/>
      <c r="AB73" s="10"/>
      <c r="AC73" s="10"/>
      <c r="AD73" s="10"/>
      <c r="AE73" s="12"/>
      <c r="AF73" s="10"/>
      <c r="AG73" s="10"/>
      <c r="AH73" s="10"/>
      <c r="AI73" s="10"/>
      <c r="AJ73" s="187"/>
      <c r="AK73" s="194"/>
      <c r="AS73" s="187"/>
      <c r="AT73" s="194"/>
    </row>
    <row r="74" spans="2:46" s="185" customFormat="1" ht="12.75" customHeight="1">
      <c r="B74" s="11"/>
      <c r="C74" s="10" t="s">
        <v>310</v>
      </c>
      <c r="D74" s="186"/>
      <c r="E74" s="134" t="str">
        <f>tab!H11</f>
        <v>2008/09</v>
      </c>
      <c r="F74" s="186"/>
      <c r="G74" s="187"/>
      <c r="H74" s="188"/>
      <c r="I74" s="10"/>
      <c r="J74" s="187"/>
      <c r="K74" s="189"/>
      <c r="L74" s="187"/>
      <c r="M74" s="177"/>
      <c r="N74" s="203"/>
      <c r="O74" s="191"/>
      <c r="P74" s="192"/>
      <c r="Q74" s="192"/>
      <c r="R74" s="92"/>
      <c r="S74" s="10"/>
      <c r="T74" s="177"/>
      <c r="U74" s="177"/>
      <c r="V74" s="204"/>
      <c r="W74" s="177"/>
      <c r="X74" s="72"/>
      <c r="Y74" s="186"/>
      <c r="Z74" s="205"/>
      <c r="AA74" s="72"/>
      <c r="AB74" s="10"/>
      <c r="AC74" s="10"/>
      <c r="AD74" s="10"/>
      <c r="AE74" s="12"/>
      <c r="AF74" s="10"/>
      <c r="AG74" s="10"/>
      <c r="AH74" s="10"/>
      <c r="AI74" s="10"/>
      <c r="AJ74" s="187"/>
      <c r="AK74" s="194"/>
      <c r="AS74" s="187"/>
      <c r="AT74" s="194"/>
    </row>
    <row r="75" spans="2:46" s="185" customFormat="1" ht="12.75" customHeight="1">
      <c r="B75" s="11"/>
      <c r="C75" s="10" t="s">
        <v>311</v>
      </c>
      <c r="D75" s="186"/>
      <c r="E75" s="134">
        <f>tab!I13</f>
        <v>39722</v>
      </c>
      <c r="F75" s="186"/>
      <c r="G75" s="187"/>
      <c r="H75" s="188"/>
      <c r="I75" s="10"/>
      <c r="J75" s="187"/>
      <c r="K75" s="189"/>
      <c r="L75" s="187"/>
      <c r="M75" s="177"/>
      <c r="N75" s="203"/>
      <c r="O75" s="191"/>
      <c r="P75" s="192"/>
      <c r="Q75" s="192"/>
      <c r="R75" s="92"/>
      <c r="S75" s="10"/>
      <c r="T75" s="177"/>
      <c r="U75" s="177"/>
      <c r="V75" s="204"/>
      <c r="W75" s="177"/>
      <c r="X75" s="72"/>
      <c r="Y75" s="186"/>
      <c r="Z75" s="205"/>
      <c r="AA75" s="72"/>
      <c r="AB75" s="10"/>
      <c r="AC75" s="10"/>
      <c r="AD75" s="10"/>
      <c r="AE75" s="12"/>
      <c r="AF75" s="10"/>
      <c r="AG75" s="10"/>
      <c r="AH75" s="10"/>
      <c r="AI75" s="10"/>
      <c r="AJ75" s="187"/>
      <c r="AK75" s="194"/>
      <c r="AS75" s="187"/>
      <c r="AT75" s="194"/>
    </row>
    <row r="76" spans="2:46" s="185" customFormat="1" ht="12.75" customHeight="1">
      <c r="B76" s="11"/>
      <c r="C76" s="10"/>
      <c r="D76" s="186"/>
      <c r="E76" s="186"/>
      <c r="F76" s="186"/>
      <c r="G76" s="187"/>
      <c r="H76" s="188"/>
      <c r="I76" s="10"/>
      <c r="J76" s="187"/>
      <c r="K76" s="189"/>
      <c r="L76" s="187"/>
      <c r="M76" s="177"/>
      <c r="N76" s="203"/>
      <c r="O76" s="191"/>
      <c r="P76" s="192"/>
      <c r="Q76" s="192"/>
      <c r="R76" s="92"/>
      <c r="S76" s="10"/>
      <c r="T76" s="177"/>
      <c r="U76" s="177"/>
      <c r="V76" s="204"/>
      <c r="W76" s="177"/>
      <c r="X76" s="72"/>
      <c r="Y76" s="186"/>
      <c r="Z76" s="205"/>
      <c r="AA76" s="72"/>
      <c r="AB76" s="10"/>
      <c r="AC76" s="10"/>
      <c r="AD76" s="10"/>
      <c r="AE76" s="12"/>
      <c r="AF76" s="10"/>
      <c r="AG76" s="10"/>
      <c r="AH76" s="10"/>
      <c r="AI76" s="10"/>
      <c r="AJ76" s="187"/>
      <c r="AK76" s="194"/>
      <c r="AS76" s="187"/>
      <c r="AT76" s="194"/>
    </row>
    <row r="77" spans="2:53" ht="12.75" customHeight="1">
      <c r="B77" s="11"/>
      <c r="C77" s="23"/>
      <c r="D77" s="35"/>
      <c r="E77" s="39"/>
      <c r="F77" s="35"/>
      <c r="G77" s="36"/>
      <c r="H77" s="143"/>
      <c r="I77" s="23"/>
      <c r="J77" s="144"/>
      <c r="K77" s="144"/>
      <c r="L77" s="45"/>
      <c r="M77" s="45"/>
      <c r="N77" s="45"/>
      <c r="O77" s="145"/>
      <c r="P77" s="144"/>
      <c r="Q77" s="144"/>
      <c r="R77" s="146"/>
      <c r="S77" s="23"/>
      <c r="T77" s="23"/>
      <c r="U77" s="23"/>
      <c r="V77" s="55"/>
      <c r="W77" s="55"/>
      <c r="X77" s="31"/>
      <c r="Y77" s="23"/>
      <c r="Z77" s="147"/>
      <c r="AA77" s="31"/>
      <c r="AB77" s="23"/>
      <c r="AC77" s="23"/>
      <c r="AD77" s="23"/>
      <c r="AE77" s="12"/>
      <c r="AJ77" s="137"/>
      <c r="AK77" s="138"/>
      <c r="AL77" s="137"/>
      <c r="AM77" s="137"/>
      <c r="AN77" s="137"/>
      <c r="AO77" s="91"/>
      <c r="AP77" s="139"/>
      <c r="AQ77" s="140"/>
      <c r="AR77" s="141"/>
      <c r="AS77" s="142"/>
      <c r="AT77" s="139"/>
      <c r="BA77" s="185"/>
    </row>
    <row r="78" spans="2:48" ht="12.75" customHeight="1">
      <c r="B78" s="11"/>
      <c r="C78" s="23"/>
      <c r="D78" s="598" t="s">
        <v>312</v>
      </c>
      <c r="E78" s="599"/>
      <c r="F78" s="599"/>
      <c r="G78" s="599"/>
      <c r="H78" s="599"/>
      <c r="I78" s="149"/>
      <c r="J78" s="598" t="s">
        <v>313</v>
      </c>
      <c r="K78" s="599"/>
      <c r="L78" s="599"/>
      <c r="M78" s="599"/>
      <c r="N78" s="36"/>
      <c r="O78" s="600" t="s">
        <v>314</v>
      </c>
      <c r="P78" s="599"/>
      <c r="Q78" s="599"/>
      <c r="R78" s="599"/>
      <c r="S78" s="151"/>
      <c r="T78" s="598" t="s">
        <v>315</v>
      </c>
      <c r="U78" s="598"/>
      <c r="V78" s="598"/>
      <c r="W78" s="36"/>
      <c r="X78" s="77" t="s">
        <v>316</v>
      </c>
      <c r="Y78" s="36"/>
      <c r="Z78" s="152"/>
      <c r="AA78" s="148" t="s">
        <v>317</v>
      </c>
      <c r="AB78" s="144"/>
      <c r="AC78" s="153" t="s">
        <v>315</v>
      </c>
      <c r="AD78" s="144"/>
      <c r="AE78" s="154"/>
      <c r="AF78" s="155"/>
      <c r="AG78" s="92"/>
      <c r="AH78" s="156"/>
      <c r="AI78" s="92"/>
      <c r="AJ78" s="10"/>
      <c r="AK78" s="10"/>
      <c r="AS78" s="10"/>
      <c r="AT78" s="10"/>
      <c r="AU78" s="155"/>
      <c r="AV78" s="155"/>
    </row>
    <row r="79" spans="2:48" ht="12.75" customHeight="1">
      <c r="B79" s="11"/>
      <c r="C79" s="23"/>
      <c r="D79" s="159" t="s">
        <v>338</v>
      </c>
      <c r="E79" s="159" t="s">
        <v>319</v>
      </c>
      <c r="F79" s="159" t="s">
        <v>320</v>
      </c>
      <c r="G79" s="160" t="s">
        <v>321</v>
      </c>
      <c r="H79" s="161" t="s">
        <v>322</v>
      </c>
      <c r="I79" s="30"/>
      <c r="J79" s="160" t="s">
        <v>208</v>
      </c>
      <c r="K79" s="160" t="s">
        <v>323</v>
      </c>
      <c r="L79" s="162"/>
      <c r="M79" s="163" t="s">
        <v>324</v>
      </c>
      <c r="N79" s="164"/>
      <c r="O79" s="165" t="s">
        <v>325</v>
      </c>
      <c r="P79" s="166" t="s">
        <v>326</v>
      </c>
      <c r="Q79" s="166"/>
      <c r="R79" s="165" t="s">
        <v>325</v>
      </c>
      <c r="S79" s="30"/>
      <c r="T79" s="167" t="s">
        <v>327</v>
      </c>
      <c r="U79" s="167" t="s">
        <v>328</v>
      </c>
      <c r="V79" s="167" t="s">
        <v>329</v>
      </c>
      <c r="W79" s="164"/>
      <c r="X79" s="168" t="s">
        <v>330</v>
      </c>
      <c r="Y79" s="35"/>
      <c r="Z79" s="169" t="s">
        <v>339</v>
      </c>
      <c r="AA79" s="168" t="s">
        <v>330</v>
      </c>
      <c r="AB79" s="170"/>
      <c r="AC79" s="160" t="s">
        <v>332</v>
      </c>
      <c r="AD79" s="170"/>
      <c r="AE79" s="171"/>
      <c r="AF79" s="172"/>
      <c r="AG79" s="173"/>
      <c r="AH79" s="174"/>
      <c r="AI79" s="173"/>
      <c r="AJ79" s="10"/>
      <c r="AK79" s="10"/>
      <c r="AS79" s="10"/>
      <c r="AT79" s="10"/>
      <c r="AU79" s="155"/>
      <c r="AV79" s="172"/>
    </row>
    <row r="80" spans="2:48" ht="12.75" customHeight="1">
      <c r="B80" s="11"/>
      <c r="C80" s="23"/>
      <c r="D80" s="157"/>
      <c r="E80" s="159"/>
      <c r="F80" s="175"/>
      <c r="G80" s="160" t="s">
        <v>333</v>
      </c>
      <c r="H80" s="161" t="s">
        <v>334</v>
      </c>
      <c r="I80" s="30"/>
      <c r="J80" s="160"/>
      <c r="K80" s="160"/>
      <c r="L80" s="162"/>
      <c r="M80" s="163" t="s">
        <v>335</v>
      </c>
      <c r="N80" s="164"/>
      <c r="O80" s="165" t="s">
        <v>336</v>
      </c>
      <c r="P80" s="166"/>
      <c r="Q80" s="166"/>
      <c r="R80" s="165" t="s">
        <v>337</v>
      </c>
      <c r="S80" s="30"/>
      <c r="T80" s="167"/>
      <c r="U80" s="176">
        <f>+tab!H87</f>
        <v>0.503</v>
      </c>
      <c r="V80" s="167"/>
      <c r="W80" s="164"/>
      <c r="X80" s="168"/>
      <c r="Y80" s="23"/>
      <c r="Z80" s="169"/>
      <c r="AA80" s="168"/>
      <c r="AB80" s="23"/>
      <c r="AC80" s="69"/>
      <c r="AD80" s="23"/>
      <c r="AE80" s="12"/>
      <c r="AJ80" s="10"/>
      <c r="AK80" s="10"/>
      <c r="AS80" s="10"/>
      <c r="AT80" s="10"/>
      <c r="AV80" s="177"/>
    </row>
    <row r="81" spans="2:48" ht="12.75" customHeight="1">
      <c r="B81" s="11"/>
      <c r="C81" s="23"/>
      <c r="D81" s="35"/>
      <c r="E81" s="35"/>
      <c r="F81" s="35"/>
      <c r="G81" s="36"/>
      <c r="H81" s="143"/>
      <c r="I81" s="23"/>
      <c r="J81" s="170"/>
      <c r="K81" s="170"/>
      <c r="L81" s="178"/>
      <c r="M81" s="179"/>
      <c r="N81" s="164"/>
      <c r="O81" s="180"/>
      <c r="P81" s="181"/>
      <c r="Q81" s="164"/>
      <c r="R81" s="180"/>
      <c r="S81" s="164"/>
      <c r="T81" s="182"/>
      <c r="U81" s="182"/>
      <c r="V81" s="182"/>
      <c r="W81" s="164"/>
      <c r="X81" s="183"/>
      <c r="Y81" s="164"/>
      <c r="Z81" s="184"/>
      <c r="AA81" s="183"/>
      <c r="AB81" s="164"/>
      <c r="AC81" s="164"/>
      <c r="AD81" s="164"/>
      <c r="AE81" s="12"/>
      <c r="AJ81" s="10"/>
      <c r="AK81" s="10"/>
      <c r="AS81" s="10"/>
      <c r="AT81" s="10"/>
      <c r="AV81" s="177"/>
    </row>
    <row r="82" spans="2:53" s="185" customFormat="1" ht="12.75">
      <c r="B82" s="11"/>
      <c r="C82" s="23"/>
      <c r="D82" s="157">
        <f>IF(D17=0,"",D17)</f>
      </c>
      <c r="E82" s="157">
        <f>IF(E17="","",E17)</f>
      </c>
      <c r="F82" s="157">
        <f>IF(F17=0,"",F17)</f>
      </c>
      <c r="G82" s="157">
        <f>IF(G17="","",G17+1)</f>
      </c>
      <c r="H82" s="225">
        <f>IF(H17=0,"",H17)</f>
      </c>
      <c r="I82" s="206"/>
      <c r="J82" s="207">
        <f>IF(J17=0,"",J17)</f>
      </c>
      <c r="K82" s="208">
        <f aca="true" t="shared" si="10" ref="K82:K113">IF(E82="","",(IF((K17+1)&gt;VLOOKUP(J82,tabelsalaris,22,FALSE),K17,K17+1)))</f>
      </c>
      <c r="L82" s="206"/>
      <c r="M82" s="47">
        <f aca="true" t="shared" si="11" ref="M82:M113">IF(J82="","",ROUND(1.022*VLOOKUP(J82,tabelsalaris,K82+1,FALSE),0))</f>
      </c>
      <c r="N82" s="190"/>
      <c r="O82" s="209">
        <f aca="true" t="shared" si="12" ref="O82:P101">IF(O17="","",O17)</f>
      </c>
      <c r="P82" s="209">
        <f t="shared" si="12"/>
      </c>
      <c r="Q82" s="190"/>
      <c r="R82" s="193">
        <f>IF(P82="",O82,O82-P82)</f>
      </c>
      <c r="S82" s="190"/>
      <c r="T82" s="47">
        <f>IF(E82="","",(M82*R82*12))</f>
      </c>
      <c r="U82" s="47">
        <f>IF(E82="","",+T82*tab!H$87)</f>
      </c>
      <c r="V82" s="46">
        <f aca="true" t="shared" si="13" ref="V82:V131">IF(E82="",0,(T82+U82))</f>
        <v>0</v>
      </c>
      <c r="W82" s="49"/>
      <c r="X82" s="76">
        <f>IF(P82="",0,M82*12*P82*IF(OR(J82&lt;=8,J82="ID1",J82="ID2",J82="ID3"),1+tab!H$89,1+tab!G$89))</f>
        <v>0</v>
      </c>
      <c r="Y82" s="190"/>
      <c r="Z82" s="158">
        <f aca="true" t="shared" si="14" ref="Z82:Z131">IF(G82&lt;25,0,IF(G82=25,25,IF(G82&lt;40,0,IF(G82=40,40,IF(G82&gt;=40,0)))))</f>
        <v>0</v>
      </c>
      <c r="AA82" s="76">
        <f aca="true" t="shared" si="15" ref="AA82:AA131">IF(E82="",0,IF(Z82=25,(M82*1.08*(O82)/2),IF(Z82=40,(M82*1.08*(O82)),IF(Z82=0,0))))</f>
        <v>0</v>
      </c>
      <c r="AB82" s="49"/>
      <c r="AC82" s="47">
        <f aca="true" t="shared" si="16" ref="AC82:AC131">IF(E82="",0,(V82+X82+AA82))</f>
        <v>0</v>
      </c>
      <c r="AD82" s="49"/>
      <c r="AE82" s="12"/>
      <c r="AF82" s="10"/>
      <c r="AG82" s="10"/>
      <c r="AH82" s="210"/>
      <c r="AI82" s="10"/>
      <c r="AJ82" s="187"/>
      <c r="AK82" s="194"/>
      <c r="AQ82" s="211"/>
      <c r="AS82" s="187"/>
      <c r="AT82" s="194"/>
      <c r="BA82" s="10"/>
    </row>
    <row r="83" spans="2:46" s="185" customFormat="1" ht="12.75">
      <c r="B83" s="11"/>
      <c r="C83" s="23"/>
      <c r="D83" s="157">
        <f aca="true" t="shared" si="17" ref="D83:D131">IF(D18=0,"",D18)</f>
      </c>
      <c r="E83" s="157">
        <f aca="true" t="shared" si="18" ref="E83:E131">IF(E18="","",E18)</f>
      </c>
      <c r="F83" s="157">
        <f aca="true" t="shared" si="19" ref="F83:F131">IF(F18=0,"",F18)</f>
      </c>
      <c r="G83" s="157">
        <f aca="true" t="shared" si="20" ref="G83:G131">IF(G18="","",G18+1)</f>
      </c>
      <c r="H83" s="225">
        <f aca="true" t="shared" si="21" ref="H83:H131">IF(H18=0,"",H18)</f>
      </c>
      <c r="I83" s="206"/>
      <c r="J83" s="207">
        <f aca="true" t="shared" si="22" ref="J83:J131">IF(J18=0,"",J18)</f>
      </c>
      <c r="K83" s="208">
        <f t="shared" si="10"/>
      </c>
      <c r="L83" s="206"/>
      <c r="M83" s="47">
        <f t="shared" si="11"/>
      </c>
      <c r="N83" s="190"/>
      <c r="O83" s="209">
        <f t="shared" si="12"/>
      </c>
      <c r="P83" s="209">
        <f t="shared" si="12"/>
      </c>
      <c r="Q83" s="190"/>
      <c r="R83" s="193">
        <f aca="true" t="shared" si="23" ref="R83:R131">IF(P83="",O83,O83-P83)</f>
      </c>
      <c r="S83" s="190"/>
      <c r="T83" s="47">
        <f aca="true" t="shared" si="24" ref="T83:T131">IF(E83="","",(M83*R83*12))</f>
      </c>
      <c r="U83" s="47">
        <f>IF(E83="","",+T83*tab!H$87)</f>
      </c>
      <c r="V83" s="46">
        <f t="shared" si="13"/>
        <v>0</v>
      </c>
      <c r="W83" s="49"/>
      <c r="X83" s="76">
        <f>IF(P83="",0,M83*12*P83*IF(OR(J83&lt;=8,J83="ID1",J83="ID2",J83="ID3"),1+tab!H$89,1+tab!G$89))</f>
        <v>0</v>
      </c>
      <c r="Y83" s="190"/>
      <c r="Z83" s="158">
        <f t="shared" si="14"/>
        <v>0</v>
      </c>
      <c r="AA83" s="76">
        <f t="shared" si="15"/>
        <v>0</v>
      </c>
      <c r="AB83" s="49"/>
      <c r="AC83" s="47">
        <f t="shared" si="16"/>
        <v>0</v>
      </c>
      <c r="AD83" s="49"/>
      <c r="AE83" s="12"/>
      <c r="AF83" s="10"/>
      <c r="AG83" s="10"/>
      <c r="AH83" s="210"/>
      <c r="AI83" s="10"/>
      <c r="AJ83" s="187"/>
      <c r="AK83" s="194"/>
      <c r="AQ83" s="211"/>
      <c r="AS83" s="187"/>
      <c r="AT83" s="194"/>
    </row>
    <row r="84" spans="2:53" s="185" customFormat="1" ht="12.75">
      <c r="B84" s="11"/>
      <c r="C84" s="23"/>
      <c r="D84" s="157">
        <f t="shared" si="17"/>
      </c>
      <c r="E84" s="157">
        <f t="shared" si="18"/>
      </c>
      <c r="F84" s="157">
        <f t="shared" si="19"/>
      </c>
      <c r="G84" s="157">
        <f t="shared" si="20"/>
      </c>
      <c r="H84" s="225">
        <f t="shared" si="21"/>
      </c>
      <c r="I84" s="206"/>
      <c r="J84" s="207">
        <f t="shared" si="22"/>
      </c>
      <c r="K84" s="208">
        <f t="shared" si="10"/>
      </c>
      <c r="L84" s="206"/>
      <c r="M84" s="47">
        <f t="shared" si="11"/>
      </c>
      <c r="N84" s="190"/>
      <c r="O84" s="209">
        <f t="shared" si="12"/>
      </c>
      <c r="P84" s="209">
        <f t="shared" si="12"/>
      </c>
      <c r="Q84" s="190"/>
      <c r="R84" s="193">
        <f t="shared" si="23"/>
      </c>
      <c r="S84" s="190"/>
      <c r="T84" s="47">
        <f t="shared" si="24"/>
      </c>
      <c r="U84" s="47">
        <f>IF(E84="","",+T84*tab!H$87)</f>
      </c>
      <c r="V84" s="46">
        <f t="shared" si="13"/>
        <v>0</v>
      </c>
      <c r="W84" s="49"/>
      <c r="X84" s="76">
        <f>IF(P84="",0,M84*12*P84*IF(OR(J84&lt;=8,J84="ID1",J84="ID2",J84="ID3"),1+tab!H$89,1+tab!G$89))</f>
        <v>0</v>
      </c>
      <c r="Y84" s="190"/>
      <c r="Z84" s="158">
        <f t="shared" si="14"/>
        <v>0</v>
      </c>
      <c r="AA84" s="76">
        <f t="shared" si="15"/>
        <v>0</v>
      </c>
      <c r="AB84" s="49"/>
      <c r="AC84" s="47">
        <f t="shared" si="16"/>
        <v>0</v>
      </c>
      <c r="AD84" s="49"/>
      <c r="AE84" s="12"/>
      <c r="AF84" s="10"/>
      <c r="AG84" s="10"/>
      <c r="AH84" s="210"/>
      <c r="AI84" s="10"/>
      <c r="AJ84" s="187"/>
      <c r="AK84" s="194"/>
      <c r="AQ84" s="211"/>
      <c r="AS84" s="187"/>
      <c r="AT84" s="194"/>
      <c r="BA84" s="463"/>
    </row>
    <row r="85" spans="2:53" s="185" customFormat="1" ht="12.75">
      <c r="B85" s="11"/>
      <c r="C85" s="23"/>
      <c r="D85" s="157">
        <f t="shared" si="17"/>
      </c>
      <c r="E85" s="157">
        <f t="shared" si="18"/>
      </c>
      <c r="F85" s="157">
        <f t="shared" si="19"/>
      </c>
      <c r="G85" s="157">
        <f t="shared" si="20"/>
      </c>
      <c r="H85" s="225">
        <f t="shared" si="21"/>
      </c>
      <c r="I85" s="206"/>
      <c r="J85" s="207">
        <f t="shared" si="22"/>
      </c>
      <c r="K85" s="208">
        <f t="shared" si="10"/>
      </c>
      <c r="L85" s="206"/>
      <c r="M85" s="47">
        <f t="shared" si="11"/>
      </c>
      <c r="N85" s="190"/>
      <c r="O85" s="209">
        <f t="shared" si="12"/>
      </c>
      <c r="P85" s="209">
        <f t="shared" si="12"/>
      </c>
      <c r="Q85" s="190"/>
      <c r="R85" s="193">
        <f t="shared" si="23"/>
      </c>
      <c r="S85" s="190"/>
      <c r="T85" s="47">
        <f t="shared" si="24"/>
      </c>
      <c r="U85" s="47">
        <f>IF(E85="","",+T85*tab!H$87)</f>
      </c>
      <c r="V85" s="46">
        <f t="shared" si="13"/>
        <v>0</v>
      </c>
      <c r="W85" s="49"/>
      <c r="X85" s="76">
        <f>IF(P85="",0,M85*12*P85*IF(OR(J85&lt;=8,J85="ID1",J85="ID2",J85="ID3"),1+tab!H$89,1+tab!G$89))</f>
        <v>0</v>
      </c>
      <c r="Y85" s="190"/>
      <c r="Z85" s="158">
        <f t="shared" si="14"/>
        <v>0</v>
      </c>
      <c r="AA85" s="76">
        <f t="shared" si="15"/>
        <v>0</v>
      </c>
      <c r="AB85" s="49"/>
      <c r="AC85" s="47">
        <f t="shared" si="16"/>
        <v>0</v>
      </c>
      <c r="AD85" s="49"/>
      <c r="AE85" s="12"/>
      <c r="AF85" s="10"/>
      <c r="AG85" s="10"/>
      <c r="AH85" s="210"/>
      <c r="AI85" s="10"/>
      <c r="AJ85" s="187"/>
      <c r="AK85" s="194"/>
      <c r="AQ85" s="211"/>
      <c r="AS85" s="187"/>
      <c r="AT85" s="194"/>
      <c r="BA85" s="463"/>
    </row>
    <row r="86" spans="2:53" s="185" customFormat="1" ht="12.75">
      <c r="B86" s="11"/>
      <c r="C86" s="23"/>
      <c r="D86" s="157">
        <f t="shared" si="17"/>
      </c>
      <c r="E86" s="157">
        <f t="shared" si="18"/>
      </c>
      <c r="F86" s="157">
        <f t="shared" si="19"/>
      </c>
      <c r="G86" s="157">
        <f t="shared" si="20"/>
      </c>
      <c r="H86" s="225">
        <f t="shared" si="21"/>
      </c>
      <c r="I86" s="206"/>
      <c r="J86" s="207">
        <f t="shared" si="22"/>
      </c>
      <c r="K86" s="208">
        <f t="shared" si="10"/>
      </c>
      <c r="L86" s="206"/>
      <c r="M86" s="47">
        <f t="shared" si="11"/>
      </c>
      <c r="N86" s="190"/>
      <c r="O86" s="209">
        <f t="shared" si="12"/>
      </c>
      <c r="P86" s="209">
        <f t="shared" si="12"/>
      </c>
      <c r="Q86" s="190"/>
      <c r="R86" s="193">
        <f t="shared" si="23"/>
      </c>
      <c r="S86" s="190"/>
      <c r="T86" s="47">
        <f t="shared" si="24"/>
      </c>
      <c r="U86" s="47">
        <f>IF(E86="","",+T86*tab!H$87)</f>
      </c>
      <c r="V86" s="46">
        <f t="shared" si="13"/>
        <v>0</v>
      </c>
      <c r="W86" s="49"/>
      <c r="X86" s="76">
        <f>IF(P86="",0,M86*12*P86*IF(OR(J86&lt;=8,J86="ID1",J86="ID2",J86="ID3"),1+tab!H$89,1+tab!G$89))</f>
        <v>0</v>
      </c>
      <c r="Y86" s="190"/>
      <c r="Z86" s="158">
        <f t="shared" si="14"/>
        <v>0</v>
      </c>
      <c r="AA86" s="76">
        <f t="shared" si="15"/>
        <v>0</v>
      </c>
      <c r="AB86" s="49"/>
      <c r="AC86" s="47">
        <f t="shared" si="16"/>
        <v>0</v>
      </c>
      <c r="AD86" s="49"/>
      <c r="AE86" s="12"/>
      <c r="AF86" s="10"/>
      <c r="AG86" s="10"/>
      <c r="AH86" s="210"/>
      <c r="AI86" s="10"/>
      <c r="AJ86" s="187"/>
      <c r="AK86" s="194"/>
      <c r="AQ86" s="211"/>
      <c r="AS86" s="187"/>
      <c r="AT86" s="194"/>
      <c r="BA86" s="463"/>
    </row>
    <row r="87" spans="2:53" s="185" customFormat="1" ht="12.75">
      <c r="B87" s="11"/>
      <c r="C87" s="23"/>
      <c r="D87" s="157">
        <f t="shared" si="17"/>
      </c>
      <c r="E87" s="157">
        <f t="shared" si="18"/>
      </c>
      <c r="F87" s="157">
        <f t="shared" si="19"/>
      </c>
      <c r="G87" s="157">
        <f t="shared" si="20"/>
      </c>
      <c r="H87" s="225">
        <f t="shared" si="21"/>
      </c>
      <c r="I87" s="206"/>
      <c r="J87" s="207">
        <f t="shared" si="22"/>
      </c>
      <c r="K87" s="208">
        <f t="shared" si="10"/>
      </c>
      <c r="L87" s="206"/>
      <c r="M87" s="47">
        <f t="shared" si="11"/>
      </c>
      <c r="N87" s="190"/>
      <c r="O87" s="209">
        <f t="shared" si="12"/>
      </c>
      <c r="P87" s="209">
        <f t="shared" si="12"/>
      </c>
      <c r="Q87" s="190"/>
      <c r="R87" s="193">
        <f t="shared" si="23"/>
      </c>
      <c r="S87" s="190"/>
      <c r="T87" s="47">
        <f t="shared" si="24"/>
      </c>
      <c r="U87" s="47">
        <f>IF(E87="","",+T87*tab!H$87)</f>
      </c>
      <c r="V87" s="46">
        <f t="shared" si="13"/>
        <v>0</v>
      </c>
      <c r="W87" s="49"/>
      <c r="X87" s="76">
        <f>IF(P87="",0,M87*12*P87*IF(OR(J87&lt;=8,J87="ID1",J87="ID2",J87="ID3"),1+tab!H$89,1+tab!G$89))</f>
        <v>0</v>
      </c>
      <c r="Y87" s="190"/>
      <c r="Z87" s="158">
        <f t="shared" si="14"/>
        <v>0</v>
      </c>
      <c r="AA87" s="76">
        <f t="shared" si="15"/>
        <v>0</v>
      </c>
      <c r="AB87" s="49"/>
      <c r="AC87" s="47">
        <f t="shared" si="16"/>
        <v>0</v>
      </c>
      <c r="AD87" s="49"/>
      <c r="AE87" s="12"/>
      <c r="AF87" s="10"/>
      <c r="AG87" s="10"/>
      <c r="AH87" s="210"/>
      <c r="AI87" s="10"/>
      <c r="AJ87" s="187"/>
      <c r="AK87" s="194"/>
      <c r="AQ87" s="211"/>
      <c r="AS87" s="187"/>
      <c r="AT87" s="194"/>
      <c r="BA87" s="463"/>
    </row>
    <row r="88" spans="2:53" s="185" customFormat="1" ht="12.75">
      <c r="B88" s="11"/>
      <c r="C88" s="23"/>
      <c r="D88" s="157">
        <f t="shared" si="17"/>
      </c>
      <c r="E88" s="157">
        <f t="shared" si="18"/>
      </c>
      <c r="F88" s="157">
        <f t="shared" si="19"/>
      </c>
      <c r="G88" s="157">
        <f t="shared" si="20"/>
      </c>
      <c r="H88" s="225">
        <f t="shared" si="21"/>
      </c>
      <c r="I88" s="206"/>
      <c r="J88" s="207">
        <f t="shared" si="22"/>
      </c>
      <c r="K88" s="208">
        <f t="shared" si="10"/>
      </c>
      <c r="L88" s="206"/>
      <c r="M88" s="47">
        <f t="shared" si="11"/>
      </c>
      <c r="N88" s="190"/>
      <c r="O88" s="209">
        <f t="shared" si="12"/>
      </c>
      <c r="P88" s="209">
        <f t="shared" si="12"/>
      </c>
      <c r="Q88" s="190"/>
      <c r="R88" s="193">
        <f t="shared" si="23"/>
      </c>
      <c r="S88" s="190"/>
      <c r="T88" s="47">
        <f t="shared" si="24"/>
      </c>
      <c r="U88" s="47">
        <f>IF(E88="","",+T88*tab!H$87)</f>
      </c>
      <c r="V88" s="46">
        <f t="shared" si="13"/>
        <v>0</v>
      </c>
      <c r="W88" s="49"/>
      <c r="X88" s="76">
        <f>IF(P88="",0,M88*12*P88*IF(OR(J88&lt;=8,J88="ID1",J88="ID2",J88="ID3"),1+tab!H$89,1+tab!G$89))</f>
        <v>0</v>
      </c>
      <c r="Y88" s="190"/>
      <c r="Z88" s="158">
        <f t="shared" si="14"/>
        <v>0</v>
      </c>
      <c r="AA88" s="76">
        <f t="shared" si="15"/>
        <v>0</v>
      </c>
      <c r="AB88" s="49"/>
      <c r="AC88" s="47">
        <f t="shared" si="16"/>
        <v>0</v>
      </c>
      <c r="AD88" s="49"/>
      <c r="AE88" s="12"/>
      <c r="AF88" s="10"/>
      <c r="AG88" s="10"/>
      <c r="AH88" s="210"/>
      <c r="AI88" s="10"/>
      <c r="AJ88" s="187"/>
      <c r="AK88" s="194"/>
      <c r="AQ88" s="211"/>
      <c r="AS88" s="187"/>
      <c r="AT88" s="194"/>
      <c r="BA88" s="463"/>
    </row>
    <row r="89" spans="2:53" s="185" customFormat="1" ht="12.75">
      <c r="B89" s="11"/>
      <c r="C89" s="23"/>
      <c r="D89" s="157">
        <f t="shared" si="17"/>
      </c>
      <c r="E89" s="157">
        <f t="shared" si="18"/>
      </c>
      <c r="F89" s="157">
        <f t="shared" si="19"/>
      </c>
      <c r="G89" s="157">
        <f t="shared" si="20"/>
      </c>
      <c r="H89" s="225">
        <f t="shared" si="21"/>
      </c>
      <c r="I89" s="206"/>
      <c r="J89" s="207">
        <f t="shared" si="22"/>
      </c>
      <c r="K89" s="208">
        <f t="shared" si="10"/>
      </c>
      <c r="L89" s="206"/>
      <c r="M89" s="47">
        <f t="shared" si="11"/>
      </c>
      <c r="N89" s="190"/>
      <c r="O89" s="209">
        <f t="shared" si="12"/>
      </c>
      <c r="P89" s="209">
        <f t="shared" si="12"/>
      </c>
      <c r="Q89" s="190"/>
      <c r="R89" s="193">
        <f t="shared" si="23"/>
      </c>
      <c r="S89" s="190"/>
      <c r="T89" s="47">
        <f t="shared" si="24"/>
      </c>
      <c r="U89" s="47">
        <f>IF(E89="","",+T89*tab!H$87)</f>
      </c>
      <c r="V89" s="46">
        <f t="shared" si="13"/>
        <v>0</v>
      </c>
      <c r="W89" s="49"/>
      <c r="X89" s="76">
        <f>IF(P89="",0,M89*12*P89*IF(OR(J89&lt;=8,J89="ID1",J89="ID2",J89="ID3"),1+tab!H$89,1+tab!G$89))</f>
        <v>0</v>
      </c>
      <c r="Y89" s="190"/>
      <c r="Z89" s="158">
        <f t="shared" si="14"/>
        <v>0</v>
      </c>
      <c r="AA89" s="76">
        <f t="shared" si="15"/>
        <v>0</v>
      </c>
      <c r="AB89" s="49"/>
      <c r="AC89" s="47">
        <f t="shared" si="16"/>
        <v>0</v>
      </c>
      <c r="AD89" s="49"/>
      <c r="AE89" s="12"/>
      <c r="AF89" s="10"/>
      <c r="AG89" s="10"/>
      <c r="AH89" s="210"/>
      <c r="AI89" s="10"/>
      <c r="AJ89" s="187"/>
      <c r="AK89" s="194"/>
      <c r="AQ89" s="211"/>
      <c r="AS89" s="187"/>
      <c r="AT89" s="194"/>
      <c r="BA89" s="463"/>
    </row>
    <row r="90" spans="2:53" s="185" customFormat="1" ht="12.75">
      <c r="B90" s="11"/>
      <c r="C90" s="23"/>
      <c r="D90" s="157">
        <f t="shared" si="17"/>
      </c>
      <c r="E90" s="157">
        <f t="shared" si="18"/>
      </c>
      <c r="F90" s="157">
        <f t="shared" si="19"/>
      </c>
      <c r="G90" s="157">
        <f t="shared" si="20"/>
      </c>
      <c r="H90" s="225">
        <f t="shared" si="21"/>
      </c>
      <c r="I90" s="206"/>
      <c r="J90" s="207">
        <f t="shared" si="22"/>
      </c>
      <c r="K90" s="208">
        <f t="shared" si="10"/>
      </c>
      <c r="L90" s="206"/>
      <c r="M90" s="47">
        <f t="shared" si="11"/>
      </c>
      <c r="N90" s="190"/>
      <c r="O90" s="209">
        <f t="shared" si="12"/>
      </c>
      <c r="P90" s="209">
        <f t="shared" si="12"/>
      </c>
      <c r="Q90" s="190"/>
      <c r="R90" s="193">
        <f t="shared" si="23"/>
      </c>
      <c r="S90" s="190"/>
      <c r="T90" s="47">
        <f t="shared" si="24"/>
      </c>
      <c r="U90" s="47">
        <f>IF(E90="","",+T90*tab!H$87)</f>
      </c>
      <c r="V90" s="46">
        <f t="shared" si="13"/>
        <v>0</v>
      </c>
      <c r="W90" s="49"/>
      <c r="X90" s="76">
        <f>IF(P90="",0,M90*12*P90*IF(OR(J90&lt;=8,J90="ID1",J90="ID2",J90="ID3"),1+tab!H$89,1+tab!G$89))</f>
        <v>0</v>
      </c>
      <c r="Y90" s="190"/>
      <c r="Z90" s="158">
        <f t="shared" si="14"/>
        <v>0</v>
      </c>
      <c r="AA90" s="76">
        <f t="shared" si="15"/>
        <v>0</v>
      </c>
      <c r="AB90" s="49"/>
      <c r="AC90" s="47">
        <f t="shared" si="16"/>
        <v>0</v>
      </c>
      <c r="AD90" s="49"/>
      <c r="AE90" s="12"/>
      <c r="AF90" s="10"/>
      <c r="AG90" s="10"/>
      <c r="AH90" s="210"/>
      <c r="AI90" s="10"/>
      <c r="AJ90" s="187"/>
      <c r="AK90" s="194"/>
      <c r="AQ90" s="211"/>
      <c r="AS90" s="187"/>
      <c r="AT90" s="194"/>
      <c r="BA90" s="463"/>
    </row>
    <row r="91" spans="2:53" s="185" customFormat="1" ht="12.75">
      <c r="B91" s="11"/>
      <c r="C91" s="23"/>
      <c r="D91" s="157">
        <f t="shared" si="17"/>
      </c>
      <c r="E91" s="157">
        <f t="shared" si="18"/>
      </c>
      <c r="F91" s="157">
        <f t="shared" si="19"/>
      </c>
      <c r="G91" s="157">
        <f t="shared" si="20"/>
      </c>
      <c r="H91" s="225">
        <f t="shared" si="21"/>
      </c>
      <c r="I91" s="206"/>
      <c r="J91" s="207">
        <f t="shared" si="22"/>
      </c>
      <c r="K91" s="208">
        <f t="shared" si="10"/>
      </c>
      <c r="L91" s="206"/>
      <c r="M91" s="47">
        <f t="shared" si="11"/>
      </c>
      <c r="N91" s="190"/>
      <c r="O91" s="209">
        <f t="shared" si="12"/>
      </c>
      <c r="P91" s="209">
        <f t="shared" si="12"/>
      </c>
      <c r="Q91" s="190"/>
      <c r="R91" s="193">
        <f t="shared" si="23"/>
      </c>
      <c r="S91" s="190"/>
      <c r="T91" s="47">
        <f t="shared" si="24"/>
      </c>
      <c r="U91" s="47">
        <f>IF(E91="","",+T91*tab!H$87)</f>
      </c>
      <c r="V91" s="46">
        <f t="shared" si="13"/>
        <v>0</v>
      </c>
      <c r="W91" s="49"/>
      <c r="X91" s="76">
        <f>IF(P91="",0,M91*12*P91*IF(OR(J91&lt;=8,J91="ID1",J91="ID2",J91="ID3"),1+tab!H$89,1+tab!G$89))</f>
        <v>0</v>
      </c>
      <c r="Y91" s="190"/>
      <c r="Z91" s="158">
        <f t="shared" si="14"/>
        <v>0</v>
      </c>
      <c r="AA91" s="76">
        <f t="shared" si="15"/>
        <v>0</v>
      </c>
      <c r="AB91" s="49"/>
      <c r="AC91" s="47">
        <f t="shared" si="16"/>
        <v>0</v>
      </c>
      <c r="AD91" s="49"/>
      <c r="AE91" s="12"/>
      <c r="AF91" s="10"/>
      <c r="AG91" s="10"/>
      <c r="AH91" s="210"/>
      <c r="AI91" s="10"/>
      <c r="AJ91" s="187"/>
      <c r="AK91" s="194"/>
      <c r="AQ91" s="211"/>
      <c r="AS91" s="187"/>
      <c r="AT91" s="194"/>
      <c r="BA91" s="463"/>
    </row>
    <row r="92" spans="2:53" s="185" customFormat="1" ht="12.75">
      <c r="B92" s="11"/>
      <c r="C92" s="23"/>
      <c r="D92" s="157">
        <f t="shared" si="17"/>
      </c>
      <c r="E92" s="157">
        <f t="shared" si="18"/>
      </c>
      <c r="F92" s="157">
        <f t="shared" si="19"/>
      </c>
      <c r="G92" s="157">
        <f t="shared" si="20"/>
      </c>
      <c r="H92" s="225">
        <f t="shared" si="21"/>
      </c>
      <c r="I92" s="206"/>
      <c r="J92" s="207">
        <f t="shared" si="22"/>
      </c>
      <c r="K92" s="208">
        <f t="shared" si="10"/>
      </c>
      <c r="L92" s="206"/>
      <c r="M92" s="47">
        <f t="shared" si="11"/>
      </c>
      <c r="N92" s="190"/>
      <c r="O92" s="209">
        <f t="shared" si="12"/>
      </c>
      <c r="P92" s="209">
        <f t="shared" si="12"/>
      </c>
      <c r="Q92" s="190"/>
      <c r="R92" s="193">
        <f t="shared" si="23"/>
      </c>
      <c r="S92" s="190"/>
      <c r="T92" s="47">
        <f t="shared" si="24"/>
      </c>
      <c r="U92" s="47">
        <f>IF(E92="","",+T92*tab!H$87)</f>
      </c>
      <c r="V92" s="46">
        <f t="shared" si="13"/>
        <v>0</v>
      </c>
      <c r="W92" s="49"/>
      <c r="X92" s="76">
        <f>IF(P92="",0,M92*12*P92*IF(OR(J92&lt;=8,J92="ID1",J92="ID2",J92="ID3"),1+tab!H$89,1+tab!G$89))</f>
        <v>0</v>
      </c>
      <c r="Y92" s="190"/>
      <c r="Z92" s="158">
        <f t="shared" si="14"/>
        <v>0</v>
      </c>
      <c r="AA92" s="76">
        <f t="shared" si="15"/>
        <v>0</v>
      </c>
      <c r="AB92" s="49"/>
      <c r="AC92" s="47">
        <f t="shared" si="16"/>
        <v>0</v>
      </c>
      <c r="AD92" s="49"/>
      <c r="AE92" s="12"/>
      <c r="AF92" s="10"/>
      <c r="AG92" s="10"/>
      <c r="AH92" s="210"/>
      <c r="AI92" s="10"/>
      <c r="AJ92" s="187"/>
      <c r="AK92" s="194"/>
      <c r="AQ92" s="211"/>
      <c r="AS92" s="187"/>
      <c r="AT92" s="194"/>
      <c r="BA92" s="463"/>
    </row>
    <row r="93" spans="2:53" s="185" customFormat="1" ht="12.75">
      <c r="B93" s="11"/>
      <c r="C93" s="23"/>
      <c r="D93" s="157">
        <f t="shared" si="17"/>
      </c>
      <c r="E93" s="157">
        <f t="shared" si="18"/>
      </c>
      <c r="F93" s="157">
        <f t="shared" si="19"/>
      </c>
      <c r="G93" s="157">
        <f t="shared" si="20"/>
      </c>
      <c r="H93" s="225">
        <f t="shared" si="21"/>
      </c>
      <c r="I93" s="206"/>
      <c r="J93" s="207">
        <f t="shared" si="22"/>
      </c>
      <c r="K93" s="208">
        <f t="shared" si="10"/>
      </c>
      <c r="L93" s="206"/>
      <c r="M93" s="47">
        <f t="shared" si="11"/>
      </c>
      <c r="N93" s="190"/>
      <c r="O93" s="209">
        <f t="shared" si="12"/>
      </c>
      <c r="P93" s="209">
        <f t="shared" si="12"/>
      </c>
      <c r="Q93" s="190"/>
      <c r="R93" s="193">
        <f t="shared" si="23"/>
      </c>
      <c r="S93" s="190"/>
      <c r="T93" s="47">
        <f t="shared" si="24"/>
      </c>
      <c r="U93" s="47">
        <f>IF(E93="","",+T93*tab!H$87)</f>
      </c>
      <c r="V93" s="46">
        <f t="shared" si="13"/>
        <v>0</v>
      </c>
      <c r="W93" s="49"/>
      <c r="X93" s="76">
        <f>IF(P93="",0,M93*12*P93*IF(OR(J93&lt;=8,J93="ID1",J93="ID2",J93="ID3"),1+tab!H$89,1+tab!G$89))</f>
        <v>0</v>
      </c>
      <c r="Y93" s="190"/>
      <c r="Z93" s="158">
        <f t="shared" si="14"/>
        <v>0</v>
      </c>
      <c r="AA93" s="76">
        <f t="shared" si="15"/>
        <v>0</v>
      </c>
      <c r="AB93" s="49"/>
      <c r="AC93" s="47">
        <f t="shared" si="16"/>
        <v>0</v>
      </c>
      <c r="AD93" s="49"/>
      <c r="AE93" s="12"/>
      <c r="AF93" s="10"/>
      <c r="AG93" s="10"/>
      <c r="AH93" s="210"/>
      <c r="AI93" s="10"/>
      <c r="AJ93" s="187"/>
      <c r="AK93" s="194"/>
      <c r="AQ93" s="211"/>
      <c r="AS93" s="187"/>
      <c r="AT93" s="194"/>
      <c r="BA93" s="463"/>
    </row>
    <row r="94" spans="2:53" s="185" customFormat="1" ht="12.75">
      <c r="B94" s="11"/>
      <c r="C94" s="23"/>
      <c r="D94" s="157">
        <f t="shared" si="17"/>
      </c>
      <c r="E94" s="157">
        <f t="shared" si="18"/>
      </c>
      <c r="F94" s="157">
        <f t="shared" si="19"/>
      </c>
      <c r="G94" s="157">
        <f t="shared" si="20"/>
      </c>
      <c r="H94" s="225">
        <f t="shared" si="21"/>
      </c>
      <c r="I94" s="206"/>
      <c r="J94" s="207">
        <f t="shared" si="22"/>
      </c>
      <c r="K94" s="208">
        <f t="shared" si="10"/>
      </c>
      <c r="L94" s="206"/>
      <c r="M94" s="47">
        <f t="shared" si="11"/>
      </c>
      <c r="N94" s="190"/>
      <c r="O94" s="209">
        <f t="shared" si="12"/>
      </c>
      <c r="P94" s="209">
        <f t="shared" si="12"/>
      </c>
      <c r="Q94" s="190"/>
      <c r="R94" s="193">
        <f t="shared" si="23"/>
      </c>
      <c r="S94" s="190"/>
      <c r="T94" s="47">
        <f t="shared" si="24"/>
      </c>
      <c r="U94" s="47">
        <f>IF(E94="","",+T94*tab!H$87)</f>
      </c>
      <c r="V94" s="46">
        <f t="shared" si="13"/>
        <v>0</v>
      </c>
      <c r="W94" s="49"/>
      <c r="X94" s="76">
        <f>IF(P94="",0,M94*12*P94*IF(OR(J94&lt;=8,J94="ID1",J94="ID2",J94="ID3"),1+tab!H$89,1+tab!G$89))</f>
        <v>0</v>
      </c>
      <c r="Y94" s="190"/>
      <c r="Z94" s="158">
        <f t="shared" si="14"/>
        <v>0</v>
      </c>
      <c r="AA94" s="76">
        <f t="shared" si="15"/>
        <v>0</v>
      </c>
      <c r="AB94" s="49"/>
      <c r="AC94" s="47">
        <f t="shared" si="16"/>
        <v>0</v>
      </c>
      <c r="AD94" s="49"/>
      <c r="AE94" s="12"/>
      <c r="AF94" s="10"/>
      <c r="AG94" s="10"/>
      <c r="AH94" s="210"/>
      <c r="AI94" s="10"/>
      <c r="AJ94" s="187"/>
      <c r="AK94" s="194"/>
      <c r="AQ94" s="211"/>
      <c r="AS94" s="187"/>
      <c r="AT94" s="194"/>
      <c r="BA94" s="463"/>
    </row>
    <row r="95" spans="2:53" s="185" customFormat="1" ht="12.75">
      <c r="B95" s="11"/>
      <c r="C95" s="23"/>
      <c r="D95" s="157">
        <f t="shared" si="17"/>
      </c>
      <c r="E95" s="157">
        <f t="shared" si="18"/>
      </c>
      <c r="F95" s="157">
        <f t="shared" si="19"/>
      </c>
      <c r="G95" s="157">
        <f t="shared" si="20"/>
      </c>
      <c r="H95" s="225">
        <f t="shared" si="21"/>
      </c>
      <c r="I95" s="206"/>
      <c r="J95" s="207">
        <f t="shared" si="22"/>
      </c>
      <c r="K95" s="208">
        <f t="shared" si="10"/>
      </c>
      <c r="L95" s="206"/>
      <c r="M95" s="47">
        <f t="shared" si="11"/>
      </c>
      <c r="N95" s="190"/>
      <c r="O95" s="209">
        <f t="shared" si="12"/>
      </c>
      <c r="P95" s="209">
        <f t="shared" si="12"/>
      </c>
      <c r="Q95" s="190"/>
      <c r="R95" s="193">
        <f t="shared" si="23"/>
      </c>
      <c r="S95" s="190"/>
      <c r="T95" s="47">
        <f t="shared" si="24"/>
      </c>
      <c r="U95" s="47">
        <f>IF(E95="","",+T95*tab!H$87)</f>
      </c>
      <c r="V95" s="46">
        <f t="shared" si="13"/>
        <v>0</v>
      </c>
      <c r="W95" s="49"/>
      <c r="X95" s="76">
        <f>IF(P95="",0,M95*12*P95*IF(OR(J95&lt;=8,J95="ID1",J95="ID2",J95="ID3"),1+tab!H$89,1+tab!G$89))</f>
        <v>0</v>
      </c>
      <c r="Y95" s="190"/>
      <c r="Z95" s="158">
        <f t="shared" si="14"/>
        <v>0</v>
      </c>
      <c r="AA95" s="76">
        <f t="shared" si="15"/>
        <v>0</v>
      </c>
      <c r="AB95" s="49"/>
      <c r="AC95" s="47">
        <f t="shared" si="16"/>
        <v>0</v>
      </c>
      <c r="AD95" s="49"/>
      <c r="AE95" s="12"/>
      <c r="AF95" s="10"/>
      <c r="AG95" s="10"/>
      <c r="AH95" s="210"/>
      <c r="AI95" s="10"/>
      <c r="AJ95" s="187"/>
      <c r="AK95" s="194"/>
      <c r="AQ95" s="211"/>
      <c r="AS95" s="187"/>
      <c r="AT95" s="194"/>
      <c r="BA95" s="463"/>
    </row>
    <row r="96" spans="2:53" s="185" customFormat="1" ht="12.75">
      <c r="B96" s="11"/>
      <c r="C96" s="23"/>
      <c r="D96" s="157">
        <f t="shared" si="17"/>
      </c>
      <c r="E96" s="157">
        <f t="shared" si="18"/>
      </c>
      <c r="F96" s="157">
        <f t="shared" si="19"/>
      </c>
      <c r="G96" s="157">
        <f t="shared" si="20"/>
      </c>
      <c r="H96" s="225">
        <f t="shared" si="21"/>
      </c>
      <c r="I96" s="206"/>
      <c r="J96" s="207">
        <f t="shared" si="22"/>
      </c>
      <c r="K96" s="208">
        <f t="shared" si="10"/>
      </c>
      <c r="L96" s="206"/>
      <c r="M96" s="47">
        <f t="shared" si="11"/>
      </c>
      <c r="N96" s="190"/>
      <c r="O96" s="209">
        <f t="shared" si="12"/>
      </c>
      <c r="P96" s="209">
        <f t="shared" si="12"/>
      </c>
      <c r="Q96" s="190"/>
      <c r="R96" s="193">
        <f t="shared" si="23"/>
      </c>
      <c r="S96" s="190"/>
      <c r="T96" s="47">
        <f t="shared" si="24"/>
      </c>
      <c r="U96" s="47">
        <f>IF(E96="","",+T96*tab!H$87)</f>
      </c>
      <c r="V96" s="46">
        <f t="shared" si="13"/>
        <v>0</v>
      </c>
      <c r="W96" s="49"/>
      <c r="X96" s="76">
        <f>IF(P96="",0,M96*12*P96*IF(OR(J96&lt;=8,J96="ID1",J96="ID2",J96="ID3"),1+tab!H$89,1+tab!G$89))</f>
        <v>0</v>
      </c>
      <c r="Y96" s="190"/>
      <c r="Z96" s="158">
        <f t="shared" si="14"/>
        <v>0</v>
      </c>
      <c r="AA96" s="76">
        <f t="shared" si="15"/>
        <v>0</v>
      </c>
      <c r="AB96" s="49"/>
      <c r="AC96" s="47">
        <f t="shared" si="16"/>
        <v>0</v>
      </c>
      <c r="AD96" s="49"/>
      <c r="AE96" s="12"/>
      <c r="AF96" s="10"/>
      <c r="AG96" s="10"/>
      <c r="AH96" s="210"/>
      <c r="AI96" s="10"/>
      <c r="AJ96" s="187"/>
      <c r="AK96" s="194"/>
      <c r="AQ96" s="211"/>
      <c r="AS96" s="187"/>
      <c r="AT96" s="194"/>
      <c r="BA96" s="463"/>
    </row>
    <row r="97" spans="2:53" s="185" customFormat="1" ht="12.75">
      <c r="B97" s="11"/>
      <c r="C97" s="23"/>
      <c r="D97" s="157">
        <f t="shared" si="17"/>
      </c>
      <c r="E97" s="157">
        <f t="shared" si="18"/>
      </c>
      <c r="F97" s="157">
        <f t="shared" si="19"/>
      </c>
      <c r="G97" s="157">
        <f t="shared" si="20"/>
      </c>
      <c r="H97" s="225">
        <f t="shared" si="21"/>
      </c>
      <c r="I97" s="206"/>
      <c r="J97" s="207">
        <f t="shared" si="22"/>
      </c>
      <c r="K97" s="208">
        <f t="shared" si="10"/>
      </c>
      <c r="L97" s="206"/>
      <c r="M97" s="47">
        <f t="shared" si="11"/>
      </c>
      <c r="N97" s="190"/>
      <c r="O97" s="209">
        <f t="shared" si="12"/>
      </c>
      <c r="P97" s="209">
        <f t="shared" si="12"/>
      </c>
      <c r="Q97" s="190"/>
      <c r="R97" s="193">
        <f t="shared" si="23"/>
      </c>
      <c r="S97" s="190"/>
      <c r="T97" s="47">
        <f t="shared" si="24"/>
      </c>
      <c r="U97" s="47">
        <f>IF(E97="","",+T97*tab!H$87)</f>
      </c>
      <c r="V97" s="46">
        <f t="shared" si="13"/>
        <v>0</v>
      </c>
      <c r="W97" s="49"/>
      <c r="X97" s="76">
        <f>IF(P97="",0,M97*12*P97*IF(OR(J97&lt;=8,J97="ID1",J97="ID2",J97="ID3"),1+tab!H$89,1+tab!G$89))</f>
        <v>0</v>
      </c>
      <c r="Y97" s="190"/>
      <c r="Z97" s="158">
        <f t="shared" si="14"/>
        <v>0</v>
      </c>
      <c r="AA97" s="76">
        <f t="shared" si="15"/>
        <v>0</v>
      </c>
      <c r="AB97" s="49"/>
      <c r="AC97" s="47">
        <f t="shared" si="16"/>
        <v>0</v>
      </c>
      <c r="AD97" s="49"/>
      <c r="AE97" s="12"/>
      <c r="AF97" s="10"/>
      <c r="AG97" s="10"/>
      <c r="AH97" s="210"/>
      <c r="AI97" s="10"/>
      <c r="AJ97" s="187"/>
      <c r="AK97" s="194"/>
      <c r="AQ97" s="211"/>
      <c r="AS97" s="187"/>
      <c r="AT97" s="194"/>
      <c r="BA97" s="463"/>
    </row>
    <row r="98" spans="2:53" s="185" customFormat="1" ht="12.75">
      <c r="B98" s="11"/>
      <c r="C98" s="23"/>
      <c r="D98" s="157">
        <f t="shared" si="17"/>
      </c>
      <c r="E98" s="157">
        <f t="shared" si="18"/>
      </c>
      <c r="F98" s="157">
        <f t="shared" si="19"/>
      </c>
      <c r="G98" s="157">
        <f t="shared" si="20"/>
      </c>
      <c r="H98" s="225">
        <f t="shared" si="21"/>
      </c>
      <c r="I98" s="206"/>
      <c r="J98" s="207">
        <f t="shared" si="22"/>
      </c>
      <c r="K98" s="208">
        <f t="shared" si="10"/>
      </c>
      <c r="L98" s="206"/>
      <c r="M98" s="47">
        <f t="shared" si="11"/>
      </c>
      <c r="N98" s="190"/>
      <c r="O98" s="209">
        <f t="shared" si="12"/>
      </c>
      <c r="P98" s="209">
        <f t="shared" si="12"/>
      </c>
      <c r="Q98" s="190"/>
      <c r="R98" s="193">
        <f t="shared" si="23"/>
      </c>
      <c r="S98" s="190"/>
      <c r="T98" s="47">
        <f t="shared" si="24"/>
      </c>
      <c r="U98" s="47">
        <f>IF(E98="","",+T98*tab!H$87)</f>
      </c>
      <c r="V98" s="46">
        <f t="shared" si="13"/>
        <v>0</v>
      </c>
      <c r="W98" s="49"/>
      <c r="X98" s="76">
        <f>IF(P98="",0,M98*12*P98*IF(OR(J98&lt;=8,J98="ID1",J98="ID2",J98="ID3"),1+tab!H$89,1+tab!G$89))</f>
        <v>0</v>
      </c>
      <c r="Y98" s="190"/>
      <c r="Z98" s="158">
        <f t="shared" si="14"/>
        <v>0</v>
      </c>
      <c r="AA98" s="76">
        <f t="shared" si="15"/>
        <v>0</v>
      </c>
      <c r="AB98" s="49"/>
      <c r="AC98" s="47">
        <f t="shared" si="16"/>
        <v>0</v>
      </c>
      <c r="AD98" s="49"/>
      <c r="AE98" s="12"/>
      <c r="AF98" s="10"/>
      <c r="AG98" s="10"/>
      <c r="AH98" s="210"/>
      <c r="AI98" s="10"/>
      <c r="AJ98" s="187"/>
      <c r="AK98" s="194"/>
      <c r="AQ98" s="211"/>
      <c r="AS98" s="187"/>
      <c r="AT98" s="194"/>
      <c r="BA98" s="463"/>
    </row>
    <row r="99" spans="2:53" s="185" customFormat="1" ht="12.75">
      <c r="B99" s="11"/>
      <c r="C99" s="23"/>
      <c r="D99" s="157">
        <f t="shared" si="17"/>
      </c>
      <c r="E99" s="157">
        <f t="shared" si="18"/>
      </c>
      <c r="F99" s="157">
        <f t="shared" si="19"/>
      </c>
      <c r="G99" s="157">
        <f t="shared" si="20"/>
      </c>
      <c r="H99" s="225">
        <f t="shared" si="21"/>
      </c>
      <c r="I99" s="206"/>
      <c r="J99" s="207">
        <f t="shared" si="22"/>
      </c>
      <c r="K99" s="208">
        <f t="shared" si="10"/>
      </c>
      <c r="L99" s="206"/>
      <c r="M99" s="47">
        <f t="shared" si="11"/>
      </c>
      <c r="N99" s="190"/>
      <c r="O99" s="209">
        <f t="shared" si="12"/>
      </c>
      <c r="P99" s="209">
        <f t="shared" si="12"/>
      </c>
      <c r="Q99" s="190"/>
      <c r="R99" s="193">
        <f t="shared" si="23"/>
      </c>
      <c r="S99" s="190"/>
      <c r="T99" s="47">
        <f t="shared" si="24"/>
      </c>
      <c r="U99" s="47">
        <f>IF(E99="","",+T99*tab!H$87)</f>
      </c>
      <c r="V99" s="46">
        <f t="shared" si="13"/>
        <v>0</v>
      </c>
      <c r="W99" s="49"/>
      <c r="X99" s="76">
        <f>IF(P99="",0,M99*12*P99*IF(OR(J99&lt;=8,J99="ID1",J99="ID2",J99="ID3"),1+tab!H$89,1+tab!G$89))</f>
        <v>0</v>
      </c>
      <c r="Y99" s="190"/>
      <c r="Z99" s="158">
        <f t="shared" si="14"/>
        <v>0</v>
      </c>
      <c r="AA99" s="76">
        <f t="shared" si="15"/>
        <v>0</v>
      </c>
      <c r="AB99" s="49"/>
      <c r="AC99" s="47">
        <f t="shared" si="16"/>
        <v>0</v>
      </c>
      <c r="AD99" s="49"/>
      <c r="AE99" s="12"/>
      <c r="AF99" s="10"/>
      <c r="AG99" s="10"/>
      <c r="AH99" s="210"/>
      <c r="AI99" s="10"/>
      <c r="AJ99" s="187"/>
      <c r="AK99" s="194"/>
      <c r="AQ99" s="211"/>
      <c r="AS99" s="187"/>
      <c r="AT99" s="194"/>
      <c r="BA99" s="463"/>
    </row>
    <row r="100" spans="2:53" s="185" customFormat="1" ht="12.75">
      <c r="B100" s="11"/>
      <c r="C100" s="23"/>
      <c r="D100" s="157">
        <f t="shared" si="17"/>
      </c>
      <c r="E100" s="157">
        <f t="shared" si="18"/>
      </c>
      <c r="F100" s="157">
        <f t="shared" si="19"/>
      </c>
      <c r="G100" s="157">
        <f t="shared" si="20"/>
      </c>
      <c r="H100" s="225">
        <f t="shared" si="21"/>
      </c>
      <c r="I100" s="206"/>
      <c r="J100" s="207">
        <f t="shared" si="22"/>
      </c>
      <c r="K100" s="208">
        <f t="shared" si="10"/>
      </c>
      <c r="L100" s="206"/>
      <c r="M100" s="47">
        <f t="shared" si="11"/>
      </c>
      <c r="N100" s="190"/>
      <c r="O100" s="209">
        <f t="shared" si="12"/>
      </c>
      <c r="P100" s="209">
        <f t="shared" si="12"/>
      </c>
      <c r="Q100" s="190"/>
      <c r="R100" s="193">
        <f t="shared" si="23"/>
      </c>
      <c r="S100" s="190"/>
      <c r="T100" s="47">
        <f t="shared" si="24"/>
      </c>
      <c r="U100" s="47">
        <f>IF(E100="","",+T100*tab!H$87)</f>
      </c>
      <c r="V100" s="46">
        <f t="shared" si="13"/>
        <v>0</v>
      </c>
      <c r="W100" s="49"/>
      <c r="X100" s="76">
        <f>IF(P100="",0,M100*12*P100*IF(OR(J100&lt;=8,J100="ID1",J100="ID2",J100="ID3"),1+tab!H$89,1+tab!G$89))</f>
        <v>0</v>
      </c>
      <c r="Y100" s="190"/>
      <c r="Z100" s="158">
        <f t="shared" si="14"/>
        <v>0</v>
      </c>
      <c r="AA100" s="76">
        <f t="shared" si="15"/>
        <v>0</v>
      </c>
      <c r="AB100" s="49"/>
      <c r="AC100" s="47">
        <f t="shared" si="16"/>
        <v>0</v>
      </c>
      <c r="AD100" s="49"/>
      <c r="AE100" s="12"/>
      <c r="AF100" s="10"/>
      <c r="AG100" s="10"/>
      <c r="AH100" s="210"/>
      <c r="AI100" s="10"/>
      <c r="AJ100" s="187"/>
      <c r="AK100" s="194"/>
      <c r="AQ100" s="211"/>
      <c r="AS100" s="187"/>
      <c r="AT100" s="194"/>
      <c r="BA100" s="463"/>
    </row>
    <row r="101" spans="2:53" s="185" customFormat="1" ht="12.75">
      <c r="B101" s="11"/>
      <c r="C101" s="23"/>
      <c r="D101" s="157">
        <f t="shared" si="17"/>
      </c>
      <c r="E101" s="157">
        <f t="shared" si="18"/>
      </c>
      <c r="F101" s="157">
        <f t="shared" si="19"/>
      </c>
      <c r="G101" s="157">
        <f t="shared" si="20"/>
      </c>
      <c r="H101" s="225">
        <f t="shared" si="21"/>
      </c>
      <c r="I101" s="206"/>
      <c r="J101" s="207">
        <f t="shared" si="22"/>
      </c>
      <c r="K101" s="208">
        <f t="shared" si="10"/>
      </c>
      <c r="L101" s="206"/>
      <c r="M101" s="47">
        <f t="shared" si="11"/>
      </c>
      <c r="N101" s="190"/>
      <c r="O101" s="209">
        <f t="shared" si="12"/>
      </c>
      <c r="P101" s="209">
        <f t="shared" si="12"/>
      </c>
      <c r="Q101" s="190"/>
      <c r="R101" s="193">
        <f t="shared" si="23"/>
      </c>
      <c r="S101" s="190"/>
      <c r="T101" s="47">
        <f t="shared" si="24"/>
      </c>
      <c r="U101" s="47">
        <f>IF(E101="","",+T101*tab!H$87)</f>
      </c>
      <c r="V101" s="46">
        <f t="shared" si="13"/>
        <v>0</v>
      </c>
      <c r="W101" s="49"/>
      <c r="X101" s="76">
        <f>IF(P101="",0,M101*12*P101*IF(OR(J101&lt;=8,J101="ID1",J101="ID2",J101="ID3"),1+tab!H$89,1+tab!G$89))</f>
        <v>0</v>
      </c>
      <c r="Y101" s="190"/>
      <c r="Z101" s="158">
        <f t="shared" si="14"/>
        <v>0</v>
      </c>
      <c r="AA101" s="76">
        <f t="shared" si="15"/>
        <v>0</v>
      </c>
      <c r="AB101" s="49"/>
      <c r="AC101" s="47">
        <f t="shared" si="16"/>
        <v>0</v>
      </c>
      <c r="AD101" s="49"/>
      <c r="AE101" s="12"/>
      <c r="AF101" s="10"/>
      <c r="AG101" s="10"/>
      <c r="AH101" s="210"/>
      <c r="AI101" s="10"/>
      <c r="AJ101" s="187"/>
      <c r="AK101" s="194"/>
      <c r="AQ101" s="211"/>
      <c r="AS101" s="187"/>
      <c r="AT101" s="194"/>
      <c r="BA101" s="463"/>
    </row>
    <row r="102" spans="2:53" s="185" customFormat="1" ht="12.75">
      <c r="B102" s="11"/>
      <c r="C102" s="23"/>
      <c r="D102" s="157">
        <f t="shared" si="17"/>
      </c>
      <c r="E102" s="157">
        <f t="shared" si="18"/>
      </c>
      <c r="F102" s="157">
        <f t="shared" si="19"/>
      </c>
      <c r="G102" s="157">
        <f t="shared" si="20"/>
      </c>
      <c r="H102" s="225">
        <f t="shared" si="21"/>
      </c>
      <c r="I102" s="206"/>
      <c r="J102" s="207">
        <f t="shared" si="22"/>
      </c>
      <c r="K102" s="208">
        <f t="shared" si="10"/>
      </c>
      <c r="L102" s="206"/>
      <c r="M102" s="47">
        <f t="shared" si="11"/>
      </c>
      <c r="N102" s="190"/>
      <c r="O102" s="209">
        <f aca="true" t="shared" si="25" ref="O102:P121">IF(O37="","",O37)</f>
      </c>
      <c r="P102" s="209">
        <f t="shared" si="25"/>
      </c>
      <c r="Q102" s="190"/>
      <c r="R102" s="193">
        <f t="shared" si="23"/>
      </c>
      <c r="S102" s="190"/>
      <c r="T102" s="47">
        <f t="shared" si="24"/>
      </c>
      <c r="U102" s="47">
        <f>IF(E102="","",+T102*tab!H$87)</f>
      </c>
      <c r="V102" s="46">
        <f t="shared" si="13"/>
        <v>0</v>
      </c>
      <c r="W102" s="49"/>
      <c r="X102" s="76">
        <f>IF(P102="",0,M102*12*P102*IF(OR(J102&lt;=8,J102="ID1",J102="ID2",J102="ID3"),1+tab!H$89,1+tab!G$89))</f>
        <v>0</v>
      </c>
      <c r="Y102" s="190"/>
      <c r="Z102" s="158">
        <f t="shared" si="14"/>
        <v>0</v>
      </c>
      <c r="AA102" s="76">
        <f t="shared" si="15"/>
        <v>0</v>
      </c>
      <c r="AB102" s="49"/>
      <c r="AC102" s="47">
        <f t="shared" si="16"/>
        <v>0</v>
      </c>
      <c r="AD102" s="49"/>
      <c r="AE102" s="12"/>
      <c r="AF102" s="10"/>
      <c r="AG102" s="10"/>
      <c r="AH102" s="210"/>
      <c r="AI102" s="10"/>
      <c r="AJ102" s="187"/>
      <c r="AK102" s="194"/>
      <c r="AQ102" s="211"/>
      <c r="AS102" s="187"/>
      <c r="AT102" s="194"/>
      <c r="BA102" s="463"/>
    </row>
    <row r="103" spans="2:53" s="185" customFormat="1" ht="12.75">
      <c r="B103" s="11"/>
      <c r="C103" s="23"/>
      <c r="D103" s="157">
        <f t="shared" si="17"/>
      </c>
      <c r="E103" s="157">
        <f t="shared" si="18"/>
      </c>
      <c r="F103" s="157">
        <f t="shared" si="19"/>
      </c>
      <c r="G103" s="157">
        <f t="shared" si="20"/>
      </c>
      <c r="H103" s="225">
        <f t="shared" si="21"/>
      </c>
      <c r="I103" s="206"/>
      <c r="J103" s="207">
        <f t="shared" si="22"/>
      </c>
      <c r="K103" s="208">
        <f t="shared" si="10"/>
      </c>
      <c r="L103" s="206"/>
      <c r="M103" s="47">
        <f t="shared" si="11"/>
      </c>
      <c r="N103" s="190"/>
      <c r="O103" s="209">
        <f t="shared" si="25"/>
      </c>
      <c r="P103" s="209">
        <f t="shared" si="25"/>
      </c>
      <c r="Q103" s="190"/>
      <c r="R103" s="193">
        <f t="shared" si="23"/>
      </c>
      <c r="S103" s="190"/>
      <c r="T103" s="47">
        <f t="shared" si="24"/>
      </c>
      <c r="U103" s="47">
        <f>IF(E103="","",+T103*tab!H$87)</f>
      </c>
      <c r="V103" s="46">
        <f t="shared" si="13"/>
        <v>0</v>
      </c>
      <c r="W103" s="49"/>
      <c r="X103" s="76">
        <f>IF(P103="",0,M103*12*P103*IF(OR(J103&lt;=8,J103="ID1",J103="ID2",J103="ID3"),1+tab!H$89,1+tab!G$89))</f>
        <v>0</v>
      </c>
      <c r="Y103" s="190"/>
      <c r="Z103" s="158">
        <f t="shared" si="14"/>
        <v>0</v>
      </c>
      <c r="AA103" s="76">
        <f t="shared" si="15"/>
        <v>0</v>
      </c>
      <c r="AB103" s="49"/>
      <c r="AC103" s="47">
        <f t="shared" si="16"/>
        <v>0</v>
      </c>
      <c r="AD103" s="49"/>
      <c r="AE103" s="12"/>
      <c r="AF103" s="10"/>
      <c r="AG103" s="10"/>
      <c r="AH103" s="210"/>
      <c r="AI103" s="10"/>
      <c r="AJ103" s="187"/>
      <c r="AK103" s="194"/>
      <c r="AQ103" s="211"/>
      <c r="AS103" s="187"/>
      <c r="AT103" s="194"/>
      <c r="BA103" s="463"/>
    </row>
    <row r="104" spans="2:53" s="185" customFormat="1" ht="12.75">
      <c r="B104" s="11"/>
      <c r="C104" s="23"/>
      <c r="D104" s="157">
        <f t="shared" si="17"/>
      </c>
      <c r="E104" s="157">
        <f t="shared" si="18"/>
      </c>
      <c r="F104" s="157">
        <f t="shared" si="19"/>
      </c>
      <c r="G104" s="157">
        <f t="shared" si="20"/>
      </c>
      <c r="H104" s="225">
        <f t="shared" si="21"/>
      </c>
      <c r="I104" s="206"/>
      <c r="J104" s="207">
        <f t="shared" si="22"/>
      </c>
      <c r="K104" s="208">
        <f t="shared" si="10"/>
      </c>
      <c r="L104" s="206"/>
      <c r="M104" s="47">
        <f t="shared" si="11"/>
      </c>
      <c r="N104" s="190"/>
      <c r="O104" s="209">
        <f t="shared" si="25"/>
      </c>
      <c r="P104" s="209">
        <f t="shared" si="25"/>
      </c>
      <c r="Q104" s="190"/>
      <c r="R104" s="193">
        <f t="shared" si="23"/>
      </c>
      <c r="S104" s="190"/>
      <c r="T104" s="47">
        <f t="shared" si="24"/>
      </c>
      <c r="U104" s="47">
        <f>IF(E104="","",+T104*tab!H$87)</f>
      </c>
      <c r="V104" s="46">
        <f t="shared" si="13"/>
        <v>0</v>
      </c>
      <c r="W104" s="49"/>
      <c r="X104" s="76">
        <f>IF(P104="",0,M104*12*P104*IF(OR(J104&lt;=8,J104="ID1",J104="ID2",J104="ID3"),1+tab!H$89,1+tab!G$89))</f>
        <v>0</v>
      </c>
      <c r="Y104" s="190"/>
      <c r="Z104" s="158">
        <f t="shared" si="14"/>
        <v>0</v>
      </c>
      <c r="AA104" s="76">
        <f t="shared" si="15"/>
        <v>0</v>
      </c>
      <c r="AB104" s="49"/>
      <c r="AC104" s="47">
        <f t="shared" si="16"/>
        <v>0</v>
      </c>
      <c r="AD104" s="49"/>
      <c r="AE104" s="12"/>
      <c r="AF104" s="10"/>
      <c r="AG104" s="10"/>
      <c r="AH104" s="210"/>
      <c r="AI104" s="10"/>
      <c r="AJ104" s="187"/>
      <c r="AK104" s="194"/>
      <c r="AQ104" s="211"/>
      <c r="AS104" s="187"/>
      <c r="AT104" s="194"/>
      <c r="BA104" s="463"/>
    </row>
    <row r="105" spans="2:53" s="185" customFormat="1" ht="12.75">
      <c r="B105" s="11"/>
      <c r="C105" s="23"/>
      <c r="D105" s="157">
        <f t="shared" si="17"/>
      </c>
      <c r="E105" s="157">
        <f t="shared" si="18"/>
      </c>
      <c r="F105" s="157">
        <f t="shared" si="19"/>
      </c>
      <c r="G105" s="157">
        <f t="shared" si="20"/>
      </c>
      <c r="H105" s="225">
        <f t="shared" si="21"/>
      </c>
      <c r="I105" s="206"/>
      <c r="J105" s="207">
        <f t="shared" si="22"/>
      </c>
      <c r="K105" s="208">
        <f t="shared" si="10"/>
      </c>
      <c r="L105" s="206"/>
      <c r="M105" s="47">
        <f t="shared" si="11"/>
      </c>
      <c r="N105" s="190"/>
      <c r="O105" s="209">
        <f t="shared" si="25"/>
      </c>
      <c r="P105" s="209">
        <f t="shared" si="25"/>
      </c>
      <c r="Q105" s="190"/>
      <c r="R105" s="193">
        <f t="shared" si="23"/>
      </c>
      <c r="S105" s="190"/>
      <c r="T105" s="47">
        <f t="shared" si="24"/>
      </c>
      <c r="U105" s="47">
        <f>IF(E105="","",+T105*tab!H$87)</f>
      </c>
      <c r="V105" s="46">
        <f t="shared" si="13"/>
        <v>0</v>
      </c>
      <c r="W105" s="49"/>
      <c r="X105" s="76">
        <f>IF(P105="",0,M105*12*P105*IF(OR(J105&lt;=8,J105="ID1",J105="ID2",J105="ID3"),1+tab!H$89,1+tab!G$89))</f>
        <v>0</v>
      </c>
      <c r="Y105" s="190"/>
      <c r="Z105" s="158">
        <f t="shared" si="14"/>
        <v>0</v>
      </c>
      <c r="AA105" s="76">
        <f t="shared" si="15"/>
        <v>0</v>
      </c>
      <c r="AB105" s="49"/>
      <c r="AC105" s="47">
        <f t="shared" si="16"/>
        <v>0</v>
      </c>
      <c r="AD105" s="49"/>
      <c r="AE105" s="12"/>
      <c r="AF105" s="10"/>
      <c r="AG105" s="10"/>
      <c r="AH105" s="210"/>
      <c r="AI105" s="10"/>
      <c r="AJ105" s="187"/>
      <c r="AK105" s="194"/>
      <c r="AQ105" s="211"/>
      <c r="AS105" s="187"/>
      <c r="AT105" s="194"/>
      <c r="BA105" s="463"/>
    </row>
    <row r="106" spans="2:53" s="185" customFormat="1" ht="12.75">
      <c r="B106" s="11"/>
      <c r="C106" s="23"/>
      <c r="D106" s="157">
        <f t="shared" si="17"/>
      </c>
      <c r="E106" s="157">
        <f t="shared" si="18"/>
      </c>
      <c r="F106" s="157">
        <f t="shared" si="19"/>
      </c>
      <c r="G106" s="157">
        <f t="shared" si="20"/>
      </c>
      <c r="H106" s="225">
        <f t="shared" si="21"/>
      </c>
      <c r="I106" s="206"/>
      <c r="J106" s="207">
        <f t="shared" si="22"/>
      </c>
      <c r="K106" s="208">
        <f t="shared" si="10"/>
      </c>
      <c r="L106" s="206"/>
      <c r="M106" s="47">
        <f t="shared" si="11"/>
      </c>
      <c r="N106" s="190"/>
      <c r="O106" s="209">
        <f t="shared" si="25"/>
      </c>
      <c r="P106" s="209">
        <f t="shared" si="25"/>
      </c>
      <c r="Q106" s="190"/>
      <c r="R106" s="193">
        <f t="shared" si="23"/>
      </c>
      <c r="S106" s="190"/>
      <c r="T106" s="47">
        <f t="shared" si="24"/>
      </c>
      <c r="U106" s="47">
        <f>IF(E106="","",+T106*tab!H$87)</f>
      </c>
      <c r="V106" s="46">
        <f t="shared" si="13"/>
        <v>0</v>
      </c>
      <c r="W106" s="49"/>
      <c r="X106" s="76">
        <f>IF(P106="",0,M106*12*P106*IF(OR(J106&lt;=8,J106="ID1",J106="ID2",J106="ID3"),1+tab!H$89,1+tab!G$89))</f>
        <v>0</v>
      </c>
      <c r="Y106" s="190"/>
      <c r="Z106" s="158">
        <f t="shared" si="14"/>
        <v>0</v>
      </c>
      <c r="AA106" s="76">
        <f t="shared" si="15"/>
        <v>0</v>
      </c>
      <c r="AB106" s="49"/>
      <c r="AC106" s="47">
        <f t="shared" si="16"/>
        <v>0</v>
      </c>
      <c r="AD106" s="49"/>
      <c r="AE106" s="12"/>
      <c r="AF106" s="10"/>
      <c r="AG106" s="10"/>
      <c r="AH106" s="210"/>
      <c r="AI106" s="10"/>
      <c r="AJ106" s="187"/>
      <c r="AK106" s="194"/>
      <c r="AQ106" s="211"/>
      <c r="AS106" s="187"/>
      <c r="AT106" s="194"/>
      <c r="BA106" s="463"/>
    </row>
    <row r="107" spans="2:53" s="185" customFormat="1" ht="12.75">
      <c r="B107" s="11"/>
      <c r="C107" s="23"/>
      <c r="D107" s="157">
        <f t="shared" si="17"/>
      </c>
      <c r="E107" s="157">
        <f t="shared" si="18"/>
      </c>
      <c r="F107" s="157">
        <f t="shared" si="19"/>
      </c>
      <c r="G107" s="157">
        <f t="shared" si="20"/>
      </c>
      <c r="H107" s="225">
        <f t="shared" si="21"/>
      </c>
      <c r="I107" s="206"/>
      <c r="J107" s="207">
        <f t="shared" si="22"/>
      </c>
      <c r="K107" s="208">
        <f t="shared" si="10"/>
      </c>
      <c r="L107" s="206"/>
      <c r="M107" s="47">
        <f t="shared" si="11"/>
      </c>
      <c r="N107" s="190"/>
      <c r="O107" s="209">
        <f t="shared" si="25"/>
      </c>
      <c r="P107" s="209">
        <f t="shared" si="25"/>
      </c>
      <c r="Q107" s="190"/>
      <c r="R107" s="193">
        <f t="shared" si="23"/>
      </c>
      <c r="S107" s="190"/>
      <c r="T107" s="47">
        <f t="shared" si="24"/>
      </c>
      <c r="U107" s="47">
        <f>IF(E107="","",+T107*tab!H$87)</f>
      </c>
      <c r="V107" s="46">
        <f t="shared" si="13"/>
        <v>0</v>
      </c>
      <c r="W107" s="49"/>
      <c r="X107" s="76">
        <f>IF(P107="",0,M107*12*P107*IF(OR(J107&lt;=8,J107="ID1",J107="ID2",J107="ID3"),1+tab!H$89,1+tab!G$89))</f>
        <v>0</v>
      </c>
      <c r="Y107" s="190"/>
      <c r="Z107" s="158">
        <f t="shared" si="14"/>
        <v>0</v>
      </c>
      <c r="AA107" s="76">
        <f t="shared" si="15"/>
        <v>0</v>
      </c>
      <c r="AB107" s="49"/>
      <c r="AC107" s="47">
        <f t="shared" si="16"/>
        <v>0</v>
      </c>
      <c r="AD107" s="49"/>
      <c r="AE107" s="12"/>
      <c r="AF107" s="10"/>
      <c r="AG107" s="10"/>
      <c r="AH107" s="210"/>
      <c r="AI107" s="10"/>
      <c r="AJ107" s="187"/>
      <c r="AK107" s="194"/>
      <c r="AQ107" s="211"/>
      <c r="AS107" s="187"/>
      <c r="AT107" s="194"/>
      <c r="BA107" s="463"/>
    </row>
    <row r="108" spans="2:53" s="185" customFormat="1" ht="12.75">
      <c r="B108" s="11"/>
      <c r="C108" s="23"/>
      <c r="D108" s="157">
        <f t="shared" si="17"/>
      </c>
      <c r="E108" s="157">
        <f t="shared" si="18"/>
      </c>
      <c r="F108" s="157">
        <f t="shared" si="19"/>
      </c>
      <c r="G108" s="157">
        <f t="shared" si="20"/>
      </c>
      <c r="H108" s="225">
        <f t="shared" si="21"/>
      </c>
      <c r="I108" s="206"/>
      <c r="J108" s="207">
        <f t="shared" si="22"/>
      </c>
      <c r="K108" s="208">
        <f t="shared" si="10"/>
      </c>
      <c r="L108" s="206"/>
      <c r="M108" s="47">
        <f t="shared" si="11"/>
      </c>
      <c r="N108" s="190"/>
      <c r="O108" s="209">
        <f t="shared" si="25"/>
      </c>
      <c r="P108" s="209">
        <f t="shared" si="25"/>
      </c>
      <c r="Q108" s="190"/>
      <c r="R108" s="193">
        <f t="shared" si="23"/>
      </c>
      <c r="S108" s="190"/>
      <c r="T108" s="47">
        <f t="shared" si="24"/>
      </c>
      <c r="U108" s="47">
        <f>IF(E108="","",+T108*tab!H$87)</f>
      </c>
      <c r="V108" s="46">
        <f t="shared" si="13"/>
        <v>0</v>
      </c>
      <c r="W108" s="49"/>
      <c r="X108" s="76">
        <f>IF(P108="",0,M108*12*P108*IF(OR(J108&lt;=8,J108="ID1",J108="ID2",J108="ID3"),1+tab!H$89,1+tab!G$89))</f>
        <v>0</v>
      </c>
      <c r="Y108" s="190"/>
      <c r="Z108" s="158">
        <f t="shared" si="14"/>
        <v>0</v>
      </c>
      <c r="AA108" s="76">
        <f t="shared" si="15"/>
        <v>0</v>
      </c>
      <c r="AB108" s="49"/>
      <c r="AC108" s="47">
        <f t="shared" si="16"/>
        <v>0</v>
      </c>
      <c r="AD108" s="49"/>
      <c r="AE108" s="12"/>
      <c r="AF108" s="10"/>
      <c r="AG108" s="10"/>
      <c r="AH108" s="210"/>
      <c r="AI108" s="10"/>
      <c r="AJ108" s="187"/>
      <c r="AK108" s="194"/>
      <c r="AQ108" s="211"/>
      <c r="AS108" s="187"/>
      <c r="AT108" s="194"/>
      <c r="BA108" s="463"/>
    </row>
    <row r="109" spans="2:53" s="185" customFormat="1" ht="12.75">
      <c r="B109" s="11"/>
      <c r="C109" s="23"/>
      <c r="D109" s="157">
        <f t="shared" si="17"/>
      </c>
      <c r="E109" s="157">
        <f t="shared" si="18"/>
      </c>
      <c r="F109" s="157">
        <f t="shared" si="19"/>
      </c>
      <c r="G109" s="157">
        <f t="shared" si="20"/>
      </c>
      <c r="H109" s="225">
        <f t="shared" si="21"/>
      </c>
      <c r="I109" s="206"/>
      <c r="J109" s="207">
        <f t="shared" si="22"/>
      </c>
      <c r="K109" s="208">
        <f t="shared" si="10"/>
      </c>
      <c r="L109" s="206"/>
      <c r="M109" s="47">
        <f t="shared" si="11"/>
      </c>
      <c r="N109" s="190"/>
      <c r="O109" s="209">
        <f t="shared" si="25"/>
      </c>
      <c r="P109" s="209">
        <f t="shared" si="25"/>
      </c>
      <c r="Q109" s="190"/>
      <c r="R109" s="193">
        <f t="shared" si="23"/>
      </c>
      <c r="S109" s="190"/>
      <c r="T109" s="47">
        <f t="shared" si="24"/>
      </c>
      <c r="U109" s="47">
        <f>IF(E109="","",+T109*tab!H$87)</f>
      </c>
      <c r="V109" s="46">
        <f t="shared" si="13"/>
        <v>0</v>
      </c>
      <c r="W109" s="49"/>
      <c r="X109" s="76">
        <f>IF(P109="",0,M109*12*P109*IF(OR(J109&lt;=8,J109="ID1",J109="ID2",J109="ID3"),1+tab!H$89,1+tab!G$89))</f>
        <v>0</v>
      </c>
      <c r="Y109" s="190"/>
      <c r="Z109" s="158">
        <f t="shared" si="14"/>
        <v>0</v>
      </c>
      <c r="AA109" s="76">
        <f t="shared" si="15"/>
        <v>0</v>
      </c>
      <c r="AB109" s="49"/>
      <c r="AC109" s="47">
        <f t="shared" si="16"/>
        <v>0</v>
      </c>
      <c r="AD109" s="49"/>
      <c r="AE109" s="12"/>
      <c r="AF109" s="10"/>
      <c r="AG109" s="10"/>
      <c r="AH109" s="210"/>
      <c r="AI109" s="10"/>
      <c r="AJ109" s="187"/>
      <c r="AK109" s="194"/>
      <c r="AQ109" s="211"/>
      <c r="AS109" s="187"/>
      <c r="AT109" s="194"/>
      <c r="BA109" s="463"/>
    </row>
    <row r="110" spans="2:53" s="185" customFormat="1" ht="12.75">
      <c r="B110" s="11"/>
      <c r="C110" s="23"/>
      <c r="D110" s="157">
        <f t="shared" si="17"/>
      </c>
      <c r="E110" s="157">
        <f t="shared" si="18"/>
      </c>
      <c r="F110" s="157">
        <f t="shared" si="19"/>
      </c>
      <c r="G110" s="157">
        <f t="shared" si="20"/>
      </c>
      <c r="H110" s="225">
        <f t="shared" si="21"/>
      </c>
      <c r="I110" s="206"/>
      <c r="J110" s="207">
        <f t="shared" si="22"/>
      </c>
      <c r="K110" s="208">
        <f t="shared" si="10"/>
      </c>
      <c r="L110" s="206"/>
      <c r="M110" s="47">
        <f t="shared" si="11"/>
      </c>
      <c r="N110" s="190"/>
      <c r="O110" s="209">
        <f t="shared" si="25"/>
      </c>
      <c r="P110" s="209">
        <f t="shared" si="25"/>
      </c>
      <c r="Q110" s="190"/>
      <c r="R110" s="193">
        <f t="shared" si="23"/>
      </c>
      <c r="S110" s="190"/>
      <c r="T110" s="47">
        <f t="shared" si="24"/>
      </c>
      <c r="U110" s="47">
        <f>IF(E110="","",+T110*tab!H$87)</f>
      </c>
      <c r="V110" s="46">
        <f t="shared" si="13"/>
        <v>0</v>
      </c>
      <c r="W110" s="49"/>
      <c r="X110" s="76">
        <f>IF(P110="",0,M110*12*P110*IF(OR(J110&lt;=8,J110="ID1",J110="ID2",J110="ID3"),1+tab!H$89,1+tab!G$89))</f>
        <v>0</v>
      </c>
      <c r="Y110" s="190"/>
      <c r="Z110" s="158">
        <f t="shared" si="14"/>
        <v>0</v>
      </c>
      <c r="AA110" s="76">
        <f t="shared" si="15"/>
        <v>0</v>
      </c>
      <c r="AB110" s="49"/>
      <c r="AC110" s="47">
        <f t="shared" si="16"/>
        <v>0</v>
      </c>
      <c r="AD110" s="49"/>
      <c r="AE110" s="12"/>
      <c r="AF110" s="10"/>
      <c r="AG110" s="10"/>
      <c r="AH110" s="210"/>
      <c r="AI110" s="10"/>
      <c r="AJ110" s="187"/>
      <c r="AK110" s="194"/>
      <c r="AQ110" s="211"/>
      <c r="AS110" s="187"/>
      <c r="AT110" s="194"/>
      <c r="BA110" s="463"/>
    </row>
    <row r="111" spans="2:53" s="185" customFormat="1" ht="12.75">
      <c r="B111" s="11"/>
      <c r="C111" s="23"/>
      <c r="D111" s="157">
        <f t="shared" si="17"/>
      </c>
      <c r="E111" s="157">
        <f t="shared" si="18"/>
      </c>
      <c r="F111" s="157">
        <f t="shared" si="19"/>
      </c>
      <c r="G111" s="157">
        <f t="shared" si="20"/>
      </c>
      <c r="H111" s="225">
        <f t="shared" si="21"/>
      </c>
      <c r="I111" s="206"/>
      <c r="J111" s="207">
        <f t="shared" si="22"/>
      </c>
      <c r="K111" s="208">
        <f t="shared" si="10"/>
      </c>
      <c r="L111" s="206"/>
      <c r="M111" s="47">
        <f t="shared" si="11"/>
      </c>
      <c r="N111" s="190"/>
      <c r="O111" s="209">
        <f t="shared" si="25"/>
      </c>
      <c r="P111" s="209">
        <f t="shared" si="25"/>
      </c>
      <c r="Q111" s="190"/>
      <c r="R111" s="193">
        <f t="shared" si="23"/>
      </c>
      <c r="S111" s="190"/>
      <c r="T111" s="47">
        <f t="shared" si="24"/>
      </c>
      <c r="U111" s="47">
        <f>IF(E111="","",+T111*tab!H$87)</f>
      </c>
      <c r="V111" s="46">
        <f t="shared" si="13"/>
        <v>0</v>
      </c>
      <c r="W111" s="49"/>
      <c r="X111" s="76">
        <f>IF(P111="",0,M111*12*P111*IF(OR(J111&lt;=8,J111="ID1",J111="ID2",J111="ID3"),1+tab!H$89,1+tab!G$89))</f>
        <v>0</v>
      </c>
      <c r="Y111" s="190"/>
      <c r="Z111" s="158">
        <f t="shared" si="14"/>
        <v>0</v>
      </c>
      <c r="AA111" s="76">
        <f t="shared" si="15"/>
        <v>0</v>
      </c>
      <c r="AB111" s="49"/>
      <c r="AC111" s="47">
        <f t="shared" si="16"/>
        <v>0</v>
      </c>
      <c r="AD111" s="49"/>
      <c r="AE111" s="12"/>
      <c r="AF111" s="10"/>
      <c r="AG111" s="10"/>
      <c r="AH111" s="210"/>
      <c r="AI111" s="10"/>
      <c r="AJ111" s="187"/>
      <c r="AK111" s="194"/>
      <c r="AQ111" s="211"/>
      <c r="AS111" s="187"/>
      <c r="AT111" s="194"/>
      <c r="BA111" s="463"/>
    </row>
    <row r="112" spans="2:53" s="185" customFormat="1" ht="12.75">
      <c r="B112" s="11"/>
      <c r="C112" s="23"/>
      <c r="D112" s="157">
        <f t="shared" si="17"/>
      </c>
      <c r="E112" s="157">
        <f t="shared" si="18"/>
      </c>
      <c r="F112" s="157">
        <f t="shared" si="19"/>
      </c>
      <c r="G112" s="157">
        <f t="shared" si="20"/>
      </c>
      <c r="H112" s="225">
        <f t="shared" si="21"/>
      </c>
      <c r="I112" s="206"/>
      <c r="J112" s="207">
        <f t="shared" si="22"/>
      </c>
      <c r="K112" s="208">
        <f t="shared" si="10"/>
      </c>
      <c r="L112" s="206"/>
      <c r="M112" s="47">
        <f t="shared" si="11"/>
      </c>
      <c r="N112" s="190"/>
      <c r="O112" s="209">
        <f t="shared" si="25"/>
      </c>
      <c r="P112" s="209">
        <f t="shared" si="25"/>
      </c>
      <c r="Q112" s="190"/>
      <c r="R112" s="193">
        <f t="shared" si="23"/>
      </c>
      <c r="S112" s="190"/>
      <c r="T112" s="47">
        <f t="shared" si="24"/>
      </c>
      <c r="U112" s="47">
        <f>IF(E112="","",+T112*tab!H$87)</f>
      </c>
      <c r="V112" s="46">
        <f t="shared" si="13"/>
        <v>0</v>
      </c>
      <c r="W112" s="49"/>
      <c r="X112" s="76">
        <f>IF(P112="",0,M112*12*P112*IF(OR(J112&lt;=8,J112="ID1",J112="ID2",J112="ID3"),1+tab!H$89,1+tab!G$89))</f>
        <v>0</v>
      </c>
      <c r="Y112" s="190"/>
      <c r="Z112" s="158">
        <f t="shared" si="14"/>
        <v>0</v>
      </c>
      <c r="AA112" s="76">
        <f t="shared" si="15"/>
        <v>0</v>
      </c>
      <c r="AB112" s="49"/>
      <c r="AC112" s="47">
        <f t="shared" si="16"/>
        <v>0</v>
      </c>
      <c r="AD112" s="49"/>
      <c r="AE112" s="12"/>
      <c r="AF112" s="10"/>
      <c r="AG112" s="10"/>
      <c r="AH112" s="210"/>
      <c r="AI112" s="10"/>
      <c r="AJ112" s="187"/>
      <c r="AK112" s="194"/>
      <c r="AQ112" s="211"/>
      <c r="AS112" s="187"/>
      <c r="AT112" s="194"/>
      <c r="BA112" s="463"/>
    </row>
    <row r="113" spans="2:53" s="185" customFormat="1" ht="12.75">
      <c r="B113" s="11"/>
      <c r="C113" s="23"/>
      <c r="D113" s="157">
        <f t="shared" si="17"/>
      </c>
      <c r="E113" s="157">
        <f t="shared" si="18"/>
      </c>
      <c r="F113" s="157">
        <f t="shared" si="19"/>
      </c>
      <c r="G113" s="157">
        <f t="shared" si="20"/>
      </c>
      <c r="H113" s="225">
        <f t="shared" si="21"/>
      </c>
      <c r="I113" s="206"/>
      <c r="J113" s="207">
        <f t="shared" si="22"/>
      </c>
      <c r="K113" s="208">
        <f t="shared" si="10"/>
      </c>
      <c r="L113" s="206"/>
      <c r="M113" s="47">
        <f t="shared" si="11"/>
      </c>
      <c r="N113" s="190"/>
      <c r="O113" s="209">
        <f t="shared" si="25"/>
      </c>
      <c r="P113" s="209">
        <f t="shared" si="25"/>
      </c>
      <c r="Q113" s="190"/>
      <c r="R113" s="193">
        <f t="shared" si="23"/>
      </c>
      <c r="S113" s="190"/>
      <c r="T113" s="47">
        <f t="shared" si="24"/>
      </c>
      <c r="U113" s="47">
        <f>IF(E113="","",+T113*tab!H$87)</f>
      </c>
      <c r="V113" s="46">
        <f t="shared" si="13"/>
        <v>0</v>
      </c>
      <c r="W113" s="49"/>
      <c r="X113" s="76">
        <f>IF(P113="",0,M113*12*P113*IF(OR(J113&lt;=8,J113="ID1",J113="ID2",J113="ID3"),1+tab!H$89,1+tab!G$89))</f>
        <v>0</v>
      </c>
      <c r="Y113" s="190"/>
      <c r="Z113" s="158">
        <f t="shared" si="14"/>
        <v>0</v>
      </c>
      <c r="AA113" s="76">
        <f t="shared" si="15"/>
        <v>0</v>
      </c>
      <c r="AB113" s="49"/>
      <c r="AC113" s="47">
        <f t="shared" si="16"/>
        <v>0</v>
      </c>
      <c r="AD113" s="49"/>
      <c r="AE113" s="12"/>
      <c r="AF113" s="10"/>
      <c r="AG113" s="10"/>
      <c r="AH113" s="210"/>
      <c r="AI113" s="10"/>
      <c r="AJ113" s="187"/>
      <c r="AK113" s="194"/>
      <c r="AQ113" s="211"/>
      <c r="AS113" s="187"/>
      <c r="AT113" s="194"/>
      <c r="BA113" s="463"/>
    </row>
    <row r="114" spans="2:53" s="185" customFormat="1" ht="12.75">
      <c r="B114" s="11"/>
      <c r="C114" s="23"/>
      <c r="D114" s="157">
        <f t="shared" si="17"/>
      </c>
      <c r="E114" s="157">
        <f t="shared" si="18"/>
      </c>
      <c r="F114" s="157">
        <f t="shared" si="19"/>
      </c>
      <c r="G114" s="157">
        <f t="shared" si="20"/>
      </c>
      <c r="H114" s="225">
        <f t="shared" si="21"/>
      </c>
      <c r="I114" s="206"/>
      <c r="J114" s="207">
        <f t="shared" si="22"/>
      </c>
      <c r="K114" s="208">
        <f aca="true" t="shared" si="26" ref="K114:K131">IF(E114="","",(IF((K49+1)&gt;VLOOKUP(J114,tabelsalaris,22,FALSE),K49,K49+1)))</f>
      </c>
      <c r="L114" s="206"/>
      <c r="M114" s="47">
        <f aca="true" t="shared" si="27" ref="M114:M131">IF(J114="","",ROUND(1.022*VLOOKUP(J114,tabelsalaris,K114+1,FALSE),0))</f>
      </c>
      <c r="N114" s="190"/>
      <c r="O114" s="209">
        <f t="shared" si="25"/>
      </c>
      <c r="P114" s="209">
        <f t="shared" si="25"/>
      </c>
      <c r="Q114" s="190"/>
      <c r="R114" s="193">
        <f t="shared" si="23"/>
      </c>
      <c r="S114" s="190"/>
      <c r="T114" s="47">
        <f t="shared" si="24"/>
      </c>
      <c r="U114" s="47">
        <f>IF(E114="","",+T114*tab!H$87)</f>
      </c>
      <c r="V114" s="46">
        <f t="shared" si="13"/>
        <v>0</v>
      </c>
      <c r="W114" s="49"/>
      <c r="X114" s="76">
        <f>IF(P114="",0,M114*12*P114*IF(OR(J114&lt;=8,J114="ID1",J114="ID2",J114="ID3"),1+tab!H$89,1+tab!G$89))</f>
        <v>0</v>
      </c>
      <c r="Y114" s="190"/>
      <c r="Z114" s="158">
        <f t="shared" si="14"/>
        <v>0</v>
      </c>
      <c r="AA114" s="76">
        <f t="shared" si="15"/>
        <v>0</v>
      </c>
      <c r="AB114" s="49"/>
      <c r="AC114" s="47">
        <f t="shared" si="16"/>
        <v>0</v>
      </c>
      <c r="AD114" s="49"/>
      <c r="AE114" s="12"/>
      <c r="AF114" s="10"/>
      <c r="AG114" s="10"/>
      <c r="AH114" s="210"/>
      <c r="AI114" s="10"/>
      <c r="AJ114" s="187"/>
      <c r="AK114" s="194"/>
      <c r="AQ114" s="211"/>
      <c r="AS114" s="187"/>
      <c r="AT114" s="194"/>
      <c r="BA114" s="463"/>
    </row>
    <row r="115" spans="2:53" s="185" customFormat="1" ht="12.75">
      <c r="B115" s="11"/>
      <c r="C115" s="23"/>
      <c r="D115" s="157">
        <f t="shared" si="17"/>
      </c>
      <c r="E115" s="157">
        <f t="shared" si="18"/>
      </c>
      <c r="F115" s="157">
        <f t="shared" si="19"/>
      </c>
      <c r="G115" s="157">
        <f t="shared" si="20"/>
      </c>
      <c r="H115" s="225">
        <f t="shared" si="21"/>
      </c>
      <c r="I115" s="206"/>
      <c r="J115" s="207">
        <f t="shared" si="22"/>
      </c>
      <c r="K115" s="208">
        <f t="shared" si="26"/>
      </c>
      <c r="L115" s="206"/>
      <c r="M115" s="47">
        <f t="shared" si="27"/>
      </c>
      <c r="N115" s="190"/>
      <c r="O115" s="209">
        <f t="shared" si="25"/>
      </c>
      <c r="P115" s="209">
        <f t="shared" si="25"/>
      </c>
      <c r="Q115" s="190"/>
      <c r="R115" s="193">
        <f t="shared" si="23"/>
      </c>
      <c r="S115" s="190"/>
      <c r="T115" s="47">
        <f t="shared" si="24"/>
      </c>
      <c r="U115" s="47">
        <f>IF(E115="","",+T115*tab!H$87)</f>
      </c>
      <c r="V115" s="46">
        <f t="shared" si="13"/>
        <v>0</v>
      </c>
      <c r="W115" s="49"/>
      <c r="X115" s="76">
        <f>IF(P115="",0,M115*12*P115*IF(OR(J115&lt;=8,J115="ID1",J115="ID2",J115="ID3"),1+tab!H$89,1+tab!G$89))</f>
        <v>0</v>
      </c>
      <c r="Y115" s="190"/>
      <c r="Z115" s="158">
        <f t="shared" si="14"/>
        <v>0</v>
      </c>
      <c r="AA115" s="76">
        <f t="shared" si="15"/>
        <v>0</v>
      </c>
      <c r="AB115" s="49"/>
      <c r="AC115" s="47">
        <f t="shared" si="16"/>
        <v>0</v>
      </c>
      <c r="AD115" s="49"/>
      <c r="AE115" s="12"/>
      <c r="AF115" s="10"/>
      <c r="AG115" s="10"/>
      <c r="AH115" s="210"/>
      <c r="AI115" s="10"/>
      <c r="AJ115" s="187"/>
      <c r="AK115" s="194"/>
      <c r="AQ115" s="211"/>
      <c r="AS115" s="187"/>
      <c r="AT115" s="194"/>
      <c r="BA115" s="463"/>
    </row>
    <row r="116" spans="2:53" s="185" customFormat="1" ht="12.75">
      <c r="B116" s="11"/>
      <c r="C116" s="23"/>
      <c r="D116" s="157">
        <f t="shared" si="17"/>
      </c>
      <c r="E116" s="157">
        <f t="shared" si="18"/>
      </c>
      <c r="F116" s="157">
        <f t="shared" si="19"/>
      </c>
      <c r="G116" s="157">
        <f t="shared" si="20"/>
      </c>
      <c r="H116" s="225">
        <f t="shared" si="21"/>
      </c>
      <c r="I116" s="206"/>
      <c r="J116" s="207">
        <f t="shared" si="22"/>
      </c>
      <c r="K116" s="208">
        <f t="shared" si="26"/>
      </c>
      <c r="L116" s="206"/>
      <c r="M116" s="47">
        <f t="shared" si="27"/>
      </c>
      <c r="N116" s="190"/>
      <c r="O116" s="209">
        <f t="shared" si="25"/>
      </c>
      <c r="P116" s="209">
        <f t="shared" si="25"/>
      </c>
      <c r="Q116" s="190"/>
      <c r="R116" s="193">
        <f t="shared" si="23"/>
      </c>
      <c r="S116" s="190"/>
      <c r="T116" s="47">
        <f t="shared" si="24"/>
      </c>
      <c r="U116" s="47">
        <f>IF(E116="","",+T116*tab!H$87)</f>
      </c>
      <c r="V116" s="46">
        <f t="shared" si="13"/>
        <v>0</v>
      </c>
      <c r="W116" s="49"/>
      <c r="X116" s="76">
        <f>IF(P116="",0,M116*12*P116*IF(OR(J116&lt;=8,J116="ID1",J116="ID2",J116="ID3"),1+tab!H$89,1+tab!G$89))</f>
        <v>0</v>
      </c>
      <c r="Y116" s="190"/>
      <c r="Z116" s="158">
        <f t="shared" si="14"/>
        <v>0</v>
      </c>
      <c r="AA116" s="76">
        <f t="shared" si="15"/>
        <v>0</v>
      </c>
      <c r="AB116" s="49"/>
      <c r="AC116" s="47">
        <f t="shared" si="16"/>
        <v>0</v>
      </c>
      <c r="AD116" s="49"/>
      <c r="AE116" s="12"/>
      <c r="AF116" s="10"/>
      <c r="AG116" s="10"/>
      <c r="AH116" s="210"/>
      <c r="AI116" s="10"/>
      <c r="AJ116" s="187"/>
      <c r="AK116" s="194"/>
      <c r="AQ116" s="211"/>
      <c r="AS116" s="187"/>
      <c r="AT116" s="194"/>
      <c r="BA116" s="463"/>
    </row>
    <row r="117" spans="2:53" s="185" customFormat="1" ht="12.75">
      <c r="B117" s="11"/>
      <c r="C117" s="23"/>
      <c r="D117" s="157">
        <f t="shared" si="17"/>
      </c>
      <c r="E117" s="157">
        <f t="shared" si="18"/>
      </c>
      <c r="F117" s="157">
        <f t="shared" si="19"/>
      </c>
      <c r="G117" s="157">
        <f t="shared" si="20"/>
      </c>
      <c r="H117" s="225">
        <f t="shared" si="21"/>
      </c>
      <c r="I117" s="206"/>
      <c r="J117" s="207">
        <f t="shared" si="22"/>
      </c>
      <c r="K117" s="208">
        <f t="shared" si="26"/>
      </c>
      <c r="L117" s="206"/>
      <c r="M117" s="47">
        <f t="shared" si="27"/>
      </c>
      <c r="N117" s="190"/>
      <c r="O117" s="209">
        <f t="shared" si="25"/>
      </c>
      <c r="P117" s="209">
        <f t="shared" si="25"/>
      </c>
      <c r="Q117" s="190"/>
      <c r="R117" s="193">
        <f t="shared" si="23"/>
      </c>
      <c r="S117" s="190"/>
      <c r="T117" s="47">
        <f t="shared" si="24"/>
      </c>
      <c r="U117" s="47">
        <f>IF(E117="","",+T117*tab!H$87)</f>
      </c>
      <c r="V117" s="46">
        <f t="shared" si="13"/>
        <v>0</v>
      </c>
      <c r="W117" s="49"/>
      <c r="X117" s="76">
        <f>IF(P117="",0,M117*12*P117*IF(OR(J117&lt;=8,J117="ID1",J117="ID2",J117="ID3"),1+tab!H$89,1+tab!G$89))</f>
        <v>0</v>
      </c>
      <c r="Y117" s="190"/>
      <c r="Z117" s="158">
        <f t="shared" si="14"/>
        <v>0</v>
      </c>
      <c r="AA117" s="76">
        <f t="shared" si="15"/>
        <v>0</v>
      </c>
      <c r="AB117" s="49"/>
      <c r="AC117" s="47">
        <f t="shared" si="16"/>
        <v>0</v>
      </c>
      <c r="AD117" s="49"/>
      <c r="AE117" s="12"/>
      <c r="AF117" s="10"/>
      <c r="AG117" s="10"/>
      <c r="AH117" s="210"/>
      <c r="AI117" s="10"/>
      <c r="AJ117" s="187"/>
      <c r="AK117" s="194"/>
      <c r="AQ117" s="211"/>
      <c r="AS117" s="187"/>
      <c r="AT117" s="194"/>
      <c r="BA117" s="463"/>
    </row>
    <row r="118" spans="2:53" s="185" customFormat="1" ht="12.75">
      <c r="B118" s="11"/>
      <c r="C118" s="23"/>
      <c r="D118" s="157">
        <f t="shared" si="17"/>
      </c>
      <c r="E118" s="157">
        <f t="shared" si="18"/>
      </c>
      <c r="F118" s="157">
        <f t="shared" si="19"/>
      </c>
      <c r="G118" s="157">
        <f t="shared" si="20"/>
      </c>
      <c r="H118" s="225">
        <f t="shared" si="21"/>
      </c>
      <c r="I118" s="206"/>
      <c r="J118" s="207">
        <f t="shared" si="22"/>
      </c>
      <c r="K118" s="208">
        <f t="shared" si="26"/>
      </c>
      <c r="L118" s="206"/>
      <c r="M118" s="47">
        <f t="shared" si="27"/>
      </c>
      <c r="N118" s="190"/>
      <c r="O118" s="209">
        <f t="shared" si="25"/>
      </c>
      <c r="P118" s="209">
        <f t="shared" si="25"/>
      </c>
      <c r="Q118" s="190"/>
      <c r="R118" s="193">
        <f t="shared" si="23"/>
      </c>
      <c r="S118" s="190"/>
      <c r="T118" s="47">
        <f t="shared" si="24"/>
      </c>
      <c r="U118" s="47">
        <f>IF(E118="","",+T118*tab!H$87)</f>
      </c>
      <c r="V118" s="46">
        <f t="shared" si="13"/>
        <v>0</v>
      </c>
      <c r="W118" s="49"/>
      <c r="X118" s="76">
        <f>IF(P118="",0,M118*12*P118*IF(OR(J118&lt;=8,J118="ID1",J118="ID2",J118="ID3"),1+tab!H$89,1+tab!G$89))</f>
        <v>0</v>
      </c>
      <c r="Y118" s="190"/>
      <c r="Z118" s="158">
        <f t="shared" si="14"/>
        <v>0</v>
      </c>
      <c r="AA118" s="76">
        <f t="shared" si="15"/>
        <v>0</v>
      </c>
      <c r="AB118" s="49"/>
      <c r="AC118" s="47">
        <f t="shared" si="16"/>
        <v>0</v>
      </c>
      <c r="AD118" s="49"/>
      <c r="AE118" s="12"/>
      <c r="AF118" s="10"/>
      <c r="AG118" s="10"/>
      <c r="AH118" s="210"/>
      <c r="AI118" s="10"/>
      <c r="AJ118" s="187"/>
      <c r="AK118" s="194"/>
      <c r="AQ118" s="211"/>
      <c r="AS118" s="187"/>
      <c r="AT118" s="194"/>
      <c r="BA118" s="463"/>
    </row>
    <row r="119" spans="2:53" s="185" customFormat="1" ht="12.75">
      <c r="B119" s="11"/>
      <c r="C119" s="23"/>
      <c r="D119" s="157">
        <f t="shared" si="17"/>
      </c>
      <c r="E119" s="157">
        <f t="shared" si="18"/>
      </c>
      <c r="F119" s="157">
        <f t="shared" si="19"/>
      </c>
      <c r="G119" s="157">
        <f t="shared" si="20"/>
      </c>
      <c r="H119" s="225">
        <f t="shared" si="21"/>
      </c>
      <c r="I119" s="206"/>
      <c r="J119" s="207">
        <f t="shared" si="22"/>
      </c>
      <c r="K119" s="208">
        <f t="shared" si="26"/>
      </c>
      <c r="L119" s="206"/>
      <c r="M119" s="47">
        <f t="shared" si="27"/>
      </c>
      <c r="N119" s="190"/>
      <c r="O119" s="209">
        <f t="shared" si="25"/>
      </c>
      <c r="P119" s="209">
        <f t="shared" si="25"/>
      </c>
      <c r="Q119" s="190"/>
      <c r="R119" s="193">
        <f t="shared" si="23"/>
      </c>
      <c r="S119" s="190"/>
      <c r="T119" s="47">
        <f t="shared" si="24"/>
      </c>
      <c r="U119" s="47">
        <f>IF(E119="","",+T119*tab!H$87)</f>
      </c>
      <c r="V119" s="46">
        <f t="shared" si="13"/>
        <v>0</v>
      </c>
      <c r="W119" s="49"/>
      <c r="X119" s="76">
        <f>IF(P119="",0,M119*12*P119*IF(OR(J119&lt;=8,J119="ID1",J119="ID2",J119="ID3"),1+tab!H$89,1+tab!G$89))</f>
        <v>0</v>
      </c>
      <c r="Y119" s="190"/>
      <c r="Z119" s="158">
        <f t="shared" si="14"/>
        <v>0</v>
      </c>
      <c r="AA119" s="76">
        <f t="shared" si="15"/>
        <v>0</v>
      </c>
      <c r="AB119" s="49"/>
      <c r="AC119" s="47">
        <f t="shared" si="16"/>
        <v>0</v>
      </c>
      <c r="AD119" s="49"/>
      <c r="AE119" s="12"/>
      <c r="AF119" s="10"/>
      <c r="AG119" s="10"/>
      <c r="AH119" s="210"/>
      <c r="AI119" s="10"/>
      <c r="AJ119" s="187"/>
      <c r="AK119" s="194"/>
      <c r="AQ119" s="211"/>
      <c r="AS119" s="187"/>
      <c r="AT119" s="194"/>
      <c r="BA119" s="463"/>
    </row>
    <row r="120" spans="2:53" s="185" customFormat="1" ht="12.75">
      <c r="B120" s="11"/>
      <c r="C120" s="23"/>
      <c r="D120" s="157">
        <f t="shared" si="17"/>
      </c>
      <c r="E120" s="157">
        <f t="shared" si="18"/>
      </c>
      <c r="F120" s="157">
        <f t="shared" si="19"/>
      </c>
      <c r="G120" s="157">
        <f t="shared" si="20"/>
      </c>
      <c r="H120" s="225">
        <f t="shared" si="21"/>
      </c>
      <c r="I120" s="206"/>
      <c r="J120" s="207">
        <f t="shared" si="22"/>
      </c>
      <c r="K120" s="208">
        <f t="shared" si="26"/>
      </c>
      <c r="L120" s="206"/>
      <c r="M120" s="47">
        <f t="shared" si="27"/>
      </c>
      <c r="N120" s="190"/>
      <c r="O120" s="209">
        <f t="shared" si="25"/>
      </c>
      <c r="P120" s="209">
        <f t="shared" si="25"/>
      </c>
      <c r="Q120" s="190"/>
      <c r="R120" s="193">
        <f t="shared" si="23"/>
      </c>
      <c r="S120" s="190"/>
      <c r="T120" s="47">
        <f t="shared" si="24"/>
      </c>
      <c r="U120" s="47">
        <f>IF(E120="","",+T120*tab!H$87)</f>
      </c>
      <c r="V120" s="46">
        <f t="shared" si="13"/>
        <v>0</v>
      </c>
      <c r="W120" s="49"/>
      <c r="X120" s="76">
        <f>IF(P120="",0,M120*12*P120*IF(OR(J120&lt;=8,J120="ID1",J120="ID2",J120="ID3"),1+tab!H$89,1+tab!G$89))</f>
        <v>0</v>
      </c>
      <c r="Y120" s="190"/>
      <c r="Z120" s="158">
        <f t="shared" si="14"/>
        <v>0</v>
      </c>
      <c r="AA120" s="76">
        <f t="shared" si="15"/>
        <v>0</v>
      </c>
      <c r="AB120" s="49"/>
      <c r="AC120" s="47">
        <f t="shared" si="16"/>
        <v>0</v>
      </c>
      <c r="AD120" s="49"/>
      <c r="AE120" s="12"/>
      <c r="AF120" s="10"/>
      <c r="AG120" s="10"/>
      <c r="AH120" s="210"/>
      <c r="AI120" s="10"/>
      <c r="AJ120" s="187"/>
      <c r="AK120" s="194"/>
      <c r="AQ120" s="211"/>
      <c r="AS120" s="187"/>
      <c r="AT120" s="194"/>
      <c r="BA120" s="463"/>
    </row>
    <row r="121" spans="2:53" s="185" customFormat="1" ht="12.75">
      <c r="B121" s="11"/>
      <c r="C121" s="23"/>
      <c r="D121" s="157">
        <f t="shared" si="17"/>
      </c>
      <c r="E121" s="157">
        <f t="shared" si="18"/>
      </c>
      <c r="F121" s="157">
        <f t="shared" si="19"/>
      </c>
      <c r="G121" s="157">
        <f t="shared" si="20"/>
      </c>
      <c r="H121" s="225">
        <f t="shared" si="21"/>
      </c>
      <c r="I121" s="206"/>
      <c r="J121" s="207">
        <f t="shared" si="22"/>
      </c>
      <c r="K121" s="208">
        <f t="shared" si="26"/>
      </c>
      <c r="L121" s="206"/>
      <c r="M121" s="47">
        <f t="shared" si="27"/>
      </c>
      <c r="N121" s="190"/>
      <c r="O121" s="209">
        <f t="shared" si="25"/>
      </c>
      <c r="P121" s="209">
        <f t="shared" si="25"/>
      </c>
      <c r="Q121" s="190"/>
      <c r="R121" s="193">
        <f t="shared" si="23"/>
      </c>
      <c r="S121" s="190"/>
      <c r="T121" s="47">
        <f t="shared" si="24"/>
      </c>
      <c r="U121" s="47">
        <f>IF(E121="","",+T121*tab!H$87)</f>
      </c>
      <c r="V121" s="46">
        <f t="shared" si="13"/>
        <v>0</v>
      </c>
      <c r="W121" s="49"/>
      <c r="X121" s="76">
        <f>IF(P121="",0,M121*12*P121*IF(OR(J121&lt;=8,J121="ID1",J121="ID2",J121="ID3"),1+tab!H$89,1+tab!G$89))</f>
        <v>0</v>
      </c>
      <c r="Y121" s="190"/>
      <c r="Z121" s="158">
        <f t="shared" si="14"/>
        <v>0</v>
      </c>
      <c r="AA121" s="76">
        <f t="shared" si="15"/>
        <v>0</v>
      </c>
      <c r="AB121" s="49"/>
      <c r="AC121" s="47">
        <f t="shared" si="16"/>
        <v>0</v>
      </c>
      <c r="AD121" s="49"/>
      <c r="AE121" s="12"/>
      <c r="AF121" s="10"/>
      <c r="AG121" s="10"/>
      <c r="AH121" s="210"/>
      <c r="AI121" s="10"/>
      <c r="AJ121" s="187"/>
      <c r="AK121" s="194"/>
      <c r="AQ121" s="211"/>
      <c r="AS121" s="187"/>
      <c r="AT121" s="194"/>
      <c r="BA121" s="463"/>
    </row>
    <row r="122" spans="2:53" s="185" customFormat="1" ht="12.75">
      <c r="B122" s="11"/>
      <c r="C122" s="23"/>
      <c r="D122" s="157">
        <f t="shared" si="17"/>
      </c>
      <c r="E122" s="157">
        <f t="shared" si="18"/>
      </c>
      <c r="F122" s="157">
        <f t="shared" si="19"/>
      </c>
      <c r="G122" s="157">
        <f t="shared" si="20"/>
      </c>
      <c r="H122" s="225">
        <f t="shared" si="21"/>
      </c>
      <c r="I122" s="206"/>
      <c r="J122" s="207">
        <f t="shared" si="22"/>
      </c>
      <c r="K122" s="208">
        <f t="shared" si="26"/>
      </c>
      <c r="L122" s="206"/>
      <c r="M122" s="47">
        <f t="shared" si="27"/>
      </c>
      <c r="N122" s="190"/>
      <c r="O122" s="209">
        <f aca="true" t="shared" si="28" ref="O122:P131">IF(O57="","",O57)</f>
      </c>
      <c r="P122" s="209">
        <f t="shared" si="28"/>
      </c>
      <c r="Q122" s="190"/>
      <c r="R122" s="193">
        <f t="shared" si="23"/>
      </c>
      <c r="S122" s="190"/>
      <c r="T122" s="47">
        <f t="shared" si="24"/>
      </c>
      <c r="U122" s="47">
        <f>IF(E122="","",+T122*tab!H$87)</f>
      </c>
      <c r="V122" s="46">
        <f t="shared" si="13"/>
        <v>0</v>
      </c>
      <c r="W122" s="49"/>
      <c r="X122" s="76">
        <f>IF(P122="",0,M122*12*P122*IF(OR(J122&lt;=8,J122="ID1",J122="ID2",J122="ID3"),1+tab!H$89,1+tab!G$89))</f>
        <v>0</v>
      </c>
      <c r="Y122" s="190"/>
      <c r="Z122" s="158">
        <f t="shared" si="14"/>
        <v>0</v>
      </c>
      <c r="AA122" s="76">
        <f t="shared" si="15"/>
        <v>0</v>
      </c>
      <c r="AB122" s="49"/>
      <c r="AC122" s="47">
        <f t="shared" si="16"/>
        <v>0</v>
      </c>
      <c r="AD122" s="49"/>
      <c r="AE122" s="12"/>
      <c r="AF122" s="10"/>
      <c r="AG122" s="10"/>
      <c r="AH122" s="210"/>
      <c r="AI122" s="10"/>
      <c r="AJ122" s="187"/>
      <c r="AK122" s="194"/>
      <c r="AQ122" s="211"/>
      <c r="AS122" s="187"/>
      <c r="AT122" s="194"/>
      <c r="BA122" s="463"/>
    </row>
    <row r="123" spans="2:53" s="185" customFormat="1" ht="12.75">
      <c r="B123" s="11"/>
      <c r="C123" s="23"/>
      <c r="D123" s="157">
        <f t="shared" si="17"/>
      </c>
      <c r="E123" s="157">
        <f t="shared" si="18"/>
      </c>
      <c r="F123" s="157">
        <f t="shared" si="19"/>
      </c>
      <c r="G123" s="157">
        <f t="shared" si="20"/>
      </c>
      <c r="H123" s="225">
        <f t="shared" si="21"/>
      </c>
      <c r="I123" s="206"/>
      <c r="J123" s="207">
        <f t="shared" si="22"/>
      </c>
      <c r="K123" s="208">
        <f t="shared" si="26"/>
      </c>
      <c r="L123" s="206"/>
      <c r="M123" s="47">
        <f t="shared" si="27"/>
      </c>
      <c r="N123" s="190"/>
      <c r="O123" s="209">
        <f t="shared" si="28"/>
      </c>
      <c r="P123" s="209">
        <f t="shared" si="28"/>
      </c>
      <c r="Q123" s="190"/>
      <c r="R123" s="193">
        <f t="shared" si="23"/>
      </c>
      <c r="S123" s="190"/>
      <c r="T123" s="47">
        <f t="shared" si="24"/>
      </c>
      <c r="U123" s="47">
        <f>IF(E123="","",+T123*tab!H$87)</f>
      </c>
      <c r="V123" s="46">
        <f t="shared" si="13"/>
        <v>0</v>
      </c>
      <c r="W123" s="49"/>
      <c r="X123" s="76">
        <f>IF(P123="",0,M123*12*P123*IF(OR(J123&lt;=8,J123="ID1",J123="ID2",J123="ID3"),1+tab!H$89,1+tab!G$89))</f>
        <v>0</v>
      </c>
      <c r="Y123" s="190"/>
      <c r="Z123" s="158">
        <f t="shared" si="14"/>
        <v>0</v>
      </c>
      <c r="AA123" s="76">
        <f t="shared" si="15"/>
        <v>0</v>
      </c>
      <c r="AB123" s="49"/>
      <c r="AC123" s="47">
        <f t="shared" si="16"/>
        <v>0</v>
      </c>
      <c r="AD123" s="49"/>
      <c r="AE123" s="12"/>
      <c r="AF123" s="10"/>
      <c r="AG123" s="10"/>
      <c r="AH123" s="210"/>
      <c r="AI123" s="10"/>
      <c r="AJ123" s="187"/>
      <c r="AK123" s="194"/>
      <c r="AQ123" s="211"/>
      <c r="AS123" s="187"/>
      <c r="AT123" s="194"/>
      <c r="BA123" s="463"/>
    </row>
    <row r="124" spans="2:53" s="185" customFormat="1" ht="12.75">
      <c r="B124" s="11"/>
      <c r="C124" s="23"/>
      <c r="D124" s="157">
        <f t="shared" si="17"/>
      </c>
      <c r="E124" s="157">
        <f t="shared" si="18"/>
      </c>
      <c r="F124" s="157">
        <f t="shared" si="19"/>
      </c>
      <c r="G124" s="157">
        <f t="shared" si="20"/>
      </c>
      <c r="H124" s="225">
        <f t="shared" si="21"/>
      </c>
      <c r="I124" s="206"/>
      <c r="J124" s="207">
        <f t="shared" si="22"/>
      </c>
      <c r="K124" s="208">
        <f t="shared" si="26"/>
      </c>
      <c r="L124" s="206"/>
      <c r="M124" s="47">
        <f t="shared" si="27"/>
      </c>
      <c r="N124" s="190"/>
      <c r="O124" s="209">
        <f t="shared" si="28"/>
      </c>
      <c r="P124" s="209">
        <f t="shared" si="28"/>
      </c>
      <c r="Q124" s="190"/>
      <c r="R124" s="193">
        <f t="shared" si="23"/>
      </c>
      <c r="S124" s="190"/>
      <c r="T124" s="47">
        <f t="shared" si="24"/>
      </c>
      <c r="U124" s="47">
        <f>IF(E124="","",+T124*tab!H$87)</f>
      </c>
      <c r="V124" s="46">
        <f t="shared" si="13"/>
        <v>0</v>
      </c>
      <c r="W124" s="49"/>
      <c r="X124" s="76">
        <f>IF(P124="",0,M124*12*P124*IF(OR(J124&lt;=8,J124="ID1",J124="ID2",J124="ID3"),1+tab!H$89,1+tab!G$89))</f>
        <v>0</v>
      </c>
      <c r="Y124" s="190"/>
      <c r="Z124" s="158">
        <f t="shared" si="14"/>
        <v>0</v>
      </c>
      <c r="AA124" s="76">
        <f t="shared" si="15"/>
        <v>0</v>
      </c>
      <c r="AB124" s="49"/>
      <c r="AC124" s="47">
        <f t="shared" si="16"/>
        <v>0</v>
      </c>
      <c r="AD124" s="49"/>
      <c r="AE124" s="12"/>
      <c r="AF124" s="10"/>
      <c r="AG124" s="10"/>
      <c r="AH124" s="210"/>
      <c r="AI124" s="10"/>
      <c r="AJ124" s="187"/>
      <c r="AK124" s="194"/>
      <c r="AQ124" s="211"/>
      <c r="AS124" s="187"/>
      <c r="AT124" s="194"/>
      <c r="BA124" s="463"/>
    </row>
    <row r="125" spans="2:53" s="185" customFormat="1" ht="12.75">
      <c r="B125" s="11"/>
      <c r="C125" s="23"/>
      <c r="D125" s="157">
        <f t="shared" si="17"/>
      </c>
      <c r="E125" s="157">
        <f t="shared" si="18"/>
      </c>
      <c r="F125" s="157">
        <f t="shared" si="19"/>
      </c>
      <c r="G125" s="157">
        <f t="shared" si="20"/>
      </c>
      <c r="H125" s="225">
        <f t="shared" si="21"/>
      </c>
      <c r="I125" s="206"/>
      <c r="J125" s="207">
        <f t="shared" si="22"/>
      </c>
      <c r="K125" s="208">
        <f t="shared" si="26"/>
      </c>
      <c r="L125" s="206"/>
      <c r="M125" s="47">
        <f t="shared" si="27"/>
      </c>
      <c r="N125" s="190"/>
      <c r="O125" s="209">
        <f t="shared" si="28"/>
      </c>
      <c r="P125" s="209">
        <f t="shared" si="28"/>
      </c>
      <c r="Q125" s="190"/>
      <c r="R125" s="193">
        <f t="shared" si="23"/>
      </c>
      <c r="S125" s="190"/>
      <c r="T125" s="47">
        <f t="shared" si="24"/>
      </c>
      <c r="U125" s="47">
        <f>IF(E125="","",+T125*tab!H$87)</f>
      </c>
      <c r="V125" s="46">
        <f t="shared" si="13"/>
        <v>0</v>
      </c>
      <c r="W125" s="49"/>
      <c r="X125" s="76">
        <f>IF(P125="",0,M125*12*P125*IF(OR(J125&lt;=8,J125="ID1",J125="ID2",J125="ID3"),1+tab!H$89,1+tab!G$89))</f>
        <v>0</v>
      </c>
      <c r="Y125" s="190"/>
      <c r="Z125" s="158">
        <f t="shared" si="14"/>
        <v>0</v>
      </c>
      <c r="AA125" s="76">
        <f t="shared" si="15"/>
        <v>0</v>
      </c>
      <c r="AB125" s="49"/>
      <c r="AC125" s="47">
        <f t="shared" si="16"/>
        <v>0</v>
      </c>
      <c r="AD125" s="49"/>
      <c r="AE125" s="12"/>
      <c r="AF125" s="10"/>
      <c r="AG125" s="10"/>
      <c r="AH125" s="210"/>
      <c r="AI125" s="10"/>
      <c r="AJ125" s="187"/>
      <c r="AK125" s="194"/>
      <c r="AQ125" s="211"/>
      <c r="AS125" s="187"/>
      <c r="AT125" s="194"/>
      <c r="BA125" s="463"/>
    </row>
    <row r="126" spans="2:53" s="185" customFormat="1" ht="12.75">
      <c r="B126" s="11"/>
      <c r="C126" s="23"/>
      <c r="D126" s="157">
        <f t="shared" si="17"/>
      </c>
      <c r="E126" s="157">
        <f t="shared" si="18"/>
      </c>
      <c r="F126" s="157">
        <f t="shared" si="19"/>
      </c>
      <c r="G126" s="157">
        <f t="shared" si="20"/>
      </c>
      <c r="H126" s="225">
        <f t="shared" si="21"/>
      </c>
      <c r="I126" s="206"/>
      <c r="J126" s="207">
        <f t="shared" si="22"/>
      </c>
      <c r="K126" s="208">
        <f t="shared" si="26"/>
      </c>
      <c r="L126" s="206"/>
      <c r="M126" s="47">
        <f t="shared" si="27"/>
      </c>
      <c r="N126" s="190"/>
      <c r="O126" s="209">
        <f t="shared" si="28"/>
      </c>
      <c r="P126" s="209">
        <f t="shared" si="28"/>
      </c>
      <c r="Q126" s="190"/>
      <c r="R126" s="193">
        <f t="shared" si="23"/>
      </c>
      <c r="S126" s="190"/>
      <c r="T126" s="47">
        <f t="shared" si="24"/>
      </c>
      <c r="U126" s="47">
        <f>IF(E126="","",+T126*tab!H$87)</f>
      </c>
      <c r="V126" s="46">
        <f t="shared" si="13"/>
        <v>0</v>
      </c>
      <c r="W126" s="49"/>
      <c r="X126" s="76">
        <f>IF(P126="",0,M126*12*P126*IF(OR(J126&lt;=8,J126="ID1",J126="ID2",J126="ID3"),1+tab!H$89,1+tab!G$89))</f>
        <v>0</v>
      </c>
      <c r="Y126" s="190"/>
      <c r="Z126" s="158">
        <f t="shared" si="14"/>
        <v>0</v>
      </c>
      <c r="AA126" s="76">
        <f t="shared" si="15"/>
        <v>0</v>
      </c>
      <c r="AB126" s="49"/>
      <c r="AC126" s="47">
        <f t="shared" si="16"/>
        <v>0</v>
      </c>
      <c r="AD126" s="49"/>
      <c r="AE126" s="12"/>
      <c r="AF126" s="10"/>
      <c r="AG126" s="10"/>
      <c r="AH126" s="210"/>
      <c r="AI126" s="10"/>
      <c r="AJ126" s="187"/>
      <c r="AK126" s="194"/>
      <c r="AQ126" s="211"/>
      <c r="AS126" s="187"/>
      <c r="AT126" s="194"/>
      <c r="BA126" s="463"/>
    </row>
    <row r="127" spans="2:53" s="185" customFormat="1" ht="12.75">
      <c r="B127" s="11"/>
      <c r="C127" s="23"/>
      <c r="D127" s="157">
        <f t="shared" si="17"/>
      </c>
      <c r="E127" s="157">
        <f t="shared" si="18"/>
      </c>
      <c r="F127" s="157">
        <f t="shared" si="19"/>
      </c>
      <c r="G127" s="157">
        <f t="shared" si="20"/>
      </c>
      <c r="H127" s="225">
        <f t="shared" si="21"/>
      </c>
      <c r="I127" s="206"/>
      <c r="J127" s="207">
        <f t="shared" si="22"/>
      </c>
      <c r="K127" s="208">
        <f t="shared" si="26"/>
      </c>
      <c r="L127" s="206"/>
      <c r="M127" s="47">
        <f t="shared" si="27"/>
      </c>
      <c r="N127" s="190"/>
      <c r="O127" s="209">
        <f t="shared" si="28"/>
      </c>
      <c r="P127" s="209">
        <f t="shared" si="28"/>
      </c>
      <c r="Q127" s="190"/>
      <c r="R127" s="193">
        <f t="shared" si="23"/>
      </c>
      <c r="S127" s="190"/>
      <c r="T127" s="47">
        <f t="shared" si="24"/>
      </c>
      <c r="U127" s="47">
        <f>IF(E127="","",+T127*tab!H$87)</f>
      </c>
      <c r="V127" s="46">
        <f t="shared" si="13"/>
        <v>0</v>
      </c>
      <c r="W127" s="49"/>
      <c r="X127" s="76">
        <f>IF(P127="",0,M127*12*P127*IF(OR(J127&lt;=8,J127="ID1",J127="ID2",J127="ID3"),1+tab!H$89,1+tab!G$89))</f>
        <v>0</v>
      </c>
      <c r="Y127" s="190"/>
      <c r="Z127" s="158">
        <f t="shared" si="14"/>
        <v>0</v>
      </c>
      <c r="AA127" s="76">
        <f t="shared" si="15"/>
        <v>0</v>
      </c>
      <c r="AB127" s="49"/>
      <c r="AC127" s="47">
        <f t="shared" si="16"/>
        <v>0</v>
      </c>
      <c r="AD127" s="49"/>
      <c r="AE127" s="12"/>
      <c r="AF127" s="10"/>
      <c r="AG127" s="10"/>
      <c r="AH127" s="210"/>
      <c r="AI127" s="10"/>
      <c r="AJ127" s="187"/>
      <c r="AK127" s="194"/>
      <c r="AQ127" s="211"/>
      <c r="AS127" s="187"/>
      <c r="AT127" s="194"/>
      <c r="BA127" s="463"/>
    </row>
    <row r="128" spans="2:53" s="185" customFormat="1" ht="12.75">
      <c r="B128" s="11"/>
      <c r="C128" s="23"/>
      <c r="D128" s="157">
        <f t="shared" si="17"/>
      </c>
      <c r="E128" s="157">
        <f t="shared" si="18"/>
      </c>
      <c r="F128" s="157">
        <f t="shared" si="19"/>
      </c>
      <c r="G128" s="157">
        <f t="shared" si="20"/>
      </c>
      <c r="H128" s="225">
        <f t="shared" si="21"/>
      </c>
      <c r="I128" s="206"/>
      <c r="J128" s="207">
        <f t="shared" si="22"/>
      </c>
      <c r="K128" s="208">
        <f t="shared" si="26"/>
      </c>
      <c r="L128" s="206"/>
      <c r="M128" s="47">
        <f t="shared" si="27"/>
      </c>
      <c r="N128" s="190"/>
      <c r="O128" s="209">
        <f t="shared" si="28"/>
      </c>
      <c r="P128" s="209">
        <f t="shared" si="28"/>
      </c>
      <c r="Q128" s="190"/>
      <c r="R128" s="193">
        <f t="shared" si="23"/>
      </c>
      <c r="S128" s="190"/>
      <c r="T128" s="47">
        <f t="shared" si="24"/>
      </c>
      <c r="U128" s="47">
        <f>IF(E128="","",+T128*tab!H$87)</f>
      </c>
      <c r="V128" s="46">
        <f t="shared" si="13"/>
        <v>0</v>
      </c>
      <c r="W128" s="49"/>
      <c r="X128" s="76">
        <f>IF(P128="",0,M128*12*P128*IF(OR(J128&lt;=8,J128="ID1",J128="ID2",J128="ID3"),1+tab!H$89,1+tab!G$89))</f>
        <v>0</v>
      </c>
      <c r="Y128" s="190"/>
      <c r="Z128" s="158">
        <f t="shared" si="14"/>
        <v>0</v>
      </c>
      <c r="AA128" s="76">
        <f t="shared" si="15"/>
        <v>0</v>
      </c>
      <c r="AB128" s="49"/>
      <c r="AC128" s="47">
        <f t="shared" si="16"/>
        <v>0</v>
      </c>
      <c r="AD128" s="49"/>
      <c r="AE128" s="12"/>
      <c r="AF128" s="10"/>
      <c r="AG128" s="10"/>
      <c r="AH128" s="210"/>
      <c r="AI128" s="10"/>
      <c r="AJ128" s="187"/>
      <c r="AK128" s="194"/>
      <c r="AQ128" s="211"/>
      <c r="AS128" s="187"/>
      <c r="AT128" s="194"/>
      <c r="BA128" s="463"/>
    </row>
    <row r="129" spans="2:53" s="185" customFormat="1" ht="12.75">
      <c r="B129" s="11"/>
      <c r="C129" s="23"/>
      <c r="D129" s="157">
        <f t="shared" si="17"/>
      </c>
      <c r="E129" s="157">
        <f t="shared" si="18"/>
      </c>
      <c r="F129" s="157">
        <f t="shared" si="19"/>
      </c>
      <c r="G129" s="157">
        <f t="shared" si="20"/>
      </c>
      <c r="H129" s="225">
        <f t="shared" si="21"/>
      </c>
      <c r="I129" s="206"/>
      <c r="J129" s="207">
        <f t="shared" si="22"/>
      </c>
      <c r="K129" s="208">
        <f t="shared" si="26"/>
      </c>
      <c r="L129" s="206"/>
      <c r="M129" s="47">
        <f t="shared" si="27"/>
      </c>
      <c r="N129" s="190"/>
      <c r="O129" s="209">
        <f t="shared" si="28"/>
      </c>
      <c r="P129" s="209">
        <f t="shared" si="28"/>
      </c>
      <c r="Q129" s="190"/>
      <c r="R129" s="193">
        <f t="shared" si="23"/>
      </c>
      <c r="S129" s="190"/>
      <c r="T129" s="47">
        <f t="shared" si="24"/>
      </c>
      <c r="U129" s="47">
        <f>IF(E129="","",+T129*tab!H$87)</f>
      </c>
      <c r="V129" s="46">
        <f t="shared" si="13"/>
        <v>0</v>
      </c>
      <c r="W129" s="49"/>
      <c r="X129" s="76">
        <f>IF(P129="",0,M129*12*P129*IF(OR(J129&lt;=8,J129="ID1",J129="ID2",J129="ID3"),1+tab!H$89,1+tab!G$89))</f>
        <v>0</v>
      </c>
      <c r="Y129" s="190"/>
      <c r="Z129" s="158">
        <f t="shared" si="14"/>
        <v>0</v>
      </c>
      <c r="AA129" s="76">
        <f t="shared" si="15"/>
        <v>0</v>
      </c>
      <c r="AB129" s="49"/>
      <c r="AC129" s="47">
        <f t="shared" si="16"/>
        <v>0</v>
      </c>
      <c r="AD129" s="49"/>
      <c r="AE129" s="12"/>
      <c r="AF129" s="10"/>
      <c r="AG129" s="10"/>
      <c r="AH129" s="210"/>
      <c r="AI129" s="10"/>
      <c r="AJ129" s="187"/>
      <c r="AK129" s="194"/>
      <c r="AQ129" s="211"/>
      <c r="AS129" s="187"/>
      <c r="AT129" s="194"/>
      <c r="BA129" s="463"/>
    </row>
    <row r="130" spans="2:53" s="185" customFormat="1" ht="12.75">
      <c r="B130" s="11"/>
      <c r="C130" s="23"/>
      <c r="D130" s="157">
        <f t="shared" si="17"/>
      </c>
      <c r="E130" s="157">
        <f t="shared" si="18"/>
      </c>
      <c r="F130" s="157">
        <f t="shared" si="19"/>
      </c>
      <c r="G130" s="157">
        <f t="shared" si="20"/>
      </c>
      <c r="H130" s="225">
        <f t="shared" si="21"/>
      </c>
      <c r="I130" s="206"/>
      <c r="J130" s="207">
        <f t="shared" si="22"/>
      </c>
      <c r="K130" s="208">
        <f t="shared" si="26"/>
      </c>
      <c r="L130" s="206"/>
      <c r="M130" s="47">
        <f t="shared" si="27"/>
      </c>
      <c r="N130" s="190"/>
      <c r="O130" s="209">
        <f t="shared" si="28"/>
      </c>
      <c r="P130" s="209">
        <f t="shared" si="28"/>
      </c>
      <c r="Q130" s="190"/>
      <c r="R130" s="193">
        <f t="shared" si="23"/>
      </c>
      <c r="S130" s="190"/>
      <c r="T130" s="47">
        <f t="shared" si="24"/>
      </c>
      <c r="U130" s="47">
        <f>IF(E130="","",+T130*tab!H$87)</f>
      </c>
      <c r="V130" s="46">
        <f t="shared" si="13"/>
        <v>0</v>
      </c>
      <c r="W130" s="49"/>
      <c r="X130" s="76">
        <f>IF(P130="",0,M130*12*P130*IF(OR(J130&lt;=8,J130="ID1",J130="ID2",J130="ID3"),1+tab!H$89,1+tab!G$89))</f>
        <v>0</v>
      </c>
      <c r="Y130" s="190"/>
      <c r="Z130" s="158">
        <f t="shared" si="14"/>
        <v>0</v>
      </c>
      <c r="AA130" s="76">
        <f t="shared" si="15"/>
        <v>0</v>
      </c>
      <c r="AB130" s="49"/>
      <c r="AC130" s="47">
        <f t="shared" si="16"/>
        <v>0</v>
      </c>
      <c r="AD130" s="49"/>
      <c r="AE130" s="12"/>
      <c r="AF130" s="10"/>
      <c r="AG130" s="10"/>
      <c r="AH130" s="210"/>
      <c r="AI130" s="10"/>
      <c r="AJ130" s="187"/>
      <c r="AK130" s="194"/>
      <c r="AQ130" s="211"/>
      <c r="AS130" s="187"/>
      <c r="AT130" s="194"/>
      <c r="BA130" s="463"/>
    </row>
    <row r="131" spans="2:53" s="185" customFormat="1" ht="12.75">
      <c r="B131" s="11"/>
      <c r="C131" s="23"/>
      <c r="D131" s="157">
        <f t="shared" si="17"/>
      </c>
      <c r="E131" s="157">
        <f t="shared" si="18"/>
      </c>
      <c r="F131" s="157">
        <f t="shared" si="19"/>
      </c>
      <c r="G131" s="157">
        <f t="shared" si="20"/>
      </c>
      <c r="H131" s="225">
        <f t="shared" si="21"/>
      </c>
      <c r="I131" s="206"/>
      <c r="J131" s="207">
        <f t="shared" si="22"/>
      </c>
      <c r="K131" s="208">
        <f t="shared" si="26"/>
      </c>
      <c r="L131" s="206"/>
      <c r="M131" s="47">
        <f t="shared" si="27"/>
      </c>
      <c r="N131" s="190"/>
      <c r="O131" s="209">
        <f t="shared" si="28"/>
      </c>
      <c r="P131" s="209">
        <f t="shared" si="28"/>
      </c>
      <c r="Q131" s="190"/>
      <c r="R131" s="193">
        <f t="shared" si="23"/>
      </c>
      <c r="S131" s="190"/>
      <c r="T131" s="47">
        <f t="shared" si="24"/>
      </c>
      <c r="U131" s="47">
        <f>IF(E131="","",+T131*tab!H$87)</f>
      </c>
      <c r="V131" s="46">
        <f t="shared" si="13"/>
        <v>0</v>
      </c>
      <c r="W131" s="49"/>
      <c r="X131" s="76">
        <f>IF(P131="",0,M131*12*P131*IF(OR(J131&lt;=8,J131="ID1",J131="ID2",J131="ID3"),1+tab!H$89,1+tab!G$89))</f>
        <v>0</v>
      </c>
      <c r="Y131" s="190"/>
      <c r="Z131" s="158">
        <f t="shared" si="14"/>
        <v>0</v>
      </c>
      <c r="AA131" s="76">
        <f t="shared" si="15"/>
        <v>0</v>
      </c>
      <c r="AB131" s="49"/>
      <c r="AC131" s="47">
        <f t="shared" si="16"/>
        <v>0</v>
      </c>
      <c r="AD131" s="49"/>
      <c r="AE131" s="12"/>
      <c r="AF131" s="10"/>
      <c r="AG131" s="10"/>
      <c r="AH131" s="210"/>
      <c r="AI131" s="10"/>
      <c r="AJ131" s="187"/>
      <c r="AK131" s="194"/>
      <c r="AQ131" s="211"/>
      <c r="AS131" s="187"/>
      <c r="AT131" s="194"/>
      <c r="BA131" s="463"/>
    </row>
    <row r="132" spans="2:53" ht="12.75">
      <c r="B132" s="11"/>
      <c r="C132" s="23"/>
      <c r="D132" s="27"/>
      <c r="E132" s="27"/>
      <c r="F132" s="212"/>
      <c r="G132" s="212"/>
      <c r="H132" s="196"/>
      <c r="I132" s="212"/>
      <c r="J132" s="195"/>
      <c r="K132" s="197"/>
      <c r="L132" s="212"/>
      <c r="M132" s="144"/>
      <c r="N132" s="144"/>
      <c r="O132" s="150">
        <f>SUM(O82:O131)</f>
        <v>0</v>
      </c>
      <c r="P132" s="150">
        <f>SUM(P82:P131)</f>
        <v>0</v>
      </c>
      <c r="Q132" s="144"/>
      <c r="R132" s="145"/>
      <c r="S132" s="144"/>
      <c r="T132" s="50">
        <f>SUM(T82:T131)</f>
        <v>0</v>
      </c>
      <c r="U132" s="50">
        <f>SUM(U82:U131)</f>
        <v>0</v>
      </c>
      <c r="V132" s="50">
        <f>SUM(V82:V131)</f>
        <v>0</v>
      </c>
      <c r="W132" s="144"/>
      <c r="X132" s="198">
        <f>SUM(X82:X131)</f>
        <v>0</v>
      </c>
      <c r="Y132" s="144"/>
      <c r="Z132" s="199">
        <f>SUM(Z82:Z131)</f>
        <v>0</v>
      </c>
      <c r="AA132" s="198">
        <f>SUM(AA82:AA131)</f>
        <v>0</v>
      </c>
      <c r="AB132" s="144"/>
      <c r="AC132" s="198">
        <f>SUM(AC82:AC131)</f>
        <v>0</v>
      </c>
      <c r="AD132" s="144"/>
      <c r="AE132" s="12"/>
      <c r="BA132" s="463"/>
    </row>
    <row r="133" spans="2:31" ht="12.75">
      <c r="B133" s="11"/>
      <c r="C133" s="23"/>
      <c r="D133" s="35"/>
      <c r="E133" s="35"/>
      <c r="F133" s="35"/>
      <c r="G133" s="36"/>
      <c r="H133" s="143"/>
      <c r="I133" s="35"/>
      <c r="J133" s="36"/>
      <c r="K133" s="144"/>
      <c r="L133" s="36"/>
      <c r="M133" s="144"/>
      <c r="N133" s="144"/>
      <c r="O133" s="145"/>
      <c r="P133" s="145"/>
      <c r="Q133" s="144"/>
      <c r="R133" s="145"/>
      <c r="S133" s="144"/>
      <c r="T133" s="200"/>
      <c r="U133" s="200"/>
      <c r="V133" s="200"/>
      <c r="W133" s="144"/>
      <c r="X133" s="201"/>
      <c r="Y133" s="144"/>
      <c r="Z133" s="202"/>
      <c r="AA133" s="201"/>
      <c r="AB133" s="144"/>
      <c r="AC133" s="144"/>
      <c r="AD133" s="144"/>
      <c r="AE133" s="12"/>
    </row>
    <row r="134" spans="2:53" s="383" customFormat="1" ht="12.75" customHeight="1">
      <c r="B134" s="51"/>
      <c r="C134" s="42"/>
      <c r="D134" s="379"/>
      <c r="E134" s="379"/>
      <c r="F134" s="379"/>
      <c r="G134" s="380"/>
      <c r="H134" s="384"/>
      <c r="I134" s="42"/>
      <c r="J134" s="380"/>
      <c r="K134" s="385"/>
      <c r="L134" s="380"/>
      <c r="M134" s="386"/>
      <c r="N134" s="387"/>
      <c r="O134" s="388"/>
      <c r="P134" s="389"/>
      <c r="Q134" s="389"/>
      <c r="R134" s="390"/>
      <c r="S134" s="42"/>
      <c r="T134" s="386"/>
      <c r="U134" s="386"/>
      <c r="V134" s="391"/>
      <c r="W134" s="386"/>
      <c r="X134" s="82"/>
      <c r="Y134" s="379"/>
      <c r="Z134" s="392"/>
      <c r="AA134" s="82"/>
      <c r="AB134" s="42"/>
      <c r="AC134" s="42"/>
      <c r="AD134" s="42"/>
      <c r="AE134" s="56"/>
      <c r="AF134" s="42"/>
      <c r="AG134" s="42"/>
      <c r="AH134" s="42"/>
      <c r="AI134" s="42"/>
      <c r="AJ134" s="380"/>
      <c r="AK134" s="393"/>
      <c r="AS134" s="380"/>
      <c r="AT134" s="393"/>
      <c r="BA134" s="10"/>
    </row>
    <row r="135" spans="2:53" s="185" customFormat="1" ht="12.75" customHeight="1" thickBot="1">
      <c r="B135" s="59"/>
      <c r="C135" s="60"/>
      <c r="D135" s="213"/>
      <c r="E135" s="213"/>
      <c r="F135" s="213"/>
      <c r="G135" s="214"/>
      <c r="H135" s="215"/>
      <c r="I135" s="60"/>
      <c r="J135" s="214"/>
      <c r="K135" s="216"/>
      <c r="L135" s="214"/>
      <c r="M135" s="217"/>
      <c r="N135" s="218"/>
      <c r="O135" s="219"/>
      <c r="P135" s="220"/>
      <c r="Q135" s="220"/>
      <c r="R135" s="221"/>
      <c r="S135" s="60"/>
      <c r="T135" s="217"/>
      <c r="U135" s="217"/>
      <c r="V135" s="222"/>
      <c r="W135" s="217"/>
      <c r="X135" s="223"/>
      <c r="Y135" s="213"/>
      <c r="Z135" s="224"/>
      <c r="AA135" s="223"/>
      <c r="AB135" s="60"/>
      <c r="AC135" s="60"/>
      <c r="AD135" s="60"/>
      <c r="AE135" s="62"/>
      <c r="AF135" s="10"/>
      <c r="AG135" s="10"/>
      <c r="AH135" s="10"/>
      <c r="AI135" s="10"/>
      <c r="AJ135" s="187"/>
      <c r="AK135" s="194"/>
      <c r="AS135" s="187"/>
      <c r="AT135" s="194"/>
      <c r="BA135" s="383"/>
    </row>
    <row r="136" spans="2:46" s="185" customFormat="1" ht="12.75" customHeight="1">
      <c r="B136" s="10"/>
      <c r="C136" s="10"/>
      <c r="D136" s="186"/>
      <c r="E136" s="186"/>
      <c r="F136" s="186"/>
      <c r="G136" s="187"/>
      <c r="H136" s="188"/>
      <c r="I136" s="10"/>
      <c r="J136" s="187"/>
      <c r="K136" s="189"/>
      <c r="L136" s="187"/>
      <c r="M136" s="177"/>
      <c r="N136" s="203"/>
      <c r="O136" s="191"/>
      <c r="P136" s="192"/>
      <c r="Q136" s="192"/>
      <c r="R136" s="92"/>
      <c r="S136" s="10"/>
      <c r="T136" s="177"/>
      <c r="U136" s="177"/>
      <c r="V136" s="204"/>
      <c r="W136" s="177"/>
      <c r="X136" s="72"/>
      <c r="Y136" s="186"/>
      <c r="Z136" s="205"/>
      <c r="AA136" s="72"/>
      <c r="AB136" s="10"/>
      <c r="AC136" s="10"/>
      <c r="AD136" s="10"/>
      <c r="AE136" s="10"/>
      <c r="AF136" s="10"/>
      <c r="AG136" s="10"/>
      <c r="AH136" s="10"/>
      <c r="AI136" s="10"/>
      <c r="AJ136" s="187"/>
      <c r="AK136" s="194"/>
      <c r="AS136" s="187"/>
      <c r="AT136" s="194"/>
    </row>
    <row r="137" spans="2:46" s="185" customFormat="1" ht="12.75" customHeight="1">
      <c r="B137" s="10"/>
      <c r="C137" s="10"/>
      <c r="D137" s="186"/>
      <c r="E137" s="186"/>
      <c r="F137" s="186"/>
      <c r="G137" s="187"/>
      <c r="H137" s="188"/>
      <c r="I137" s="10"/>
      <c r="J137" s="187"/>
      <c r="K137" s="189"/>
      <c r="L137" s="187"/>
      <c r="M137" s="177"/>
      <c r="N137" s="203"/>
      <c r="O137" s="191"/>
      <c r="P137" s="192"/>
      <c r="Q137" s="192"/>
      <c r="R137" s="92"/>
      <c r="S137" s="10"/>
      <c r="T137" s="177"/>
      <c r="U137" s="177"/>
      <c r="V137" s="204"/>
      <c r="W137" s="177"/>
      <c r="X137" s="72"/>
      <c r="Y137" s="186"/>
      <c r="Z137" s="205"/>
      <c r="AA137" s="72"/>
      <c r="AB137" s="10"/>
      <c r="AC137" s="10"/>
      <c r="AD137" s="10"/>
      <c r="AE137" s="10"/>
      <c r="AF137" s="10"/>
      <c r="AG137" s="10"/>
      <c r="AH137" s="10"/>
      <c r="AI137" s="10"/>
      <c r="AJ137" s="187"/>
      <c r="AK137" s="194"/>
      <c r="AS137" s="187"/>
      <c r="AT137" s="194"/>
    </row>
    <row r="138" spans="2:46" s="185" customFormat="1" ht="12.75" customHeight="1">
      <c r="B138" s="10"/>
      <c r="C138" s="10" t="s">
        <v>310</v>
      </c>
      <c r="D138" s="186"/>
      <c r="E138" s="134" t="str">
        <f>tab!I11</f>
        <v>2009/10</v>
      </c>
      <c r="F138" s="186"/>
      <c r="G138" s="187"/>
      <c r="H138" s="188"/>
      <c r="I138" s="10"/>
      <c r="J138" s="187"/>
      <c r="K138" s="189"/>
      <c r="L138" s="187"/>
      <c r="M138" s="177"/>
      <c r="N138" s="203"/>
      <c r="O138" s="191"/>
      <c r="P138" s="192"/>
      <c r="Q138" s="192"/>
      <c r="R138" s="92"/>
      <c r="S138" s="10"/>
      <c r="T138" s="177"/>
      <c r="U138" s="177"/>
      <c r="V138" s="204"/>
      <c r="W138" s="177"/>
      <c r="X138" s="72"/>
      <c r="Y138" s="186"/>
      <c r="Z138" s="205"/>
      <c r="AA138" s="72"/>
      <c r="AB138" s="10"/>
      <c r="AC138" s="10"/>
      <c r="AD138" s="10"/>
      <c r="AE138" s="10"/>
      <c r="AF138" s="10"/>
      <c r="AG138" s="10"/>
      <c r="AH138" s="10"/>
      <c r="AI138" s="10"/>
      <c r="AJ138" s="187"/>
      <c r="AK138" s="194"/>
      <c r="AS138" s="187"/>
      <c r="AT138" s="194"/>
    </row>
    <row r="139" spans="2:46" s="185" customFormat="1" ht="12.75" customHeight="1">
      <c r="B139" s="10"/>
      <c r="C139" s="10" t="s">
        <v>311</v>
      </c>
      <c r="D139" s="186"/>
      <c r="E139" s="134">
        <f>tab!J13</f>
        <v>40087</v>
      </c>
      <c r="F139" s="186"/>
      <c r="G139" s="187"/>
      <c r="H139" s="188"/>
      <c r="I139" s="10"/>
      <c r="J139" s="187"/>
      <c r="K139" s="189"/>
      <c r="L139" s="187"/>
      <c r="M139" s="177"/>
      <c r="N139" s="203"/>
      <c r="O139" s="191"/>
      <c r="P139" s="192"/>
      <c r="Q139" s="192"/>
      <c r="R139" s="92"/>
      <c r="S139" s="10"/>
      <c r="T139" s="177"/>
      <c r="U139" s="177"/>
      <c r="V139" s="204"/>
      <c r="W139" s="177"/>
      <c r="X139" s="72"/>
      <c r="Y139" s="186"/>
      <c r="Z139" s="205"/>
      <c r="AA139" s="72"/>
      <c r="AB139" s="10"/>
      <c r="AC139" s="10"/>
      <c r="AD139" s="10"/>
      <c r="AE139" s="10"/>
      <c r="AF139" s="10"/>
      <c r="AG139" s="10"/>
      <c r="AH139" s="10"/>
      <c r="AI139" s="10"/>
      <c r="AJ139" s="187"/>
      <c r="AK139" s="194"/>
      <c r="AS139" s="187"/>
      <c r="AT139" s="194"/>
    </row>
    <row r="140" spans="2:46" s="185" customFormat="1" ht="12.75" customHeight="1">
      <c r="B140" s="10"/>
      <c r="C140" s="10"/>
      <c r="D140" s="186"/>
      <c r="E140" s="186"/>
      <c r="F140" s="186"/>
      <c r="G140" s="187"/>
      <c r="H140" s="188"/>
      <c r="I140" s="10"/>
      <c r="J140" s="187"/>
      <c r="K140" s="189"/>
      <c r="L140" s="187"/>
      <c r="M140" s="177"/>
      <c r="N140" s="203"/>
      <c r="O140" s="191"/>
      <c r="P140" s="192"/>
      <c r="Q140" s="192"/>
      <c r="R140" s="92"/>
      <c r="S140" s="10"/>
      <c r="T140" s="177"/>
      <c r="U140" s="177"/>
      <c r="V140" s="204"/>
      <c r="W140" s="177"/>
      <c r="X140" s="72"/>
      <c r="Y140" s="186"/>
      <c r="Z140" s="205"/>
      <c r="AA140" s="72"/>
      <c r="AB140" s="10"/>
      <c r="AC140" s="10"/>
      <c r="AD140" s="10"/>
      <c r="AE140" s="10"/>
      <c r="AF140" s="10"/>
      <c r="AG140" s="10"/>
      <c r="AH140" s="10"/>
      <c r="AI140" s="10"/>
      <c r="AJ140" s="187"/>
      <c r="AK140" s="194"/>
      <c r="AS140" s="187"/>
      <c r="AT140" s="194"/>
    </row>
    <row r="141" spans="3:53" ht="12.75" customHeight="1">
      <c r="C141" s="23"/>
      <c r="D141" s="35"/>
      <c r="E141" s="39"/>
      <c r="F141" s="35"/>
      <c r="G141" s="36"/>
      <c r="H141" s="143"/>
      <c r="I141" s="23"/>
      <c r="J141" s="144"/>
      <c r="K141" s="144"/>
      <c r="L141" s="45"/>
      <c r="M141" s="45"/>
      <c r="N141" s="45"/>
      <c r="O141" s="145"/>
      <c r="P141" s="144"/>
      <c r="Q141" s="144"/>
      <c r="R141" s="146"/>
      <c r="S141" s="23"/>
      <c r="T141" s="23"/>
      <c r="U141" s="23"/>
      <c r="V141" s="55"/>
      <c r="W141" s="55"/>
      <c r="X141" s="31"/>
      <c r="Y141" s="23"/>
      <c r="Z141" s="147"/>
      <c r="AA141" s="31"/>
      <c r="AB141" s="23"/>
      <c r="AC141" s="23"/>
      <c r="AD141" s="23"/>
      <c r="AJ141" s="137"/>
      <c r="AK141" s="138"/>
      <c r="AL141" s="137"/>
      <c r="AM141" s="137"/>
      <c r="AN141" s="137"/>
      <c r="AO141" s="91"/>
      <c r="AP141" s="139"/>
      <c r="AQ141" s="140"/>
      <c r="AR141" s="141"/>
      <c r="AS141" s="142"/>
      <c r="AT141" s="139"/>
      <c r="BA141" s="185"/>
    </row>
    <row r="142" spans="3:48" ht="12.75" customHeight="1">
      <c r="C142" s="23"/>
      <c r="D142" s="598" t="s">
        <v>312</v>
      </c>
      <c r="E142" s="599"/>
      <c r="F142" s="599"/>
      <c r="G142" s="599"/>
      <c r="H142" s="599"/>
      <c r="I142" s="149"/>
      <c r="J142" s="598" t="s">
        <v>313</v>
      </c>
      <c r="K142" s="599"/>
      <c r="L142" s="599"/>
      <c r="M142" s="599"/>
      <c r="N142" s="36"/>
      <c r="O142" s="600" t="s">
        <v>314</v>
      </c>
      <c r="P142" s="599"/>
      <c r="Q142" s="599"/>
      <c r="R142" s="599"/>
      <c r="S142" s="151"/>
      <c r="T142" s="598" t="s">
        <v>315</v>
      </c>
      <c r="U142" s="598"/>
      <c r="V142" s="598"/>
      <c r="W142" s="36"/>
      <c r="X142" s="77" t="s">
        <v>316</v>
      </c>
      <c r="Y142" s="36"/>
      <c r="Z142" s="152"/>
      <c r="AA142" s="148" t="s">
        <v>317</v>
      </c>
      <c r="AB142" s="144"/>
      <c r="AC142" s="153" t="s">
        <v>315</v>
      </c>
      <c r="AD142" s="144"/>
      <c r="AE142" s="155"/>
      <c r="AF142" s="155"/>
      <c r="AG142" s="92"/>
      <c r="AH142" s="156"/>
      <c r="AI142" s="92"/>
      <c r="AJ142" s="10"/>
      <c r="AK142" s="10"/>
      <c r="AS142" s="10"/>
      <c r="AT142" s="10"/>
      <c r="AU142" s="155"/>
      <c r="AV142" s="155"/>
    </row>
    <row r="143" spans="3:48" ht="12.75" customHeight="1">
      <c r="C143" s="23"/>
      <c r="D143" s="159" t="s">
        <v>338</v>
      </c>
      <c r="E143" s="159" t="s">
        <v>319</v>
      </c>
      <c r="F143" s="159" t="s">
        <v>320</v>
      </c>
      <c r="G143" s="160" t="s">
        <v>321</v>
      </c>
      <c r="H143" s="161" t="s">
        <v>322</v>
      </c>
      <c r="I143" s="30"/>
      <c r="J143" s="160" t="s">
        <v>208</v>
      </c>
      <c r="K143" s="160" t="s">
        <v>323</v>
      </c>
      <c r="L143" s="162"/>
      <c r="M143" s="163" t="s">
        <v>324</v>
      </c>
      <c r="N143" s="164"/>
      <c r="O143" s="165" t="s">
        <v>325</v>
      </c>
      <c r="P143" s="166" t="s">
        <v>326</v>
      </c>
      <c r="Q143" s="166"/>
      <c r="R143" s="165" t="s">
        <v>325</v>
      </c>
      <c r="S143" s="30"/>
      <c r="T143" s="167" t="s">
        <v>327</v>
      </c>
      <c r="U143" s="167" t="s">
        <v>328</v>
      </c>
      <c r="V143" s="167" t="s">
        <v>329</v>
      </c>
      <c r="W143" s="164"/>
      <c r="X143" s="168" t="s">
        <v>330</v>
      </c>
      <c r="Y143" s="35"/>
      <c r="Z143" s="169" t="s">
        <v>339</v>
      </c>
      <c r="AA143" s="168" t="s">
        <v>330</v>
      </c>
      <c r="AB143" s="170"/>
      <c r="AC143" s="160" t="s">
        <v>332</v>
      </c>
      <c r="AD143" s="170"/>
      <c r="AE143" s="172"/>
      <c r="AF143" s="172"/>
      <c r="AG143" s="173"/>
      <c r="AH143" s="174"/>
      <c r="AI143" s="173"/>
      <c r="AJ143" s="10"/>
      <c r="AK143" s="10"/>
      <c r="AS143" s="10"/>
      <c r="AT143" s="10"/>
      <c r="AU143" s="155"/>
      <c r="AV143" s="172"/>
    </row>
    <row r="144" spans="3:48" ht="12.75" customHeight="1">
      <c r="C144" s="23"/>
      <c r="D144" s="157"/>
      <c r="E144" s="159"/>
      <c r="F144" s="175"/>
      <c r="G144" s="160" t="s">
        <v>333</v>
      </c>
      <c r="H144" s="161" t="s">
        <v>334</v>
      </c>
      <c r="I144" s="30"/>
      <c r="J144" s="160"/>
      <c r="K144" s="160"/>
      <c r="L144" s="162"/>
      <c r="M144" s="163" t="s">
        <v>335</v>
      </c>
      <c r="N144" s="164"/>
      <c r="O144" s="165" t="s">
        <v>336</v>
      </c>
      <c r="P144" s="166"/>
      <c r="Q144" s="166"/>
      <c r="R144" s="165" t="s">
        <v>337</v>
      </c>
      <c r="S144" s="30"/>
      <c r="T144" s="167"/>
      <c r="U144" s="227"/>
      <c r="V144" s="167"/>
      <c r="W144" s="164"/>
      <c r="X144" s="168"/>
      <c r="Y144" s="23"/>
      <c r="Z144" s="169"/>
      <c r="AA144" s="168"/>
      <c r="AB144" s="23"/>
      <c r="AC144" s="69"/>
      <c r="AD144" s="23"/>
      <c r="AJ144" s="10"/>
      <c r="AK144" s="10"/>
      <c r="AS144" s="10"/>
      <c r="AT144" s="10"/>
      <c r="AV144" s="177"/>
    </row>
    <row r="145" spans="3:48" ht="12.75" customHeight="1">
      <c r="C145" s="23"/>
      <c r="D145" s="35"/>
      <c r="E145" s="35"/>
      <c r="F145" s="35"/>
      <c r="G145" s="36"/>
      <c r="H145" s="143"/>
      <c r="I145" s="23"/>
      <c r="J145" s="170"/>
      <c r="K145" s="170"/>
      <c r="L145" s="178"/>
      <c r="M145" s="179"/>
      <c r="N145" s="164"/>
      <c r="O145" s="180"/>
      <c r="P145" s="181"/>
      <c r="Q145" s="164"/>
      <c r="R145" s="180"/>
      <c r="S145" s="164"/>
      <c r="T145" s="182"/>
      <c r="U145" s="182"/>
      <c r="V145" s="182"/>
      <c r="W145" s="164"/>
      <c r="X145" s="183"/>
      <c r="Y145" s="164"/>
      <c r="Z145" s="184"/>
      <c r="AA145" s="183"/>
      <c r="AB145" s="164"/>
      <c r="AC145" s="164"/>
      <c r="AD145" s="164"/>
      <c r="AJ145" s="10"/>
      <c r="AK145" s="10"/>
      <c r="AS145" s="10"/>
      <c r="AT145" s="10"/>
      <c r="AV145" s="177"/>
    </row>
    <row r="146" spans="2:53" s="185" customFormat="1" ht="12.75" customHeight="1">
      <c r="B146" s="10"/>
      <c r="C146" s="23"/>
      <c r="D146" s="157">
        <f aca="true" t="shared" si="29" ref="D146:F165">IF(D82=0,"",D82)</f>
      </c>
      <c r="E146" s="157">
        <f t="shared" si="29"/>
      </c>
      <c r="F146" s="157">
        <f t="shared" si="29"/>
      </c>
      <c r="G146" s="157">
        <f>IF(G82="","",G82+1)</f>
      </c>
      <c r="H146" s="225">
        <f>IF(H82=0,"",H82)</f>
      </c>
      <c r="I146" s="206"/>
      <c r="J146" s="207">
        <f>IF(J82=0,"",J82)</f>
      </c>
      <c r="K146" s="208">
        <f aca="true" t="shared" si="30" ref="K146:K177">IF(E146="","",(IF((K82+1)&gt;VLOOKUP(J146,tabelsalaris,22,FALSE),K82,K82+1)))</f>
      </c>
      <c r="L146" s="206"/>
      <c r="M146" s="47">
        <f aca="true" t="shared" si="31" ref="M146:M177">IF(J146="","",ROUND(1.022*VLOOKUP(J146,tabelsalaris,K146+1,FALSE),0))</f>
      </c>
      <c r="N146" s="190"/>
      <c r="O146" s="209">
        <f aca="true" t="shared" si="32" ref="O146:P165">IF(O82="","",O82)</f>
      </c>
      <c r="P146" s="209">
        <f t="shared" si="32"/>
      </c>
      <c r="Q146" s="190"/>
      <c r="R146" s="193">
        <f>IF(P146="",O146,O146-P146)</f>
      </c>
      <c r="S146" s="190"/>
      <c r="T146" s="47">
        <f>IF(E146="","",(M146*R146*12))</f>
      </c>
      <c r="U146" s="47">
        <f>IF(E146="","",+T146*tab!H$87)</f>
      </c>
      <c r="V146" s="46">
        <f aca="true" t="shared" si="33" ref="V146:V195">IF(E146="",0,(T146+U146))</f>
        <v>0</v>
      </c>
      <c r="W146" s="49"/>
      <c r="X146" s="76">
        <f>IF(P146="",0,M146*12*P146*IF(OR(J146&lt;=8,J146="ID1",J146="ID2",J146="ID3"),1+tab!H$89,1+tab!G$89))</f>
        <v>0</v>
      </c>
      <c r="Y146" s="190"/>
      <c r="Z146" s="158">
        <f aca="true" t="shared" si="34" ref="Z146:Z195">IF(G146&lt;25,0,IF(G146=25,25,IF(G146&lt;40,0,IF(G146=40,40,IF(G146&gt;=40,0)))))</f>
        <v>0</v>
      </c>
      <c r="AA146" s="76">
        <f aca="true" t="shared" si="35" ref="AA146:AA195">IF(E146="",0,IF(Z146=25,(M146*1.08*(O146)/2),IF(Z146=40,(M146*1.08*(O146)),IF(Z146=0,0))))</f>
        <v>0</v>
      </c>
      <c r="AB146" s="49"/>
      <c r="AC146" s="47">
        <f aca="true" t="shared" si="36" ref="AC146:AC195">IF(E146="",0,(V146+X146+AA146))</f>
        <v>0</v>
      </c>
      <c r="AD146" s="49"/>
      <c r="AE146" s="10"/>
      <c r="AF146" s="10"/>
      <c r="AG146" s="10"/>
      <c r="AH146" s="210"/>
      <c r="AI146" s="10"/>
      <c r="AJ146" s="187"/>
      <c r="AK146" s="194"/>
      <c r="AQ146" s="211"/>
      <c r="AS146" s="187"/>
      <c r="AT146" s="194"/>
      <c r="BA146" s="10"/>
    </row>
    <row r="147" spans="2:46" s="185" customFormat="1" ht="12.75" customHeight="1">
      <c r="B147" s="10"/>
      <c r="C147" s="23"/>
      <c r="D147" s="157">
        <f t="shared" si="29"/>
      </c>
      <c r="E147" s="157">
        <f t="shared" si="29"/>
      </c>
      <c r="F147" s="157">
        <f t="shared" si="29"/>
      </c>
      <c r="G147" s="157">
        <f aca="true" t="shared" si="37" ref="G147:G195">IF(G83="","",G83+1)</f>
      </c>
      <c r="H147" s="225">
        <f aca="true" t="shared" si="38" ref="H147:H195">IF(H83=0,"",H83)</f>
      </c>
      <c r="I147" s="206"/>
      <c r="J147" s="207">
        <f aca="true" t="shared" si="39" ref="J147:J195">IF(J83=0,"",J83)</f>
      </c>
      <c r="K147" s="208">
        <f t="shared" si="30"/>
      </c>
      <c r="L147" s="206"/>
      <c r="M147" s="47">
        <f t="shared" si="31"/>
      </c>
      <c r="N147" s="190"/>
      <c r="O147" s="209">
        <f t="shared" si="32"/>
      </c>
      <c r="P147" s="209">
        <f t="shared" si="32"/>
      </c>
      <c r="Q147" s="190"/>
      <c r="R147" s="193">
        <f aca="true" t="shared" si="40" ref="R147:R195">IF(P147="",O147,O147-P147)</f>
      </c>
      <c r="S147" s="190"/>
      <c r="T147" s="47">
        <f aca="true" t="shared" si="41" ref="T147:T195">IF(E147="","",(M147*R147*12))</f>
      </c>
      <c r="U147" s="47">
        <f>IF(E147="","",+T147*tab!H$87)</f>
      </c>
      <c r="V147" s="46">
        <f t="shared" si="33"/>
        <v>0</v>
      </c>
      <c r="W147" s="49"/>
      <c r="X147" s="76">
        <f>IF(P147="",0,M147*12*P147*IF(OR(J147&lt;=8,J147="ID1",J147="ID2",J147="ID3"),1+tab!H$89,1+tab!G$89))</f>
        <v>0</v>
      </c>
      <c r="Y147" s="190"/>
      <c r="Z147" s="158">
        <f t="shared" si="34"/>
        <v>0</v>
      </c>
      <c r="AA147" s="76">
        <f t="shared" si="35"/>
        <v>0</v>
      </c>
      <c r="AB147" s="49"/>
      <c r="AC147" s="47">
        <f t="shared" si="36"/>
        <v>0</v>
      </c>
      <c r="AD147" s="49"/>
      <c r="AE147" s="10"/>
      <c r="AF147" s="10"/>
      <c r="AG147" s="10"/>
      <c r="AH147" s="210"/>
      <c r="AI147" s="10"/>
      <c r="AJ147" s="187"/>
      <c r="AK147" s="194"/>
      <c r="AQ147" s="211"/>
      <c r="AS147" s="187"/>
      <c r="AT147" s="194"/>
    </row>
    <row r="148" spans="2:46" s="185" customFormat="1" ht="12.75" customHeight="1">
      <c r="B148" s="10"/>
      <c r="C148" s="23"/>
      <c r="D148" s="157">
        <f t="shared" si="29"/>
      </c>
      <c r="E148" s="157">
        <f t="shared" si="29"/>
      </c>
      <c r="F148" s="157">
        <f t="shared" si="29"/>
      </c>
      <c r="G148" s="157">
        <f t="shared" si="37"/>
      </c>
      <c r="H148" s="225">
        <f t="shared" si="38"/>
      </c>
      <c r="I148" s="206"/>
      <c r="J148" s="207">
        <f t="shared" si="39"/>
      </c>
      <c r="K148" s="208">
        <f t="shared" si="30"/>
      </c>
      <c r="L148" s="206"/>
      <c r="M148" s="47">
        <f t="shared" si="31"/>
      </c>
      <c r="N148" s="190"/>
      <c r="O148" s="209">
        <f t="shared" si="32"/>
      </c>
      <c r="P148" s="209">
        <f t="shared" si="32"/>
      </c>
      <c r="Q148" s="190"/>
      <c r="R148" s="193">
        <f t="shared" si="40"/>
      </c>
      <c r="S148" s="190"/>
      <c r="T148" s="47">
        <f t="shared" si="41"/>
      </c>
      <c r="U148" s="47">
        <f>IF(E148="","",+T148*tab!H$87)</f>
      </c>
      <c r="V148" s="46">
        <f t="shared" si="33"/>
        <v>0</v>
      </c>
      <c r="W148" s="49"/>
      <c r="X148" s="76">
        <f>IF(P148="",0,M148*12*P148*IF(OR(J148&lt;=8,J148="ID1",J148="ID2",J148="ID3"),1+tab!H$89,1+tab!G$89))</f>
        <v>0</v>
      </c>
      <c r="Y148" s="190"/>
      <c r="Z148" s="158">
        <f t="shared" si="34"/>
        <v>0</v>
      </c>
      <c r="AA148" s="76">
        <f t="shared" si="35"/>
        <v>0</v>
      </c>
      <c r="AB148" s="49"/>
      <c r="AC148" s="47">
        <f t="shared" si="36"/>
        <v>0</v>
      </c>
      <c r="AD148" s="49"/>
      <c r="AE148" s="10"/>
      <c r="AF148" s="10"/>
      <c r="AG148" s="10"/>
      <c r="AH148" s="210"/>
      <c r="AI148" s="10"/>
      <c r="AJ148" s="187"/>
      <c r="AK148" s="194"/>
      <c r="AQ148" s="211"/>
      <c r="AS148" s="187"/>
      <c r="AT148" s="194"/>
    </row>
    <row r="149" spans="2:46" s="185" customFormat="1" ht="12.75" customHeight="1">
      <c r="B149" s="10"/>
      <c r="C149" s="23"/>
      <c r="D149" s="157">
        <f t="shared" si="29"/>
      </c>
      <c r="E149" s="157">
        <f t="shared" si="29"/>
      </c>
      <c r="F149" s="157">
        <f t="shared" si="29"/>
      </c>
      <c r="G149" s="157">
        <f t="shared" si="37"/>
      </c>
      <c r="H149" s="225">
        <f t="shared" si="38"/>
      </c>
      <c r="I149" s="206"/>
      <c r="J149" s="207">
        <f t="shared" si="39"/>
      </c>
      <c r="K149" s="208">
        <f t="shared" si="30"/>
      </c>
      <c r="L149" s="206"/>
      <c r="M149" s="47">
        <f t="shared" si="31"/>
      </c>
      <c r="N149" s="190"/>
      <c r="O149" s="209">
        <f t="shared" si="32"/>
      </c>
      <c r="P149" s="209">
        <f t="shared" si="32"/>
      </c>
      <c r="Q149" s="190"/>
      <c r="R149" s="193">
        <f t="shared" si="40"/>
      </c>
      <c r="S149" s="190"/>
      <c r="T149" s="47">
        <f t="shared" si="41"/>
      </c>
      <c r="U149" s="47">
        <f>IF(E149="","",+T149*tab!H$87)</f>
      </c>
      <c r="V149" s="46">
        <f t="shared" si="33"/>
        <v>0</v>
      </c>
      <c r="W149" s="49"/>
      <c r="X149" s="76">
        <f>IF(P149="",0,M149*12*P149*IF(OR(J149&lt;=8,J149="ID1",J149="ID2",J149="ID3"),1+tab!H$89,1+tab!G$89))</f>
        <v>0</v>
      </c>
      <c r="Y149" s="190"/>
      <c r="Z149" s="158">
        <f t="shared" si="34"/>
        <v>0</v>
      </c>
      <c r="AA149" s="76">
        <f t="shared" si="35"/>
        <v>0</v>
      </c>
      <c r="AB149" s="49"/>
      <c r="AC149" s="47">
        <f t="shared" si="36"/>
        <v>0</v>
      </c>
      <c r="AD149" s="49"/>
      <c r="AE149" s="10"/>
      <c r="AF149" s="10"/>
      <c r="AG149" s="10"/>
      <c r="AH149" s="210"/>
      <c r="AI149" s="10"/>
      <c r="AJ149" s="187"/>
      <c r="AK149" s="194"/>
      <c r="AQ149" s="211"/>
      <c r="AS149" s="187"/>
      <c r="AT149" s="194"/>
    </row>
    <row r="150" spans="2:46" s="185" customFormat="1" ht="12.75" customHeight="1">
      <c r="B150" s="10"/>
      <c r="C150" s="23"/>
      <c r="D150" s="157">
        <f t="shared" si="29"/>
      </c>
      <c r="E150" s="157">
        <f t="shared" si="29"/>
      </c>
      <c r="F150" s="157">
        <f t="shared" si="29"/>
      </c>
      <c r="G150" s="157">
        <f t="shared" si="37"/>
      </c>
      <c r="H150" s="225">
        <f t="shared" si="38"/>
      </c>
      <c r="I150" s="206"/>
      <c r="J150" s="207">
        <f t="shared" si="39"/>
      </c>
      <c r="K150" s="208">
        <f t="shared" si="30"/>
      </c>
      <c r="L150" s="206"/>
      <c r="M150" s="47">
        <f t="shared" si="31"/>
      </c>
      <c r="N150" s="190"/>
      <c r="O150" s="209">
        <f t="shared" si="32"/>
      </c>
      <c r="P150" s="209">
        <f t="shared" si="32"/>
      </c>
      <c r="Q150" s="190"/>
      <c r="R150" s="193">
        <f t="shared" si="40"/>
      </c>
      <c r="S150" s="190"/>
      <c r="T150" s="47">
        <f t="shared" si="41"/>
      </c>
      <c r="U150" s="47">
        <f>IF(E150="","",+T150*tab!H$87)</f>
      </c>
      <c r="V150" s="46">
        <f t="shared" si="33"/>
        <v>0</v>
      </c>
      <c r="W150" s="49"/>
      <c r="X150" s="76">
        <f>IF(P150="",0,M150*12*P150*IF(OR(J150&lt;=8,J150="ID1",J150="ID2",J150="ID3"),1+tab!H$89,1+tab!G$89))</f>
        <v>0</v>
      </c>
      <c r="Y150" s="190"/>
      <c r="Z150" s="158">
        <f t="shared" si="34"/>
        <v>0</v>
      </c>
      <c r="AA150" s="76">
        <f t="shared" si="35"/>
        <v>0</v>
      </c>
      <c r="AB150" s="49"/>
      <c r="AC150" s="47">
        <f t="shared" si="36"/>
        <v>0</v>
      </c>
      <c r="AD150" s="49"/>
      <c r="AE150" s="10"/>
      <c r="AF150" s="10"/>
      <c r="AG150" s="10"/>
      <c r="AH150" s="210"/>
      <c r="AI150" s="10"/>
      <c r="AJ150" s="187"/>
      <c r="AK150" s="194"/>
      <c r="AQ150" s="211"/>
      <c r="AS150" s="187"/>
      <c r="AT150" s="194"/>
    </row>
    <row r="151" spans="2:46" s="185" customFormat="1" ht="12.75" customHeight="1">
      <c r="B151" s="10"/>
      <c r="C151" s="23"/>
      <c r="D151" s="157">
        <f t="shared" si="29"/>
      </c>
      <c r="E151" s="157">
        <f t="shared" si="29"/>
      </c>
      <c r="F151" s="157">
        <f t="shared" si="29"/>
      </c>
      <c r="G151" s="157">
        <f t="shared" si="37"/>
      </c>
      <c r="H151" s="225">
        <f t="shared" si="38"/>
      </c>
      <c r="I151" s="206"/>
      <c r="J151" s="207">
        <f t="shared" si="39"/>
      </c>
      <c r="K151" s="208">
        <f t="shared" si="30"/>
      </c>
      <c r="L151" s="206"/>
      <c r="M151" s="47">
        <f t="shared" si="31"/>
      </c>
      <c r="N151" s="190"/>
      <c r="O151" s="209">
        <f t="shared" si="32"/>
      </c>
      <c r="P151" s="209">
        <f t="shared" si="32"/>
      </c>
      <c r="Q151" s="190"/>
      <c r="R151" s="193">
        <f t="shared" si="40"/>
      </c>
      <c r="S151" s="190"/>
      <c r="T151" s="47">
        <f t="shared" si="41"/>
      </c>
      <c r="U151" s="47">
        <f>IF(E151="","",+T151*tab!H$87)</f>
      </c>
      <c r="V151" s="46">
        <f t="shared" si="33"/>
        <v>0</v>
      </c>
      <c r="W151" s="49"/>
      <c r="X151" s="76">
        <f>IF(P151="",0,M151*12*P151*IF(OR(J151&lt;=8,J151="ID1",J151="ID2",J151="ID3"),1+tab!H$89,1+tab!G$89))</f>
        <v>0</v>
      </c>
      <c r="Y151" s="190"/>
      <c r="Z151" s="158">
        <f t="shared" si="34"/>
        <v>0</v>
      </c>
      <c r="AA151" s="76">
        <f t="shared" si="35"/>
        <v>0</v>
      </c>
      <c r="AB151" s="49"/>
      <c r="AC151" s="47">
        <f t="shared" si="36"/>
        <v>0</v>
      </c>
      <c r="AD151" s="49"/>
      <c r="AE151" s="10"/>
      <c r="AF151" s="10"/>
      <c r="AG151" s="10"/>
      <c r="AH151" s="210"/>
      <c r="AI151" s="10"/>
      <c r="AJ151" s="187"/>
      <c r="AK151" s="194"/>
      <c r="AQ151" s="211"/>
      <c r="AS151" s="187"/>
      <c r="AT151" s="194"/>
    </row>
    <row r="152" spans="2:46" s="185" customFormat="1" ht="12.75" customHeight="1">
      <c r="B152" s="10"/>
      <c r="C152" s="23"/>
      <c r="D152" s="157">
        <f t="shared" si="29"/>
      </c>
      <c r="E152" s="157">
        <f t="shared" si="29"/>
      </c>
      <c r="F152" s="157">
        <f t="shared" si="29"/>
      </c>
      <c r="G152" s="157">
        <f t="shared" si="37"/>
      </c>
      <c r="H152" s="225">
        <f t="shared" si="38"/>
      </c>
      <c r="I152" s="206"/>
      <c r="J152" s="207">
        <f t="shared" si="39"/>
      </c>
      <c r="K152" s="208">
        <f t="shared" si="30"/>
      </c>
      <c r="L152" s="206"/>
      <c r="M152" s="47">
        <f t="shared" si="31"/>
      </c>
      <c r="N152" s="190"/>
      <c r="O152" s="209">
        <f t="shared" si="32"/>
      </c>
      <c r="P152" s="209">
        <f t="shared" si="32"/>
      </c>
      <c r="Q152" s="190"/>
      <c r="R152" s="193">
        <f t="shared" si="40"/>
      </c>
      <c r="S152" s="190"/>
      <c r="T152" s="47">
        <f t="shared" si="41"/>
      </c>
      <c r="U152" s="47">
        <f>IF(E152="","",+T152*tab!H$87)</f>
      </c>
      <c r="V152" s="46">
        <f t="shared" si="33"/>
        <v>0</v>
      </c>
      <c r="W152" s="49"/>
      <c r="X152" s="76">
        <f>IF(P152="",0,M152*12*P152*IF(OR(J152&lt;=8,J152="ID1",J152="ID2",J152="ID3"),1+tab!H$89,1+tab!G$89))</f>
        <v>0</v>
      </c>
      <c r="Y152" s="190"/>
      <c r="Z152" s="158">
        <f t="shared" si="34"/>
        <v>0</v>
      </c>
      <c r="AA152" s="76">
        <f t="shared" si="35"/>
        <v>0</v>
      </c>
      <c r="AB152" s="49"/>
      <c r="AC152" s="47">
        <f t="shared" si="36"/>
        <v>0</v>
      </c>
      <c r="AD152" s="49"/>
      <c r="AE152" s="10"/>
      <c r="AF152" s="10"/>
      <c r="AG152" s="10"/>
      <c r="AH152" s="210"/>
      <c r="AI152" s="10"/>
      <c r="AJ152" s="187"/>
      <c r="AK152" s="194"/>
      <c r="AQ152" s="211"/>
      <c r="AS152" s="187"/>
      <c r="AT152" s="194"/>
    </row>
    <row r="153" spans="2:46" s="185" customFormat="1" ht="12.75" customHeight="1">
      <c r="B153" s="10"/>
      <c r="C153" s="23"/>
      <c r="D153" s="157">
        <f t="shared" si="29"/>
      </c>
      <c r="E153" s="157">
        <f t="shared" si="29"/>
      </c>
      <c r="F153" s="157">
        <f t="shared" si="29"/>
      </c>
      <c r="G153" s="157">
        <f t="shared" si="37"/>
      </c>
      <c r="H153" s="225">
        <f t="shared" si="38"/>
      </c>
      <c r="I153" s="206"/>
      <c r="J153" s="207">
        <f t="shared" si="39"/>
      </c>
      <c r="K153" s="208">
        <f t="shared" si="30"/>
      </c>
      <c r="L153" s="206"/>
      <c r="M153" s="47">
        <f t="shared" si="31"/>
      </c>
      <c r="N153" s="190"/>
      <c r="O153" s="209">
        <f t="shared" si="32"/>
      </c>
      <c r="P153" s="209">
        <f t="shared" si="32"/>
      </c>
      <c r="Q153" s="190"/>
      <c r="R153" s="193">
        <f t="shared" si="40"/>
      </c>
      <c r="S153" s="190"/>
      <c r="T153" s="47">
        <f t="shared" si="41"/>
      </c>
      <c r="U153" s="47">
        <f>IF(E153="","",+T153*tab!H$87)</f>
      </c>
      <c r="V153" s="46">
        <f t="shared" si="33"/>
        <v>0</v>
      </c>
      <c r="W153" s="49"/>
      <c r="X153" s="76">
        <f>IF(P153="",0,M153*12*P153*IF(OR(J153&lt;=8,J153="ID1",J153="ID2",J153="ID3"),1+tab!H$89,1+tab!G$89))</f>
        <v>0</v>
      </c>
      <c r="Y153" s="190"/>
      <c r="Z153" s="158">
        <f t="shared" si="34"/>
        <v>0</v>
      </c>
      <c r="AA153" s="76">
        <f t="shared" si="35"/>
        <v>0</v>
      </c>
      <c r="AB153" s="49"/>
      <c r="AC153" s="47">
        <f t="shared" si="36"/>
        <v>0</v>
      </c>
      <c r="AD153" s="49"/>
      <c r="AE153" s="10"/>
      <c r="AF153" s="10"/>
      <c r="AG153" s="10"/>
      <c r="AH153" s="210"/>
      <c r="AI153" s="10"/>
      <c r="AJ153" s="187"/>
      <c r="AK153" s="194"/>
      <c r="AQ153" s="211"/>
      <c r="AS153" s="187"/>
      <c r="AT153" s="194"/>
    </row>
    <row r="154" spans="2:46" s="185" customFormat="1" ht="12.75" customHeight="1">
      <c r="B154" s="10"/>
      <c r="C154" s="23"/>
      <c r="D154" s="157">
        <f t="shared" si="29"/>
      </c>
      <c r="E154" s="157">
        <f t="shared" si="29"/>
      </c>
      <c r="F154" s="157">
        <f t="shared" si="29"/>
      </c>
      <c r="G154" s="157">
        <f t="shared" si="37"/>
      </c>
      <c r="H154" s="225">
        <f t="shared" si="38"/>
      </c>
      <c r="I154" s="206"/>
      <c r="J154" s="207">
        <f t="shared" si="39"/>
      </c>
      <c r="K154" s="208">
        <f t="shared" si="30"/>
      </c>
      <c r="L154" s="206"/>
      <c r="M154" s="47">
        <f t="shared" si="31"/>
      </c>
      <c r="N154" s="190"/>
      <c r="O154" s="209">
        <f t="shared" si="32"/>
      </c>
      <c r="P154" s="209">
        <f t="shared" si="32"/>
      </c>
      <c r="Q154" s="190"/>
      <c r="R154" s="193">
        <f t="shared" si="40"/>
      </c>
      <c r="S154" s="190"/>
      <c r="T154" s="47">
        <f t="shared" si="41"/>
      </c>
      <c r="U154" s="47">
        <f>IF(E154="","",+T154*tab!H$87)</f>
      </c>
      <c r="V154" s="46">
        <f t="shared" si="33"/>
        <v>0</v>
      </c>
      <c r="W154" s="49"/>
      <c r="X154" s="76">
        <f>IF(P154="",0,M154*12*P154*IF(OR(J154&lt;=8,J154="ID1",J154="ID2",J154="ID3"),1+tab!H$89,1+tab!G$89))</f>
        <v>0</v>
      </c>
      <c r="Y154" s="190"/>
      <c r="Z154" s="158">
        <f t="shared" si="34"/>
        <v>0</v>
      </c>
      <c r="AA154" s="76">
        <f t="shared" si="35"/>
        <v>0</v>
      </c>
      <c r="AB154" s="49"/>
      <c r="AC154" s="47">
        <f t="shared" si="36"/>
        <v>0</v>
      </c>
      <c r="AD154" s="49"/>
      <c r="AE154" s="10"/>
      <c r="AF154" s="10"/>
      <c r="AG154" s="10"/>
      <c r="AH154" s="210"/>
      <c r="AI154" s="10"/>
      <c r="AJ154" s="187"/>
      <c r="AK154" s="194"/>
      <c r="AQ154" s="211"/>
      <c r="AS154" s="187"/>
      <c r="AT154" s="194"/>
    </row>
    <row r="155" spans="2:46" s="185" customFormat="1" ht="12.75" customHeight="1">
      <c r="B155" s="10"/>
      <c r="C155" s="23"/>
      <c r="D155" s="157">
        <f t="shared" si="29"/>
      </c>
      <c r="E155" s="157">
        <f t="shared" si="29"/>
      </c>
      <c r="F155" s="157">
        <f t="shared" si="29"/>
      </c>
      <c r="G155" s="157">
        <f t="shared" si="37"/>
      </c>
      <c r="H155" s="225">
        <f t="shared" si="38"/>
      </c>
      <c r="I155" s="206"/>
      <c r="J155" s="207">
        <f t="shared" si="39"/>
      </c>
      <c r="K155" s="208">
        <f t="shared" si="30"/>
      </c>
      <c r="L155" s="206"/>
      <c r="M155" s="47">
        <f t="shared" si="31"/>
      </c>
      <c r="N155" s="190"/>
      <c r="O155" s="209">
        <f t="shared" si="32"/>
      </c>
      <c r="P155" s="209">
        <f t="shared" si="32"/>
      </c>
      <c r="Q155" s="190"/>
      <c r="R155" s="193">
        <f t="shared" si="40"/>
      </c>
      <c r="S155" s="190"/>
      <c r="T155" s="47">
        <f t="shared" si="41"/>
      </c>
      <c r="U155" s="47">
        <f>IF(E155="","",+T155*tab!H$87)</f>
      </c>
      <c r="V155" s="46">
        <f t="shared" si="33"/>
        <v>0</v>
      </c>
      <c r="W155" s="49"/>
      <c r="X155" s="76">
        <f>IF(P155="",0,M155*12*P155*IF(OR(J155&lt;=8,J155="ID1",J155="ID2",J155="ID3"),1+tab!H$89,1+tab!G$89))</f>
        <v>0</v>
      </c>
      <c r="Y155" s="190"/>
      <c r="Z155" s="158">
        <f t="shared" si="34"/>
        <v>0</v>
      </c>
      <c r="AA155" s="76">
        <f t="shared" si="35"/>
        <v>0</v>
      </c>
      <c r="AB155" s="49"/>
      <c r="AC155" s="47">
        <f t="shared" si="36"/>
        <v>0</v>
      </c>
      <c r="AD155" s="49"/>
      <c r="AE155" s="10"/>
      <c r="AF155" s="10"/>
      <c r="AG155" s="10"/>
      <c r="AH155" s="210"/>
      <c r="AI155" s="10"/>
      <c r="AJ155" s="187"/>
      <c r="AK155" s="194"/>
      <c r="AQ155" s="211"/>
      <c r="AS155" s="187"/>
      <c r="AT155" s="194"/>
    </row>
    <row r="156" spans="2:46" s="185" customFormat="1" ht="12.75" customHeight="1">
      <c r="B156" s="10"/>
      <c r="C156" s="23"/>
      <c r="D156" s="157">
        <f t="shared" si="29"/>
      </c>
      <c r="E156" s="157">
        <f t="shared" si="29"/>
      </c>
      <c r="F156" s="157">
        <f t="shared" si="29"/>
      </c>
      <c r="G156" s="157">
        <f t="shared" si="37"/>
      </c>
      <c r="H156" s="225">
        <f t="shared" si="38"/>
      </c>
      <c r="I156" s="206"/>
      <c r="J156" s="207">
        <f t="shared" si="39"/>
      </c>
      <c r="K156" s="208">
        <f t="shared" si="30"/>
      </c>
      <c r="L156" s="206"/>
      <c r="M156" s="47">
        <f t="shared" si="31"/>
      </c>
      <c r="N156" s="190"/>
      <c r="O156" s="209">
        <f t="shared" si="32"/>
      </c>
      <c r="P156" s="209">
        <f t="shared" si="32"/>
      </c>
      <c r="Q156" s="190"/>
      <c r="R156" s="193">
        <f t="shared" si="40"/>
      </c>
      <c r="S156" s="190"/>
      <c r="T156" s="47">
        <f t="shared" si="41"/>
      </c>
      <c r="U156" s="47">
        <f>IF(E156="","",+T156*tab!H$87)</f>
      </c>
      <c r="V156" s="46">
        <f t="shared" si="33"/>
        <v>0</v>
      </c>
      <c r="W156" s="49"/>
      <c r="X156" s="76">
        <f>IF(P156="",0,M156*12*P156*IF(OR(J156&lt;=8,J156="ID1",J156="ID2",J156="ID3"),1+tab!H$89,1+tab!G$89))</f>
        <v>0</v>
      </c>
      <c r="Y156" s="190"/>
      <c r="Z156" s="158">
        <f t="shared" si="34"/>
        <v>0</v>
      </c>
      <c r="AA156" s="76">
        <f t="shared" si="35"/>
        <v>0</v>
      </c>
      <c r="AB156" s="49"/>
      <c r="AC156" s="47">
        <f t="shared" si="36"/>
        <v>0</v>
      </c>
      <c r="AD156" s="49"/>
      <c r="AE156" s="10"/>
      <c r="AF156" s="10"/>
      <c r="AG156" s="10"/>
      <c r="AH156" s="210"/>
      <c r="AI156" s="10"/>
      <c r="AJ156" s="187"/>
      <c r="AK156" s="194"/>
      <c r="AQ156" s="211"/>
      <c r="AS156" s="187"/>
      <c r="AT156" s="194"/>
    </row>
    <row r="157" spans="2:46" s="185" customFormat="1" ht="12.75" customHeight="1">
      <c r="B157" s="10"/>
      <c r="C157" s="23"/>
      <c r="D157" s="157">
        <f t="shared" si="29"/>
      </c>
      <c r="E157" s="157">
        <f t="shared" si="29"/>
      </c>
      <c r="F157" s="157">
        <f t="shared" si="29"/>
      </c>
      <c r="G157" s="157">
        <f t="shared" si="37"/>
      </c>
      <c r="H157" s="225">
        <f t="shared" si="38"/>
      </c>
      <c r="I157" s="206"/>
      <c r="J157" s="207">
        <f t="shared" si="39"/>
      </c>
      <c r="K157" s="208">
        <f t="shared" si="30"/>
      </c>
      <c r="L157" s="206"/>
      <c r="M157" s="47">
        <f t="shared" si="31"/>
      </c>
      <c r="N157" s="190"/>
      <c r="O157" s="209">
        <f t="shared" si="32"/>
      </c>
      <c r="P157" s="209">
        <f t="shared" si="32"/>
      </c>
      <c r="Q157" s="190"/>
      <c r="R157" s="193">
        <f t="shared" si="40"/>
      </c>
      <c r="S157" s="190"/>
      <c r="T157" s="47">
        <f t="shared" si="41"/>
      </c>
      <c r="U157" s="47">
        <f>IF(E157="","",+T157*tab!H$87)</f>
      </c>
      <c r="V157" s="46">
        <f t="shared" si="33"/>
        <v>0</v>
      </c>
      <c r="W157" s="49"/>
      <c r="X157" s="76">
        <f>IF(P157="",0,M157*12*P157*IF(OR(J157&lt;=8,J157="ID1",J157="ID2",J157="ID3"),1+tab!H$89,1+tab!G$89))</f>
        <v>0</v>
      </c>
      <c r="Y157" s="190"/>
      <c r="Z157" s="158">
        <f t="shared" si="34"/>
        <v>0</v>
      </c>
      <c r="AA157" s="76">
        <f t="shared" si="35"/>
        <v>0</v>
      </c>
      <c r="AB157" s="49"/>
      <c r="AC157" s="47">
        <f t="shared" si="36"/>
        <v>0</v>
      </c>
      <c r="AD157" s="49"/>
      <c r="AE157" s="10"/>
      <c r="AF157" s="10"/>
      <c r="AG157" s="10"/>
      <c r="AH157" s="210"/>
      <c r="AI157" s="10"/>
      <c r="AJ157" s="187"/>
      <c r="AK157" s="194"/>
      <c r="AQ157" s="211"/>
      <c r="AS157" s="187"/>
      <c r="AT157" s="194"/>
    </row>
    <row r="158" spans="2:46" s="185" customFormat="1" ht="12.75" customHeight="1">
      <c r="B158" s="10"/>
      <c r="C158" s="23"/>
      <c r="D158" s="157">
        <f t="shared" si="29"/>
      </c>
      <c r="E158" s="157">
        <f t="shared" si="29"/>
      </c>
      <c r="F158" s="157">
        <f t="shared" si="29"/>
      </c>
      <c r="G158" s="157">
        <f t="shared" si="37"/>
      </c>
      <c r="H158" s="225">
        <f t="shared" si="38"/>
      </c>
      <c r="I158" s="206"/>
      <c r="J158" s="207">
        <f t="shared" si="39"/>
      </c>
      <c r="K158" s="208">
        <f t="shared" si="30"/>
      </c>
      <c r="L158" s="206"/>
      <c r="M158" s="47">
        <f t="shared" si="31"/>
      </c>
      <c r="N158" s="190"/>
      <c r="O158" s="209">
        <f t="shared" si="32"/>
      </c>
      <c r="P158" s="209">
        <f t="shared" si="32"/>
      </c>
      <c r="Q158" s="190"/>
      <c r="R158" s="193">
        <f t="shared" si="40"/>
      </c>
      <c r="S158" s="190"/>
      <c r="T158" s="47">
        <f t="shared" si="41"/>
      </c>
      <c r="U158" s="47">
        <f>IF(E158="","",+T158*tab!H$87)</f>
      </c>
      <c r="V158" s="46">
        <f t="shared" si="33"/>
        <v>0</v>
      </c>
      <c r="W158" s="49"/>
      <c r="X158" s="76">
        <f>IF(P158="",0,M158*12*P158*IF(OR(J158&lt;=8,J158="ID1",J158="ID2",J158="ID3"),1+tab!H$89,1+tab!G$89))</f>
        <v>0</v>
      </c>
      <c r="Y158" s="190"/>
      <c r="Z158" s="158">
        <f t="shared" si="34"/>
        <v>0</v>
      </c>
      <c r="AA158" s="76">
        <f t="shared" si="35"/>
        <v>0</v>
      </c>
      <c r="AB158" s="49"/>
      <c r="AC158" s="47">
        <f t="shared" si="36"/>
        <v>0</v>
      </c>
      <c r="AD158" s="49"/>
      <c r="AE158" s="10"/>
      <c r="AF158" s="10"/>
      <c r="AG158" s="10"/>
      <c r="AH158" s="210"/>
      <c r="AI158" s="10"/>
      <c r="AJ158" s="187"/>
      <c r="AK158" s="194"/>
      <c r="AQ158" s="211"/>
      <c r="AS158" s="187"/>
      <c r="AT158" s="194"/>
    </row>
    <row r="159" spans="2:46" s="185" customFormat="1" ht="12.75" customHeight="1">
      <c r="B159" s="10"/>
      <c r="C159" s="23"/>
      <c r="D159" s="157">
        <f t="shared" si="29"/>
      </c>
      <c r="E159" s="157">
        <f t="shared" si="29"/>
      </c>
      <c r="F159" s="157">
        <f t="shared" si="29"/>
      </c>
      <c r="G159" s="157">
        <f t="shared" si="37"/>
      </c>
      <c r="H159" s="225">
        <f t="shared" si="38"/>
      </c>
      <c r="I159" s="206"/>
      <c r="J159" s="207">
        <f t="shared" si="39"/>
      </c>
      <c r="K159" s="208">
        <f t="shared" si="30"/>
      </c>
      <c r="L159" s="206"/>
      <c r="M159" s="47">
        <f t="shared" si="31"/>
      </c>
      <c r="N159" s="190"/>
      <c r="O159" s="209">
        <f t="shared" si="32"/>
      </c>
      <c r="P159" s="209">
        <f t="shared" si="32"/>
      </c>
      <c r="Q159" s="190"/>
      <c r="R159" s="193">
        <f t="shared" si="40"/>
      </c>
      <c r="S159" s="190"/>
      <c r="T159" s="47">
        <f t="shared" si="41"/>
      </c>
      <c r="U159" s="47">
        <f>IF(E159="","",+T159*tab!H$87)</f>
      </c>
      <c r="V159" s="46">
        <f t="shared" si="33"/>
        <v>0</v>
      </c>
      <c r="W159" s="49"/>
      <c r="X159" s="76">
        <f>IF(P159="",0,M159*12*P159*IF(OR(J159&lt;=8,J159="ID1",J159="ID2",J159="ID3"),1+tab!H$89,1+tab!G$89))</f>
        <v>0</v>
      </c>
      <c r="Y159" s="190"/>
      <c r="Z159" s="158">
        <f t="shared" si="34"/>
        <v>0</v>
      </c>
      <c r="AA159" s="76">
        <f t="shared" si="35"/>
        <v>0</v>
      </c>
      <c r="AB159" s="49"/>
      <c r="AC159" s="47">
        <f t="shared" si="36"/>
        <v>0</v>
      </c>
      <c r="AD159" s="49"/>
      <c r="AE159" s="10"/>
      <c r="AF159" s="10"/>
      <c r="AG159" s="10"/>
      <c r="AH159" s="210"/>
      <c r="AI159" s="10"/>
      <c r="AJ159" s="187"/>
      <c r="AK159" s="194"/>
      <c r="AQ159" s="211"/>
      <c r="AS159" s="187"/>
      <c r="AT159" s="194"/>
    </row>
    <row r="160" spans="2:46" s="185" customFormat="1" ht="12.75" customHeight="1">
      <c r="B160" s="10"/>
      <c r="C160" s="23"/>
      <c r="D160" s="157">
        <f t="shared" si="29"/>
      </c>
      <c r="E160" s="157">
        <f t="shared" si="29"/>
      </c>
      <c r="F160" s="157">
        <f t="shared" si="29"/>
      </c>
      <c r="G160" s="157">
        <f t="shared" si="37"/>
      </c>
      <c r="H160" s="225">
        <f t="shared" si="38"/>
      </c>
      <c r="I160" s="206"/>
      <c r="J160" s="207">
        <f t="shared" si="39"/>
      </c>
      <c r="K160" s="208">
        <f t="shared" si="30"/>
      </c>
      <c r="L160" s="206"/>
      <c r="M160" s="47">
        <f t="shared" si="31"/>
      </c>
      <c r="N160" s="190"/>
      <c r="O160" s="209">
        <f t="shared" si="32"/>
      </c>
      <c r="P160" s="209">
        <f t="shared" si="32"/>
      </c>
      <c r="Q160" s="190"/>
      <c r="R160" s="193">
        <f t="shared" si="40"/>
      </c>
      <c r="S160" s="190"/>
      <c r="T160" s="47">
        <f t="shared" si="41"/>
      </c>
      <c r="U160" s="47">
        <f>IF(E160="","",+T160*tab!H$87)</f>
      </c>
      <c r="V160" s="46">
        <f t="shared" si="33"/>
        <v>0</v>
      </c>
      <c r="W160" s="49"/>
      <c r="X160" s="76">
        <f>IF(P160="",0,M160*12*P160*IF(OR(J160&lt;=8,J160="ID1",J160="ID2",J160="ID3"),1+tab!H$89,1+tab!G$89))</f>
        <v>0</v>
      </c>
      <c r="Y160" s="190"/>
      <c r="Z160" s="158">
        <f t="shared" si="34"/>
        <v>0</v>
      </c>
      <c r="AA160" s="76">
        <f t="shared" si="35"/>
        <v>0</v>
      </c>
      <c r="AB160" s="49"/>
      <c r="AC160" s="47">
        <f t="shared" si="36"/>
        <v>0</v>
      </c>
      <c r="AD160" s="49"/>
      <c r="AE160" s="10"/>
      <c r="AF160" s="10"/>
      <c r="AG160" s="10"/>
      <c r="AH160" s="210"/>
      <c r="AI160" s="10"/>
      <c r="AJ160" s="187"/>
      <c r="AK160" s="194"/>
      <c r="AQ160" s="211"/>
      <c r="AS160" s="187"/>
      <c r="AT160" s="194"/>
    </row>
    <row r="161" spans="2:46" s="185" customFormat="1" ht="12.75" customHeight="1">
      <c r="B161" s="10"/>
      <c r="C161" s="23"/>
      <c r="D161" s="157">
        <f t="shared" si="29"/>
      </c>
      <c r="E161" s="157">
        <f t="shared" si="29"/>
      </c>
      <c r="F161" s="157">
        <f t="shared" si="29"/>
      </c>
      <c r="G161" s="157">
        <f t="shared" si="37"/>
      </c>
      <c r="H161" s="225">
        <f t="shared" si="38"/>
      </c>
      <c r="I161" s="206"/>
      <c r="J161" s="207">
        <f t="shared" si="39"/>
      </c>
      <c r="K161" s="208">
        <f t="shared" si="30"/>
      </c>
      <c r="L161" s="206"/>
      <c r="M161" s="47">
        <f t="shared" si="31"/>
      </c>
      <c r="N161" s="190"/>
      <c r="O161" s="209">
        <f t="shared" si="32"/>
      </c>
      <c r="P161" s="209">
        <f t="shared" si="32"/>
      </c>
      <c r="Q161" s="190"/>
      <c r="R161" s="193">
        <f t="shared" si="40"/>
      </c>
      <c r="S161" s="190"/>
      <c r="T161" s="47">
        <f t="shared" si="41"/>
      </c>
      <c r="U161" s="47">
        <f>IF(E161="","",+T161*tab!H$87)</f>
      </c>
      <c r="V161" s="46">
        <f t="shared" si="33"/>
        <v>0</v>
      </c>
      <c r="W161" s="49"/>
      <c r="X161" s="76">
        <f>IF(P161="",0,M161*12*P161*IF(OR(J161&lt;=8,J161="ID1",J161="ID2",J161="ID3"),1+tab!H$89,1+tab!G$89))</f>
        <v>0</v>
      </c>
      <c r="Y161" s="190"/>
      <c r="Z161" s="158">
        <f t="shared" si="34"/>
        <v>0</v>
      </c>
      <c r="AA161" s="76">
        <f t="shared" si="35"/>
        <v>0</v>
      </c>
      <c r="AB161" s="49"/>
      <c r="AC161" s="47">
        <f t="shared" si="36"/>
        <v>0</v>
      </c>
      <c r="AD161" s="49"/>
      <c r="AE161" s="10"/>
      <c r="AF161" s="10"/>
      <c r="AG161" s="10"/>
      <c r="AH161" s="210"/>
      <c r="AI161" s="10"/>
      <c r="AJ161" s="187"/>
      <c r="AK161" s="194"/>
      <c r="AQ161" s="211"/>
      <c r="AS161" s="187"/>
      <c r="AT161" s="194"/>
    </row>
    <row r="162" spans="2:46" s="185" customFormat="1" ht="12.75" customHeight="1">
      <c r="B162" s="10"/>
      <c r="C162" s="23"/>
      <c r="D162" s="157">
        <f t="shared" si="29"/>
      </c>
      <c r="E162" s="157">
        <f t="shared" si="29"/>
      </c>
      <c r="F162" s="157">
        <f t="shared" si="29"/>
      </c>
      <c r="G162" s="157">
        <f t="shared" si="37"/>
      </c>
      <c r="H162" s="225">
        <f t="shared" si="38"/>
      </c>
      <c r="I162" s="206"/>
      <c r="J162" s="207">
        <f t="shared" si="39"/>
      </c>
      <c r="K162" s="208">
        <f t="shared" si="30"/>
      </c>
      <c r="L162" s="206"/>
      <c r="M162" s="47">
        <f t="shared" si="31"/>
      </c>
      <c r="N162" s="190"/>
      <c r="O162" s="209">
        <f t="shared" si="32"/>
      </c>
      <c r="P162" s="209">
        <f t="shared" si="32"/>
      </c>
      <c r="Q162" s="190"/>
      <c r="R162" s="193">
        <f t="shared" si="40"/>
      </c>
      <c r="S162" s="190"/>
      <c r="T162" s="47">
        <f t="shared" si="41"/>
      </c>
      <c r="U162" s="47">
        <f>IF(E162="","",+T162*tab!H$87)</f>
      </c>
      <c r="V162" s="46">
        <f t="shared" si="33"/>
        <v>0</v>
      </c>
      <c r="W162" s="49"/>
      <c r="X162" s="76">
        <f>IF(P162="",0,M162*12*P162*IF(OR(J162&lt;=8,J162="ID1",J162="ID2",J162="ID3"),1+tab!H$89,1+tab!G$89))</f>
        <v>0</v>
      </c>
      <c r="Y162" s="190"/>
      <c r="Z162" s="158">
        <f t="shared" si="34"/>
        <v>0</v>
      </c>
      <c r="AA162" s="76">
        <f t="shared" si="35"/>
        <v>0</v>
      </c>
      <c r="AB162" s="49"/>
      <c r="AC162" s="47">
        <f t="shared" si="36"/>
        <v>0</v>
      </c>
      <c r="AD162" s="49"/>
      <c r="AE162" s="10"/>
      <c r="AF162" s="10"/>
      <c r="AG162" s="10"/>
      <c r="AH162" s="210"/>
      <c r="AI162" s="10"/>
      <c r="AJ162" s="187"/>
      <c r="AK162" s="194"/>
      <c r="AQ162" s="211"/>
      <c r="AS162" s="187"/>
      <c r="AT162" s="194"/>
    </row>
    <row r="163" spans="2:46" s="185" customFormat="1" ht="12.75" customHeight="1">
      <c r="B163" s="10"/>
      <c r="C163" s="23"/>
      <c r="D163" s="157">
        <f t="shared" si="29"/>
      </c>
      <c r="E163" s="157">
        <f t="shared" si="29"/>
      </c>
      <c r="F163" s="157">
        <f t="shared" si="29"/>
      </c>
      <c r="G163" s="157">
        <f t="shared" si="37"/>
      </c>
      <c r="H163" s="225">
        <f t="shared" si="38"/>
      </c>
      <c r="I163" s="206"/>
      <c r="J163" s="207">
        <f t="shared" si="39"/>
      </c>
      <c r="K163" s="208">
        <f t="shared" si="30"/>
      </c>
      <c r="L163" s="206"/>
      <c r="M163" s="47">
        <f t="shared" si="31"/>
      </c>
      <c r="N163" s="190"/>
      <c r="O163" s="209">
        <f t="shared" si="32"/>
      </c>
      <c r="P163" s="209">
        <f t="shared" si="32"/>
      </c>
      <c r="Q163" s="190"/>
      <c r="R163" s="193">
        <f t="shared" si="40"/>
      </c>
      <c r="S163" s="190"/>
      <c r="T163" s="47">
        <f t="shared" si="41"/>
      </c>
      <c r="U163" s="47">
        <f>IF(E163="","",+T163*tab!H$87)</f>
      </c>
      <c r="V163" s="46">
        <f t="shared" si="33"/>
        <v>0</v>
      </c>
      <c r="W163" s="49"/>
      <c r="X163" s="76">
        <f>IF(P163="",0,M163*12*P163*IF(OR(J163&lt;=8,J163="ID1",J163="ID2",J163="ID3"),1+tab!H$89,1+tab!G$89))</f>
        <v>0</v>
      </c>
      <c r="Y163" s="190"/>
      <c r="Z163" s="158">
        <f t="shared" si="34"/>
        <v>0</v>
      </c>
      <c r="AA163" s="76">
        <f t="shared" si="35"/>
        <v>0</v>
      </c>
      <c r="AB163" s="49"/>
      <c r="AC163" s="47">
        <f t="shared" si="36"/>
        <v>0</v>
      </c>
      <c r="AD163" s="49"/>
      <c r="AE163" s="10"/>
      <c r="AF163" s="10"/>
      <c r="AG163" s="10"/>
      <c r="AH163" s="210"/>
      <c r="AI163" s="10"/>
      <c r="AJ163" s="187"/>
      <c r="AK163" s="194"/>
      <c r="AQ163" s="211"/>
      <c r="AS163" s="187"/>
      <c r="AT163" s="194"/>
    </row>
    <row r="164" spans="2:46" s="185" customFormat="1" ht="12.75" customHeight="1">
      <c r="B164" s="10"/>
      <c r="C164" s="23"/>
      <c r="D164" s="157">
        <f t="shared" si="29"/>
      </c>
      <c r="E164" s="157">
        <f t="shared" si="29"/>
      </c>
      <c r="F164" s="157">
        <f t="shared" si="29"/>
      </c>
      <c r="G164" s="157">
        <f t="shared" si="37"/>
      </c>
      <c r="H164" s="225">
        <f t="shared" si="38"/>
      </c>
      <c r="I164" s="206"/>
      <c r="J164" s="207">
        <f t="shared" si="39"/>
      </c>
      <c r="K164" s="208">
        <f t="shared" si="30"/>
      </c>
      <c r="L164" s="206"/>
      <c r="M164" s="47">
        <f t="shared" si="31"/>
      </c>
      <c r="N164" s="190"/>
      <c r="O164" s="209">
        <f t="shared" si="32"/>
      </c>
      <c r="P164" s="209">
        <f t="shared" si="32"/>
      </c>
      <c r="Q164" s="190"/>
      <c r="R164" s="193">
        <f t="shared" si="40"/>
      </c>
      <c r="S164" s="190"/>
      <c r="T164" s="47">
        <f t="shared" si="41"/>
      </c>
      <c r="U164" s="47">
        <f>IF(E164="","",+T164*tab!H$87)</f>
      </c>
      <c r="V164" s="46">
        <f t="shared" si="33"/>
        <v>0</v>
      </c>
      <c r="W164" s="49"/>
      <c r="X164" s="76">
        <f>IF(P164="",0,M164*12*P164*IF(OR(J164&lt;=8,J164="ID1",J164="ID2",J164="ID3"),1+tab!H$89,1+tab!G$89))</f>
        <v>0</v>
      </c>
      <c r="Y164" s="190"/>
      <c r="Z164" s="158">
        <f t="shared" si="34"/>
        <v>0</v>
      </c>
      <c r="AA164" s="76">
        <f t="shared" si="35"/>
        <v>0</v>
      </c>
      <c r="AB164" s="49"/>
      <c r="AC164" s="47">
        <f t="shared" si="36"/>
        <v>0</v>
      </c>
      <c r="AD164" s="49"/>
      <c r="AE164" s="10"/>
      <c r="AF164" s="10"/>
      <c r="AG164" s="10"/>
      <c r="AH164" s="210"/>
      <c r="AI164" s="10"/>
      <c r="AJ164" s="187"/>
      <c r="AK164" s="194"/>
      <c r="AQ164" s="211"/>
      <c r="AS164" s="187"/>
      <c r="AT164" s="194"/>
    </row>
    <row r="165" spans="2:46" s="185" customFormat="1" ht="12.75" customHeight="1">
      <c r="B165" s="10"/>
      <c r="C165" s="23"/>
      <c r="D165" s="157">
        <f t="shared" si="29"/>
      </c>
      <c r="E165" s="157">
        <f t="shared" si="29"/>
      </c>
      <c r="F165" s="157">
        <f t="shared" si="29"/>
      </c>
      <c r="G165" s="157">
        <f t="shared" si="37"/>
      </c>
      <c r="H165" s="225">
        <f t="shared" si="38"/>
      </c>
      <c r="I165" s="206"/>
      <c r="J165" s="207">
        <f t="shared" si="39"/>
      </c>
      <c r="K165" s="208">
        <f t="shared" si="30"/>
      </c>
      <c r="L165" s="206"/>
      <c r="M165" s="47">
        <f t="shared" si="31"/>
      </c>
      <c r="N165" s="190"/>
      <c r="O165" s="209">
        <f t="shared" si="32"/>
      </c>
      <c r="P165" s="209">
        <f t="shared" si="32"/>
      </c>
      <c r="Q165" s="190"/>
      <c r="R165" s="193">
        <f t="shared" si="40"/>
      </c>
      <c r="S165" s="190"/>
      <c r="T165" s="47">
        <f t="shared" si="41"/>
      </c>
      <c r="U165" s="47">
        <f>IF(E165="","",+T165*tab!H$87)</f>
      </c>
      <c r="V165" s="46">
        <f t="shared" si="33"/>
        <v>0</v>
      </c>
      <c r="W165" s="49"/>
      <c r="X165" s="76">
        <f>IF(P165="",0,M165*12*P165*IF(OR(J165&lt;=8,J165="ID1",J165="ID2",J165="ID3"),1+tab!H$89,1+tab!G$89))</f>
        <v>0</v>
      </c>
      <c r="Y165" s="190"/>
      <c r="Z165" s="158">
        <f t="shared" si="34"/>
        <v>0</v>
      </c>
      <c r="AA165" s="76">
        <f t="shared" si="35"/>
        <v>0</v>
      </c>
      <c r="AB165" s="49"/>
      <c r="AC165" s="47">
        <f t="shared" si="36"/>
        <v>0</v>
      </c>
      <c r="AD165" s="49"/>
      <c r="AE165" s="10"/>
      <c r="AF165" s="10"/>
      <c r="AG165" s="10"/>
      <c r="AH165" s="210"/>
      <c r="AI165" s="10"/>
      <c r="AJ165" s="187"/>
      <c r="AK165" s="194"/>
      <c r="AQ165" s="211"/>
      <c r="AS165" s="187"/>
      <c r="AT165" s="194"/>
    </row>
    <row r="166" spans="2:46" s="185" customFormat="1" ht="12.75" customHeight="1">
      <c r="B166" s="10"/>
      <c r="C166" s="23"/>
      <c r="D166" s="157">
        <f aca="true" t="shared" si="42" ref="D166:F185">IF(D102=0,"",D102)</f>
      </c>
      <c r="E166" s="157">
        <f t="shared" si="42"/>
      </c>
      <c r="F166" s="157">
        <f t="shared" si="42"/>
      </c>
      <c r="G166" s="157">
        <f t="shared" si="37"/>
      </c>
      <c r="H166" s="225">
        <f t="shared" si="38"/>
      </c>
      <c r="I166" s="206"/>
      <c r="J166" s="207">
        <f t="shared" si="39"/>
      </c>
      <c r="K166" s="208">
        <f t="shared" si="30"/>
      </c>
      <c r="L166" s="206"/>
      <c r="M166" s="47">
        <f t="shared" si="31"/>
      </c>
      <c r="N166" s="190"/>
      <c r="O166" s="209">
        <f aca="true" t="shared" si="43" ref="O166:P185">IF(O102="","",O102)</f>
      </c>
      <c r="P166" s="209">
        <f t="shared" si="43"/>
      </c>
      <c r="Q166" s="190"/>
      <c r="R166" s="193">
        <f t="shared" si="40"/>
      </c>
      <c r="S166" s="190"/>
      <c r="T166" s="47">
        <f t="shared" si="41"/>
      </c>
      <c r="U166" s="47">
        <f>IF(E166="","",+T166*tab!H$87)</f>
      </c>
      <c r="V166" s="46">
        <f t="shared" si="33"/>
        <v>0</v>
      </c>
      <c r="W166" s="49"/>
      <c r="X166" s="76">
        <f>IF(P166="",0,M166*12*P166*IF(OR(J166&lt;=8,J166="ID1",J166="ID2",J166="ID3"),1+tab!H$89,1+tab!G$89))</f>
        <v>0</v>
      </c>
      <c r="Y166" s="190"/>
      <c r="Z166" s="158">
        <f t="shared" si="34"/>
        <v>0</v>
      </c>
      <c r="AA166" s="76">
        <f t="shared" si="35"/>
        <v>0</v>
      </c>
      <c r="AB166" s="49"/>
      <c r="AC166" s="47">
        <f t="shared" si="36"/>
        <v>0</v>
      </c>
      <c r="AD166" s="49"/>
      <c r="AE166" s="10"/>
      <c r="AF166" s="10"/>
      <c r="AG166" s="10"/>
      <c r="AH166" s="210"/>
      <c r="AI166" s="10"/>
      <c r="AJ166" s="187"/>
      <c r="AK166" s="194"/>
      <c r="AQ166" s="211"/>
      <c r="AS166" s="187"/>
      <c r="AT166" s="194"/>
    </row>
    <row r="167" spans="2:46" s="185" customFormat="1" ht="12.75" customHeight="1">
      <c r="B167" s="10"/>
      <c r="C167" s="23"/>
      <c r="D167" s="157">
        <f t="shared" si="42"/>
      </c>
      <c r="E167" s="157">
        <f t="shared" si="42"/>
      </c>
      <c r="F167" s="157">
        <f t="shared" si="42"/>
      </c>
      <c r="G167" s="157">
        <f t="shared" si="37"/>
      </c>
      <c r="H167" s="225">
        <f t="shared" si="38"/>
      </c>
      <c r="I167" s="206"/>
      <c r="J167" s="207">
        <f t="shared" si="39"/>
      </c>
      <c r="K167" s="208">
        <f t="shared" si="30"/>
      </c>
      <c r="L167" s="206"/>
      <c r="M167" s="47">
        <f t="shared" si="31"/>
      </c>
      <c r="N167" s="190"/>
      <c r="O167" s="209">
        <f t="shared" si="43"/>
      </c>
      <c r="P167" s="209">
        <f t="shared" si="43"/>
      </c>
      <c r="Q167" s="190"/>
      <c r="R167" s="193">
        <f t="shared" si="40"/>
      </c>
      <c r="S167" s="190"/>
      <c r="T167" s="47">
        <f t="shared" si="41"/>
      </c>
      <c r="U167" s="47">
        <f>IF(E167="","",+T167*tab!H$87)</f>
      </c>
      <c r="V167" s="46">
        <f t="shared" si="33"/>
        <v>0</v>
      </c>
      <c r="W167" s="49"/>
      <c r="X167" s="76">
        <f>IF(P167="",0,M167*12*P167*IF(OR(J167&lt;=8,J167="ID1",J167="ID2",J167="ID3"),1+tab!H$89,1+tab!G$89))</f>
        <v>0</v>
      </c>
      <c r="Y167" s="190"/>
      <c r="Z167" s="158">
        <f t="shared" si="34"/>
        <v>0</v>
      </c>
      <c r="AA167" s="76">
        <f t="shared" si="35"/>
        <v>0</v>
      </c>
      <c r="AB167" s="49"/>
      <c r="AC167" s="47">
        <f t="shared" si="36"/>
        <v>0</v>
      </c>
      <c r="AD167" s="49"/>
      <c r="AE167" s="10"/>
      <c r="AF167" s="10"/>
      <c r="AG167" s="10"/>
      <c r="AH167" s="210"/>
      <c r="AI167" s="10"/>
      <c r="AJ167" s="187"/>
      <c r="AK167" s="194"/>
      <c r="AQ167" s="211"/>
      <c r="AS167" s="187"/>
      <c r="AT167" s="194"/>
    </row>
    <row r="168" spans="2:46" s="185" customFormat="1" ht="12.75" customHeight="1">
      <c r="B168" s="10"/>
      <c r="C168" s="23"/>
      <c r="D168" s="157">
        <f t="shared" si="42"/>
      </c>
      <c r="E168" s="157">
        <f t="shared" si="42"/>
      </c>
      <c r="F168" s="157">
        <f t="shared" si="42"/>
      </c>
      <c r="G168" s="157">
        <f t="shared" si="37"/>
      </c>
      <c r="H168" s="225">
        <f t="shared" si="38"/>
      </c>
      <c r="I168" s="206"/>
      <c r="J168" s="207">
        <f t="shared" si="39"/>
      </c>
      <c r="K168" s="208">
        <f t="shared" si="30"/>
      </c>
      <c r="L168" s="206"/>
      <c r="M168" s="47">
        <f t="shared" si="31"/>
      </c>
      <c r="N168" s="190"/>
      <c r="O168" s="209">
        <f t="shared" si="43"/>
      </c>
      <c r="P168" s="209">
        <f t="shared" si="43"/>
      </c>
      <c r="Q168" s="190"/>
      <c r="R168" s="193">
        <f t="shared" si="40"/>
      </c>
      <c r="S168" s="190"/>
      <c r="T168" s="47">
        <f t="shared" si="41"/>
      </c>
      <c r="U168" s="47">
        <f>IF(E168="","",+T168*tab!H$87)</f>
      </c>
      <c r="V168" s="46">
        <f t="shared" si="33"/>
        <v>0</v>
      </c>
      <c r="W168" s="49"/>
      <c r="X168" s="76">
        <f>IF(P168="",0,M168*12*P168*IF(OR(J168&lt;=8,J168="ID1",J168="ID2",J168="ID3"),1+tab!H$89,1+tab!G$89))</f>
        <v>0</v>
      </c>
      <c r="Y168" s="190"/>
      <c r="Z168" s="158">
        <f t="shared" si="34"/>
        <v>0</v>
      </c>
      <c r="AA168" s="76">
        <f t="shared" si="35"/>
        <v>0</v>
      </c>
      <c r="AB168" s="49"/>
      <c r="AC168" s="47">
        <f t="shared" si="36"/>
        <v>0</v>
      </c>
      <c r="AD168" s="49"/>
      <c r="AE168" s="10"/>
      <c r="AF168" s="10"/>
      <c r="AG168" s="10"/>
      <c r="AH168" s="210"/>
      <c r="AI168" s="10"/>
      <c r="AJ168" s="187"/>
      <c r="AK168" s="194"/>
      <c r="AQ168" s="211"/>
      <c r="AS168" s="187"/>
      <c r="AT168" s="194"/>
    </row>
    <row r="169" spans="2:46" s="185" customFormat="1" ht="12.75" customHeight="1">
      <c r="B169" s="10"/>
      <c r="C169" s="23"/>
      <c r="D169" s="157">
        <f t="shared" si="42"/>
      </c>
      <c r="E169" s="157">
        <f t="shared" si="42"/>
      </c>
      <c r="F169" s="157">
        <f t="shared" si="42"/>
      </c>
      <c r="G169" s="157">
        <f t="shared" si="37"/>
      </c>
      <c r="H169" s="225">
        <f t="shared" si="38"/>
      </c>
      <c r="I169" s="206"/>
      <c r="J169" s="207">
        <f t="shared" si="39"/>
      </c>
      <c r="K169" s="208">
        <f t="shared" si="30"/>
      </c>
      <c r="L169" s="206"/>
      <c r="M169" s="47">
        <f t="shared" si="31"/>
      </c>
      <c r="N169" s="190"/>
      <c r="O169" s="209">
        <f t="shared" si="43"/>
      </c>
      <c r="P169" s="209">
        <f t="shared" si="43"/>
      </c>
      <c r="Q169" s="190"/>
      <c r="R169" s="193">
        <f t="shared" si="40"/>
      </c>
      <c r="S169" s="190"/>
      <c r="T169" s="47">
        <f t="shared" si="41"/>
      </c>
      <c r="U169" s="47">
        <f>IF(E169="","",+T169*tab!H$87)</f>
      </c>
      <c r="V169" s="46">
        <f t="shared" si="33"/>
        <v>0</v>
      </c>
      <c r="W169" s="49"/>
      <c r="X169" s="76">
        <f>IF(P169="",0,M169*12*P169*IF(OR(J169&lt;=8,J169="ID1",J169="ID2",J169="ID3"),1+tab!H$89,1+tab!G$89))</f>
        <v>0</v>
      </c>
      <c r="Y169" s="190"/>
      <c r="Z169" s="158">
        <f t="shared" si="34"/>
        <v>0</v>
      </c>
      <c r="AA169" s="76">
        <f t="shared" si="35"/>
        <v>0</v>
      </c>
      <c r="AB169" s="49"/>
      <c r="AC169" s="47">
        <f t="shared" si="36"/>
        <v>0</v>
      </c>
      <c r="AD169" s="49"/>
      <c r="AE169" s="10"/>
      <c r="AF169" s="10"/>
      <c r="AG169" s="10"/>
      <c r="AH169" s="210"/>
      <c r="AI169" s="10"/>
      <c r="AJ169" s="187"/>
      <c r="AK169" s="194"/>
      <c r="AQ169" s="211"/>
      <c r="AS169" s="187"/>
      <c r="AT169" s="194"/>
    </row>
    <row r="170" spans="2:46" s="185" customFormat="1" ht="12.75" customHeight="1">
      <c r="B170" s="10"/>
      <c r="C170" s="23"/>
      <c r="D170" s="157">
        <f t="shared" si="42"/>
      </c>
      <c r="E170" s="157">
        <f t="shared" si="42"/>
      </c>
      <c r="F170" s="157">
        <f t="shared" si="42"/>
      </c>
      <c r="G170" s="157">
        <f t="shared" si="37"/>
      </c>
      <c r="H170" s="225">
        <f t="shared" si="38"/>
      </c>
      <c r="I170" s="206"/>
      <c r="J170" s="207">
        <f t="shared" si="39"/>
      </c>
      <c r="K170" s="208">
        <f t="shared" si="30"/>
      </c>
      <c r="L170" s="206"/>
      <c r="M170" s="47">
        <f t="shared" si="31"/>
      </c>
      <c r="N170" s="190"/>
      <c r="O170" s="209">
        <f t="shared" si="43"/>
      </c>
      <c r="P170" s="209">
        <f t="shared" si="43"/>
      </c>
      <c r="Q170" s="190"/>
      <c r="R170" s="193">
        <f t="shared" si="40"/>
      </c>
      <c r="S170" s="190"/>
      <c r="T170" s="47">
        <f t="shared" si="41"/>
      </c>
      <c r="U170" s="47">
        <f>IF(E170="","",+T170*tab!H$87)</f>
      </c>
      <c r="V170" s="46">
        <f t="shared" si="33"/>
        <v>0</v>
      </c>
      <c r="W170" s="49"/>
      <c r="X170" s="76">
        <f>IF(P170="",0,M170*12*P170*IF(OR(J170&lt;=8,J170="ID1",J170="ID2",J170="ID3"),1+tab!H$89,1+tab!G$89))</f>
        <v>0</v>
      </c>
      <c r="Y170" s="190"/>
      <c r="Z170" s="158">
        <f t="shared" si="34"/>
        <v>0</v>
      </c>
      <c r="AA170" s="76">
        <f t="shared" si="35"/>
        <v>0</v>
      </c>
      <c r="AB170" s="49"/>
      <c r="AC170" s="47">
        <f t="shared" si="36"/>
        <v>0</v>
      </c>
      <c r="AD170" s="49"/>
      <c r="AE170" s="10"/>
      <c r="AF170" s="10"/>
      <c r="AG170" s="10"/>
      <c r="AH170" s="210"/>
      <c r="AI170" s="10"/>
      <c r="AJ170" s="187"/>
      <c r="AK170" s="194"/>
      <c r="AQ170" s="211"/>
      <c r="AS170" s="187"/>
      <c r="AT170" s="194"/>
    </row>
    <row r="171" spans="2:46" s="185" customFormat="1" ht="12.75" customHeight="1">
      <c r="B171" s="10"/>
      <c r="C171" s="23"/>
      <c r="D171" s="157">
        <f t="shared" si="42"/>
      </c>
      <c r="E171" s="157">
        <f t="shared" si="42"/>
      </c>
      <c r="F171" s="157">
        <f t="shared" si="42"/>
      </c>
      <c r="G171" s="157">
        <f t="shared" si="37"/>
      </c>
      <c r="H171" s="225">
        <f t="shared" si="38"/>
      </c>
      <c r="I171" s="206"/>
      <c r="J171" s="207">
        <f t="shared" si="39"/>
      </c>
      <c r="K171" s="208">
        <f t="shared" si="30"/>
      </c>
      <c r="L171" s="206"/>
      <c r="M171" s="47">
        <f t="shared" si="31"/>
      </c>
      <c r="N171" s="190"/>
      <c r="O171" s="209">
        <f t="shared" si="43"/>
      </c>
      <c r="P171" s="209">
        <f t="shared" si="43"/>
      </c>
      <c r="Q171" s="190"/>
      <c r="R171" s="193">
        <f t="shared" si="40"/>
      </c>
      <c r="S171" s="190"/>
      <c r="T171" s="47">
        <f t="shared" si="41"/>
      </c>
      <c r="U171" s="47">
        <f>IF(E171="","",+T171*tab!H$87)</f>
      </c>
      <c r="V171" s="46">
        <f t="shared" si="33"/>
        <v>0</v>
      </c>
      <c r="W171" s="49"/>
      <c r="X171" s="76">
        <f>IF(P171="",0,M171*12*P171*IF(OR(J171&lt;=8,J171="ID1",J171="ID2",J171="ID3"),1+tab!H$89,1+tab!G$89))</f>
        <v>0</v>
      </c>
      <c r="Y171" s="190"/>
      <c r="Z171" s="158">
        <f t="shared" si="34"/>
        <v>0</v>
      </c>
      <c r="AA171" s="76">
        <f t="shared" si="35"/>
        <v>0</v>
      </c>
      <c r="AB171" s="49"/>
      <c r="AC171" s="47">
        <f t="shared" si="36"/>
        <v>0</v>
      </c>
      <c r="AD171" s="49"/>
      <c r="AE171" s="10"/>
      <c r="AF171" s="10"/>
      <c r="AG171" s="10"/>
      <c r="AH171" s="210"/>
      <c r="AI171" s="10"/>
      <c r="AJ171" s="187"/>
      <c r="AK171" s="194"/>
      <c r="AQ171" s="211"/>
      <c r="AS171" s="187"/>
      <c r="AT171" s="194"/>
    </row>
    <row r="172" spans="2:46" s="185" customFormat="1" ht="12.75" customHeight="1">
      <c r="B172" s="10"/>
      <c r="C172" s="23"/>
      <c r="D172" s="157">
        <f t="shared" si="42"/>
      </c>
      <c r="E172" s="157">
        <f t="shared" si="42"/>
      </c>
      <c r="F172" s="157">
        <f t="shared" si="42"/>
      </c>
      <c r="G172" s="157">
        <f t="shared" si="37"/>
      </c>
      <c r="H172" s="225">
        <f t="shared" si="38"/>
      </c>
      <c r="I172" s="206"/>
      <c r="J172" s="207">
        <f t="shared" si="39"/>
      </c>
      <c r="K172" s="208">
        <f t="shared" si="30"/>
      </c>
      <c r="L172" s="206"/>
      <c r="M172" s="47">
        <f t="shared" si="31"/>
      </c>
      <c r="N172" s="190"/>
      <c r="O172" s="209">
        <f t="shared" si="43"/>
      </c>
      <c r="P172" s="209">
        <f t="shared" si="43"/>
      </c>
      <c r="Q172" s="190"/>
      <c r="R172" s="193">
        <f t="shared" si="40"/>
      </c>
      <c r="S172" s="190"/>
      <c r="T172" s="47">
        <f t="shared" si="41"/>
      </c>
      <c r="U172" s="47">
        <f>IF(E172="","",+T172*tab!H$87)</f>
      </c>
      <c r="V172" s="46">
        <f t="shared" si="33"/>
        <v>0</v>
      </c>
      <c r="W172" s="49"/>
      <c r="X172" s="76">
        <f>IF(P172="",0,M172*12*P172*IF(OR(J172&lt;=8,J172="ID1",J172="ID2",J172="ID3"),1+tab!H$89,1+tab!G$89))</f>
        <v>0</v>
      </c>
      <c r="Y172" s="190"/>
      <c r="Z172" s="158">
        <f t="shared" si="34"/>
        <v>0</v>
      </c>
      <c r="AA172" s="76">
        <f t="shared" si="35"/>
        <v>0</v>
      </c>
      <c r="AB172" s="49"/>
      <c r="AC172" s="47">
        <f t="shared" si="36"/>
        <v>0</v>
      </c>
      <c r="AD172" s="49"/>
      <c r="AE172" s="10"/>
      <c r="AF172" s="10"/>
      <c r="AG172" s="10"/>
      <c r="AH172" s="210"/>
      <c r="AI172" s="10"/>
      <c r="AJ172" s="187"/>
      <c r="AK172" s="194"/>
      <c r="AQ172" s="211"/>
      <c r="AS172" s="187"/>
      <c r="AT172" s="194"/>
    </row>
    <row r="173" spans="2:46" s="185" customFormat="1" ht="12.75" customHeight="1">
      <c r="B173" s="10"/>
      <c r="C173" s="23"/>
      <c r="D173" s="157">
        <f t="shared" si="42"/>
      </c>
      <c r="E173" s="157">
        <f t="shared" si="42"/>
      </c>
      <c r="F173" s="157">
        <f t="shared" si="42"/>
      </c>
      <c r="G173" s="157">
        <f t="shared" si="37"/>
      </c>
      <c r="H173" s="225">
        <f t="shared" si="38"/>
      </c>
      <c r="I173" s="206"/>
      <c r="J173" s="207">
        <f t="shared" si="39"/>
      </c>
      <c r="K173" s="208">
        <f t="shared" si="30"/>
      </c>
      <c r="L173" s="206"/>
      <c r="M173" s="47">
        <f t="shared" si="31"/>
      </c>
      <c r="N173" s="190"/>
      <c r="O173" s="209">
        <f t="shared" si="43"/>
      </c>
      <c r="P173" s="209">
        <f t="shared" si="43"/>
      </c>
      <c r="Q173" s="190"/>
      <c r="R173" s="193">
        <f t="shared" si="40"/>
      </c>
      <c r="S173" s="190"/>
      <c r="T173" s="47">
        <f t="shared" si="41"/>
      </c>
      <c r="U173" s="47">
        <f>IF(E173="","",+T173*tab!H$87)</f>
      </c>
      <c r="V173" s="46">
        <f t="shared" si="33"/>
        <v>0</v>
      </c>
      <c r="W173" s="49"/>
      <c r="X173" s="76">
        <f>IF(P173="",0,M173*12*P173*IF(OR(J173&lt;=8,J173="ID1",J173="ID2",J173="ID3"),1+tab!H$89,1+tab!G$89))</f>
        <v>0</v>
      </c>
      <c r="Y173" s="190"/>
      <c r="Z173" s="158">
        <f t="shared" si="34"/>
        <v>0</v>
      </c>
      <c r="AA173" s="76">
        <f t="shared" si="35"/>
        <v>0</v>
      </c>
      <c r="AB173" s="49"/>
      <c r="AC173" s="47">
        <f t="shared" si="36"/>
        <v>0</v>
      </c>
      <c r="AD173" s="49"/>
      <c r="AE173" s="10"/>
      <c r="AF173" s="10"/>
      <c r="AG173" s="10"/>
      <c r="AH173" s="210"/>
      <c r="AI173" s="10"/>
      <c r="AJ173" s="187"/>
      <c r="AK173" s="194"/>
      <c r="AQ173" s="211"/>
      <c r="AS173" s="187"/>
      <c r="AT173" s="194"/>
    </row>
    <row r="174" spans="2:46" s="185" customFormat="1" ht="12.75" customHeight="1">
      <c r="B174" s="10"/>
      <c r="C174" s="23"/>
      <c r="D174" s="157">
        <f t="shared" si="42"/>
      </c>
      <c r="E174" s="157">
        <f t="shared" si="42"/>
      </c>
      <c r="F174" s="157">
        <f t="shared" si="42"/>
      </c>
      <c r="G174" s="157">
        <f t="shared" si="37"/>
      </c>
      <c r="H174" s="225">
        <f t="shared" si="38"/>
      </c>
      <c r="I174" s="206"/>
      <c r="J174" s="207">
        <f t="shared" si="39"/>
      </c>
      <c r="K174" s="208">
        <f t="shared" si="30"/>
      </c>
      <c r="L174" s="206"/>
      <c r="M174" s="47">
        <f t="shared" si="31"/>
      </c>
      <c r="N174" s="190"/>
      <c r="O174" s="209">
        <f t="shared" si="43"/>
      </c>
      <c r="P174" s="209">
        <f t="shared" si="43"/>
      </c>
      <c r="Q174" s="190"/>
      <c r="R174" s="193">
        <f t="shared" si="40"/>
      </c>
      <c r="S174" s="190"/>
      <c r="T174" s="47">
        <f t="shared" si="41"/>
      </c>
      <c r="U174" s="47">
        <f>IF(E174="","",+T174*tab!H$87)</f>
      </c>
      <c r="V174" s="46">
        <f t="shared" si="33"/>
        <v>0</v>
      </c>
      <c r="W174" s="49"/>
      <c r="X174" s="76">
        <f>IF(P174="",0,M174*12*P174*IF(OR(J174&lt;=8,J174="ID1",J174="ID2",J174="ID3"),1+tab!H$89,1+tab!G$89))</f>
        <v>0</v>
      </c>
      <c r="Y174" s="190"/>
      <c r="Z174" s="158">
        <f t="shared" si="34"/>
        <v>0</v>
      </c>
      <c r="AA174" s="76">
        <f t="shared" si="35"/>
        <v>0</v>
      </c>
      <c r="AB174" s="49"/>
      <c r="AC174" s="47">
        <f t="shared" si="36"/>
        <v>0</v>
      </c>
      <c r="AD174" s="49"/>
      <c r="AE174" s="10"/>
      <c r="AF174" s="10"/>
      <c r="AG174" s="10"/>
      <c r="AH174" s="210"/>
      <c r="AI174" s="10"/>
      <c r="AJ174" s="187"/>
      <c r="AK174" s="194"/>
      <c r="AQ174" s="211"/>
      <c r="AS174" s="187"/>
      <c r="AT174" s="194"/>
    </row>
    <row r="175" spans="2:46" s="185" customFormat="1" ht="12.75" customHeight="1">
      <c r="B175" s="10"/>
      <c r="C175" s="23"/>
      <c r="D175" s="157">
        <f t="shared" si="42"/>
      </c>
      <c r="E175" s="157">
        <f t="shared" si="42"/>
      </c>
      <c r="F175" s="157">
        <f t="shared" si="42"/>
      </c>
      <c r="G175" s="157">
        <f t="shared" si="37"/>
      </c>
      <c r="H175" s="225">
        <f t="shared" si="38"/>
      </c>
      <c r="I175" s="206"/>
      <c r="J175" s="207">
        <f t="shared" si="39"/>
      </c>
      <c r="K175" s="208">
        <f t="shared" si="30"/>
      </c>
      <c r="L175" s="206"/>
      <c r="M175" s="47">
        <f t="shared" si="31"/>
      </c>
      <c r="N175" s="190"/>
      <c r="O175" s="209">
        <f t="shared" si="43"/>
      </c>
      <c r="P175" s="209">
        <f t="shared" si="43"/>
      </c>
      <c r="Q175" s="190"/>
      <c r="R175" s="193">
        <f t="shared" si="40"/>
      </c>
      <c r="S175" s="190"/>
      <c r="T175" s="47">
        <f t="shared" si="41"/>
      </c>
      <c r="U175" s="47">
        <f>IF(E175="","",+T175*tab!H$87)</f>
      </c>
      <c r="V175" s="46">
        <f t="shared" si="33"/>
        <v>0</v>
      </c>
      <c r="W175" s="49"/>
      <c r="X175" s="76">
        <f>IF(P175="",0,M175*12*P175*IF(OR(J175&lt;=8,J175="ID1",J175="ID2",J175="ID3"),1+tab!H$89,1+tab!G$89))</f>
        <v>0</v>
      </c>
      <c r="Y175" s="190"/>
      <c r="Z175" s="158">
        <f t="shared" si="34"/>
        <v>0</v>
      </c>
      <c r="AA175" s="76">
        <f t="shared" si="35"/>
        <v>0</v>
      </c>
      <c r="AB175" s="49"/>
      <c r="AC175" s="47">
        <f t="shared" si="36"/>
        <v>0</v>
      </c>
      <c r="AD175" s="49"/>
      <c r="AE175" s="10"/>
      <c r="AF175" s="10"/>
      <c r="AG175" s="10"/>
      <c r="AH175" s="210"/>
      <c r="AI175" s="10"/>
      <c r="AJ175" s="187"/>
      <c r="AK175" s="194"/>
      <c r="AQ175" s="211"/>
      <c r="AS175" s="187"/>
      <c r="AT175" s="194"/>
    </row>
    <row r="176" spans="2:46" s="185" customFormat="1" ht="12.75" customHeight="1">
      <c r="B176" s="10"/>
      <c r="C176" s="23"/>
      <c r="D176" s="157">
        <f t="shared" si="42"/>
      </c>
      <c r="E176" s="157">
        <f t="shared" si="42"/>
      </c>
      <c r="F176" s="157">
        <f t="shared" si="42"/>
      </c>
      <c r="G176" s="157">
        <f t="shared" si="37"/>
      </c>
      <c r="H176" s="225">
        <f t="shared" si="38"/>
      </c>
      <c r="I176" s="206"/>
      <c r="J176" s="207">
        <f t="shared" si="39"/>
      </c>
      <c r="K176" s="208">
        <f t="shared" si="30"/>
      </c>
      <c r="L176" s="206"/>
      <c r="M176" s="47">
        <f t="shared" si="31"/>
      </c>
      <c r="N176" s="190"/>
      <c r="O176" s="209">
        <f t="shared" si="43"/>
      </c>
      <c r="P176" s="209">
        <f t="shared" si="43"/>
      </c>
      <c r="Q176" s="190"/>
      <c r="R176" s="193">
        <f t="shared" si="40"/>
      </c>
      <c r="S176" s="190"/>
      <c r="T176" s="47">
        <f t="shared" si="41"/>
      </c>
      <c r="U176" s="47">
        <f>IF(E176="","",+T176*tab!H$87)</f>
      </c>
      <c r="V176" s="46">
        <f t="shared" si="33"/>
        <v>0</v>
      </c>
      <c r="W176" s="49"/>
      <c r="X176" s="76">
        <f>IF(P176="",0,M176*12*P176*IF(OR(J176&lt;=8,J176="ID1",J176="ID2",J176="ID3"),1+tab!H$89,1+tab!G$89))</f>
        <v>0</v>
      </c>
      <c r="Y176" s="190"/>
      <c r="Z176" s="158">
        <f t="shared" si="34"/>
        <v>0</v>
      </c>
      <c r="AA176" s="76">
        <f t="shared" si="35"/>
        <v>0</v>
      </c>
      <c r="AB176" s="49"/>
      <c r="AC176" s="47">
        <f t="shared" si="36"/>
        <v>0</v>
      </c>
      <c r="AD176" s="49"/>
      <c r="AE176" s="10"/>
      <c r="AF176" s="10"/>
      <c r="AG176" s="10"/>
      <c r="AH176" s="210"/>
      <c r="AI176" s="10"/>
      <c r="AJ176" s="187"/>
      <c r="AK176" s="194"/>
      <c r="AQ176" s="211"/>
      <c r="AS176" s="187"/>
      <c r="AT176" s="194"/>
    </row>
    <row r="177" spans="2:46" s="185" customFormat="1" ht="12.75" customHeight="1">
      <c r="B177" s="10"/>
      <c r="C177" s="23"/>
      <c r="D177" s="157">
        <f t="shared" si="42"/>
      </c>
      <c r="E177" s="157">
        <f t="shared" si="42"/>
      </c>
      <c r="F177" s="157">
        <f t="shared" si="42"/>
      </c>
      <c r="G177" s="157">
        <f t="shared" si="37"/>
      </c>
      <c r="H177" s="225">
        <f t="shared" si="38"/>
      </c>
      <c r="I177" s="206"/>
      <c r="J177" s="207">
        <f t="shared" si="39"/>
      </c>
      <c r="K177" s="208">
        <f t="shared" si="30"/>
      </c>
      <c r="L177" s="206"/>
      <c r="M177" s="47">
        <f t="shared" si="31"/>
      </c>
      <c r="N177" s="190"/>
      <c r="O177" s="209">
        <f t="shared" si="43"/>
      </c>
      <c r="P177" s="209">
        <f t="shared" si="43"/>
      </c>
      <c r="Q177" s="190"/>
      <c r="R177" s="193">
        <f t="shared" si="40"/>
      </c>
      <c r="S177" s="190"/>
      <c r="T177" s="47">
        <f t="shared" si="41"/>
      </c>
      <c r="U177" s="47">
        <f>IF(E177="","",+T177*tab!H$87)</f>
      </c>
      <c r="V177" s="46">
        <f t="shared" si="33"/>
        <v>0</v>
      </c>
      <c r="W177" s="49"/>
      <c r="X177" s="76">
        <f>IF(P177="",0,M177*12*P177*IF(OR(J177&lt;=8,J177="ID1",J177="ID2",J177="ID3"),1+tab!H$89,1+tab!G$89))</f>
        <v>0</v>
      </c>
      <c r="Y177" s="190"/>
      <c r="Z177" s="158">
        <f t="shared" si="34"/>
        <v>0</v>
      </c>
      <c r="AA177" s="76">
        <f t="shared" si="35"/>
        <v>0</v>
      </c>
      <c r="AB177" s="49"/>
      <c r="AC177" s="47">
        <f t="shared" si="36"/>
        <v>0</v>
      </c>
      <c r="AD177" s="49"/>
      <c r="AE177" s="10"/>
      <c r="AF177" s="10"/>
      <c r="AG177" s="10"/>
      <c r="AH177" s="210"/>
      <c r="AI177" s="10"/>
      <c r="AJ177" s="187"/>
      <c r="AK177" s="194"/>
      <c r="AQ177" s="211"/>
      <c r="AS177" s="187"/>
      <c r="AT177" s="194"/>
    </row>
    <row r="178" spans="2:46" s="185" customFormat="1" ht="12.75" customHeight="1">
      <c r="B178" s="10"/>
      <c r="C178" s="23"/>
      <c r="D178" s="157">
        <f t="shared" si="42"/>
      </c>
      <c r="E178" s="157">
        <f t="shared" si="42"/>
      </c>
      <c r="F178" s="157">
        <f t="shared" si="42"/>
      </c>
      <c r="G178" s="157">
        <f t="shared" si="37"/>
      </c>
      <c r="H178" s="225">
        <f t="shared" si="38"/>
      </c>
      <c r="I178" s="206"/>
      <c r="J178" s="207">
        <f t="shared" si="39"/>
      </c>
      <c r="K178" s="208">
        <f aca="true" t="shared" si="44" ref="K178:K195">IF(E178="","",(IF((K114+1)&gt;VLOOKUP(J178,tabelsalaris,22,FALSE),K114,K114+1)))</f>
      </c>
      <c r="L178" s="206"/>
      <c r="M178" s="47">
        <f aca="true" t="shared" si="45" ref="M178:M195">IF(J178="","",ROUND(1.022*VLOOKUP(J178,tabelsalaris,K178+1,FALSE),0))</f>
      </c>
      <c r="N178" s="190"/>
      <c r="O178" s="209">
        <f t="shared" si="43"/>
      </c>
      <c r="P178" s="209">
        <f t="shared" si="43"/>
      </c>
      <c r="Q178" s="190"/>
      <c r="R178" s="193">
        <f t="shared" si="40"/>
      </c>
      <c r="S178" s="190"/>
      <c r="T178" s="47">
        <f t="shared" si="41"/>
      </c>
      <c r="U178" s="47">
        <f>IF(E178="","",+T178*tab!H$87)</f>
      </c>
      <c r="V178" s="46">
        <f t="shared" si="33"/>
        <v>0</v>
      </c>
      <c r="W178" s="49"/>
      <c r="X178" s="76">
        <f>IF(P178="",0,M178*12*P178*IF(OR(J178&lt;=8,J178="ID1",J178="ID2",J178="ID3"),1+tab!H$89,1+tab!G$89))</f>
        <v>0</v>
      </c>
      <c r="Y178" s="190"/>
      <c r="Z178" s="158">
        <f t="shared" si="34"/>
        <v>0</v>
      </c>
      <c r="AA178" s="76">
        <f t="shared" si="35"/>
        <v>0</v>
      </c>
      <c r="AB178" s="49"/>
      <c r="AC178" s="47">
        <f t="shared" si="36"/>
        <v>0</v>
      </c>
      <c r="AD178" s="49"/>
      <c r="AE178" s="10"/>
      <c r="AF178" s="10"/>
      <c r="AG178" s="10"/>
      <c r="AH178" s="210"/>
      <c r="AI178" s="10"/>
      <c r="AJ178" s="187"/>
      <c r="AK178" s="194"/>
      <c r="AQ178" s="211"/>
      <c r="AS178" s="187"/>
      <c r="AT178" s="194"/>
    </row>
    <row r="179" spans="2:46" s="185" customFormat="1" ht="12.75" customHeight="1">
      <c r="B179" s="10"/>
      <c r="C179" s="23"/>
      <c r="D179" s="157">
        <f t="shared" si="42"/>
      </c>
      <c r="E179" s="157">
        <f t="shared" si="42"/>
      </c>
      <c r="F179" s="157">
        <f t="shared" si="42"/>
      </c>
      <c r="G179" s="157">
        <f t="shared" si="37"/>
      </c>
      <c r="H179" s="225">
        <f t="shared" si="38"/>
      </c>
      <c r="I179" s="206"/>
      <c r="J179" s="207">
        <f t="shared" si="39"/>
      </c>
      <c r="K179" s="208">
        <f t="shared" si="44"/>
      </c>
      <c r="L179" s="206"/>
      <c r="M179" s="47">
        <f t="shared" si="45"/>
      </c>
      <c r="N179" s="190"/>
      <c r="O179" s="209">
        <f t="shared" si="43"/>
      </c>
      <c r="P179" s="209">
        <f t="shared" si="43"/>
      </c>
      <c r="Q179" s="190"/>
      <c r="R179" s="193">
        <f t="shared" si="40"/>
      </c>
      <c r="S179" s="190"/>
      <c r="T179" s="47">
        <f t="shared" si="41"/>
      </c>
      <c r="U179" s="47">
        <f>IF(E179="","",+T179*tab!H$87)</f>
      </c>
      <c r="V179" s="46">
        <f t="shared" si="33"/>
        <v>0</v>
      </c>
      <c r="W179" s="49"/>
      <c r="X179" s="76">
        <f>IF(P179="",0,M179*12*P179*IF(OR(J179&lt;=8,J179="ID1",J179="ID2",J179="ID3"),1+tab!H$89,1+tab!G$89))</f>
        <v>0</v>
      </c>
      <c r="Y179" s="190"/>
      <c r="Z179" s="158">
        <f t="shared" si="34"/>
        <v>0</v>
      </c>
      <c r="AA179" s="76">
        <f t="shared" si="35"/>
        <v>0</v>
      </c>
      <c r="AB179" s="49"/>
      <c r="AC179" s="47">
        <f t="shared" si="36"/>
        <v>0</v>
      </c>
      <c r="AD179" s="49"/>
      <c r="AE179" s="10"/>
      <c r="AF179" s="10"/>
      <c r="AG179" s="10"/>
      <c r="AH179" s="210"/>
      <c r="AI179" s="10"/>
      <c r="AJ179" s="187"/>
      <c r="AK179" s="194"/>
      <c r="AQ179" s="211"/>
      <c r="AS179" s="187"/>
      <c r="AT179" s="194"/>
    </row>
    <row r="180" spans="2:46" s="185" customFormat="1" ht="12.75" customHeight="1">
      <c r="B180" s="10"/>
      <c r="C180" s="23"/>
      <c r="D180" s="157">
        <f t="shared" si="42"/>
      </c>
      <c r="E180" s="157">
        <f t="shared" si="42"/>
      </c>
      <c r="F180" s="157">
        <f t="shared" si="42"/>
      </c>
      <c r="G180" s="157">
        <f t="shared" si="37"/>
      </c>
      <c r="H180" s="225">
        <f t="shared" si="38"/>
      </c>
      <c r="I180" s="206"/>
      <c r="J180" s="207">
        <f t="shared" si="39"/>
      </c>
      <c r="K180" s="208">
        <f t="shared" si="44"/>
      </c>
      <c r="L180" s="206"/>
      <c r="M180" s="47">
        <f t="shared" si="45"/>
      </c>
      <c r="N180" s="190"/>
      <c r="O180" s="209">
        <f t="shared" si="43"/>
      </c>
      <c r="P180" s="209">
        <f t="shared" si="43"/>
      </c>
      <c r="Q180" s="190"/>
      <c r="R180" s="193">
        <f t="shared" si="40"/>
      </c>
      <c r="S180" s="190"/>
      <c r="T180" s="47">
        <f t="shared" si="41"/>
      </c>
      <c r="U180" s="47">
        <f>IF(E180="","",+T180*tab!H$87)</f>
      </c>
      <c r="V180" s="46">
        <f t="shared" si="33"/>
        <v>0</v>
      </c>
      <c r="W180" s="49"/>
      <c r="X180" s="76">
        <f>IF(P180="",0,M180*12*P180*IF(OR(J180&lt;=8,J180="ID1",J180="ID2",J180="ID3"),1+tab!H$89,1+tab!G$89))</f>
        <v>0</v>
      </c>
      <c r="Y180" s="190"/>
      <c r="Z180" s="158">
        <f t="shared" si="34"/>
        <v>0</v>
      </c>
      <c r="AA180" s="76">
        <f t="shared" si="35"/>
        <v>0</v>
      </c>
      <c r="AB180" s="49"/>
      <c r="AC180" s="47">
        <f t="shared" si="36"/>
        <v>0</v>
      </c>
      <c r="AD180" s="49"/>
      <c r="AE180" s="10"/>
      <c r="AF180" s="10"/>
      <c r="AG180" s="10"/>
      <c r="AH180" s="210"/>
      <c r="AI180" s="10"/>
      <c r="AJ180" s="187"/>
      <c r="AK180" s="194"/>
      <c r="AQ180" s="211"/>
      <c r="AS180" s="187"/>
      <c r="AT180" s="194"/>
    </row>
    <row r="181" spans="2:46" s="185" customFormat="1" ht="12.75" customHeight="1">
      <c r="B181" s="10"/>
      <c r="C181" s="23"/>
      <c r="D181" s="157">
        <f t="shared" si="42"/>
      </c>
      <c r="E181" s="157">
        <f t="shared" si="42"/>
      </c>
      <c r="F181" s="157">
        <f t="shared" si="42"/>
      </c>
      <c r="G181" s="157">
        <f t="shared" si="37"/>
      </c>
      <c r="H181" s="225">
        <f t="shared" si="38"/>
      </c>
      <c r="I181" s="206"/>
      <c r="J181" s="207">
        <f t="shared" si="39"/>
      </c>
      <c r="K181" s="208">
        <f t="shared" si="44"/>
      </c>
      <c r="L181" s="206"/>
      <c r="M181" s="47">
        <f t="shared" si="45"/>
      </c>
      <c r="N181" s="190"/>
      <c r="O181" s="209">
        <f t="shared" si="43"/>
      </c>
      <c r="P181" s="209">
        <f t="shared" si="43"/>
      </c>
      <c r="Q181" s="190"/>
      <c r="R181" s="193">
        <f t="shared" si="40"/>
      </c>
      <c r="S181" s="190"/>
      <c r="T181" s="47">
        <f t="shared" si="41"/>
      </c>
      <c r="U181" s="47">
        <f>IF(E181="","",+T181*tab!H$87)</f>
      </c>
      <c r="V181" s="46">
        <f t="shared" si="33"/>
        <v>0</v>
      </c>
      <c r="W181" s="49"/>
      <c r="X181" s="76">
        <f>IF(P181="",0,M181*12*P181*IF(OR(J181&lt;=8,J181="ID1",J181="ID2",J181="ID3"),1+tab!H$89,1+tab!G$89))</f>
        <v>0</v>
      </c>
      <c r="Y181" s="190"/>
      <c r="Z181" s="158">
        <f t="shared" si="34"/>
        <v>0</v>
      </c>
      <c r="AA181" s="76">
        <f t="shared" si="35"/>
        <v>0</v>
      </c>
      <c r="AB181" s="49"/>
      <c r="AC181" s="47">
        <f t="shared" si="36"/>
        <v>0</v>
      </c>
      <c r="AD181" s="49"/>
      <c r="AE181" s="10"/>
      <c r="AF181" s="10"/>
      <c r="AG181" s="10"/>
      <c r="AH181" s="210"/>
      <c r="AI181" s="10"/>
      <c r="AJ181" s="187"/>
      <c r="AK181" s="194"/>
      <c r="AQ181" s="211"/>
      <c r="AS181" s="187"/>
      <c r="AT181" s="194"/>
    </row>
    <row r="182" spans="2:46" s="185" customFormat="1" ht="12.75" customHeight="1">
      <c r="B182" s="10"/>
      <c r="C182" s="23"/>
      <c r="D182" s="157">
        <f t="shared" si="42"/>
      </c>
      <c r="E182" s="157">
        <f t="shared" si="42"/>
      </c>
      <c r="F182" s="157">
        <f t="shared" si="42"/>
      </c>
      <c r="G182" s="157">
        <f t="shared" si="37"/>
      </c>
      <c r="H182" s="225">
        <f t="shared" si="38"/>
      </c>
      <c r="I182" s="206"/>
      <c r="J182" s="207">
        <f t="shared" si="39"/>
      </c>
      <c r="K182" s="208">
        <f t="shared" si="44"/>
      </c>
      <c r="L182" s="206"/>
      <c r="M182" s="47">
        <f t="shared" si="45"/>
      </c>
      <c r="N182" s="190"/>
      <c r="O182" s="209">
        <f t="shared" si="43"/>
      </c>
      <c r="P182" s="209">
        <f t="shared" si="43"/>
      </c>
      <c r="Q182" s="190"/>
      <c r="R182" s="193">
        <f t="shared" si="40"/>
      </c>
      <c r="S182" s="190"/>
      <c r="T182" s="47">
        <f t="shared" si="41"/>
      </c>
      <c r="U182" s="47">
        <f>IF(E182="","",+T182*tab!H$87)</f>
      </c>
      <c r="V182" s="46">
        <f t="shared" si="33"/>
        <v>0</v>
      </c>
      <c r="W182" s="49"/>
      <c r="X182" s="76">
        <f>IF(P182="",0,M182*12*P182*IF(OR(J182&lt;=8,J182="ID1",J182="ID2",J182="ID3"),1+tab!H$89,1+tab!G$89))</f>
        <v>0</v>
      </c>
      <c r="Y182" s="190"/>
      <c r="Z182" s="158">
        <f t="shared" si="34"/>
        <v>0</v>
      </c>
      <c r="AA182" s="76">
        <f t="shared" si="35"/>
        <v>0</v>
      </c>
      <c r="AB182" s="49"/>
      <c r="AC182" s="47">
        <f t="shared" si="36"/>
        <v>0</v>
      </c>
      <c r="AD182" s="49"/>
      <c r="AE182" s="10"/>
      <c r="AF182" s="10"/>
      <c r="AG182" s="10"/>
      <c r="AH182" s="210"/>
      <c r="AI182" s="10"/>
      <c r="AJ182" s="187"/>
      <c r="AK182" s="194"/>
      <c r="AQ182" s="211"/>
      <c r="AS182" s="187"/>
      <c r="AT182" s="194"/>
    </row>
    <row r="183" spans="2:46" s="185" customFormat="1" ht="12.75" customHeight="1">
      <c r="B183" s="10"/>
      <c r="C183" s="23"/>
      <c r="D183" s="157">
        <f t="shared" si="42"/>
      </c>
      <c r="E183" s="157">
        <f t="shared" si="42"/>
      </c>
      <c r="F183" s="157">
        <f t="shared" si="42"/>
      </c>
      <c r="G183" s="157">
        <f t="shared" si="37"/>
      </c>
      <c r="H183" s="225">
        <f t="shared" si="38"/>
      </c>
      <c r="I183" s="206"/>
      <c r="J183" s="207">
        <f t="shared" si="39"/>
      </c>
      <c r="K183" s="208">
        <f t="shared" si="44"/>
      </c>
      <c r="L183" s="206"/>
      <c r="M183" s="47">
        <f t="shared" si="45"/>
      </c>
      <c r="N183" s="190"/>
      <c r="O183" s="209">
        <f t="shared" si="43"/>
      </c>
      <c r="P183" s="209">
        <f t="shared" si="43"/>
      </c>
      <c r="Q183" s="190"/>
      <c r="R183" s="193">
        <f t="shared" si="40"/>
      </c>
      <c r="S183" s="190"/>
      <c r="T183" s="47">
        <f t="shared" si="41"/>
      </c>
      <c r="U183" s="47">
        <f>IF(E183="","",+T183*tab!H$87)</f>
      </c>
      <c r="V183" s="46">
        <f t="shared" si="33"/>
        <v>0</v>
      </c>
      <c r="W183" s="49"/>
      <c r="X183" s="76">
        <f>IF(P183="",0,M183*12*P183*IF(OR(J183&lt;=8,J183="ID1",J183="ID2",J183="ID3"),1+tab!H$89,1+tab!G$89))</f>
        <v>0</v>
      </c>
      <c r="Y183" s="190"/>
      <c r="Z183" s="158">
        <f t="shared" si="34"/>
        <v>0</v>
      </c>
      <c r="AA183" s="76">
        <f t="shared" si="35"/>
        <v>0</v>
      </c>
      <c r="AB183" s="49"/>
      <c r="AC183" s="47">
        <f t="shared" si="36"/>
        <v>0</v>
      </c>
      <c r="AD183" s="49"/>
      <c r="AE183" s="10"/>
      <c r="AF183" s="10"/>
      <c r="AG183" s="10"/>
      <c r="AH183" s="210"/>
      <c r="AI183" s="10"/>
      <c r="AJ183" s="187"/>
      <c r="AK183" s="194"/>
      <c r="AQ183" s="211"/>
      <c r="AS183" s="187"/>
      <c r="AT183" s="194"/>
    </row>
    <row r="184" spans="2:46" s="185" customFormat="1" ht="12.75" customHeight="1">
      <c r="B184" s="10"/>
      <c r="C184" s="23"/>
      <c r="D184" s="157">
        <f t="shared" si="42"/>
      </c>
      <c r="E184" s="157">
        <f t="shared" si="42"/>
      </c>
      <c r="F184" s="157">
        <f t="shared" si="42"/>
      </c>
      <c r="G184" s="157">
        <f t="shared" si="37"/>
      </c>
      <c r="H184" s="225">
        <f t="shared" si="38"/>
      </c>
      <c r="I184" s="206"/>
      <c r="J184" s="207">
        <f t="shared" si="39"/>
      </c>
      <c r="K184" s="208">
        <f t="shared" si="44"/>
      </c>
      <c r="L184" s="206"/>
      <c r="M184" s="47">
        <f t="shared" si="45"/>
      </c>
      <c r="N184" s="190"/>
      <c r="O184" s="209">
        <f t="shared" si="43"/>
      </c>
      <c r="P184" s="209">
        <f t="shared" si="43"/>
      </c>
      <c r="Q184" s="190"/>
      <c r="R184" s="193">
        <f t="shared" si="40"/>
      </c>
      <c r="S184" s="190"/>
      <c r="T184" s="47">
        <f t="shared" si="41"/>
      </c>
      <c r="U184" s="47">
        <f>IF(E184="","",+T184*tab!H$87)</f>
      </c>
      <c r="V184" s="46">
        <f t="shared" si="33"/>
        <v>0</v>
      </c>
      <c r="W184" s="49"/>
      <c r="X184" s="76">
        <f>IF(P184="",0,M184*12*P184*IF(OR(J184&lt;=8,J184="ID1",J184="ID2",J184="ID3"),1+tab!H$89,1+tab!G$89))</f>
        <v>0</v>
      </c>
      <c r="Y184" s="190"/>
      <c r="Z184" s="158">
        <f t="shared" si="34"/>
        <v>0</v>
      </c>
      <c r="AA184" s="76">
        <f t="shared" si="35"/>
        <v>0</v>
      </c>
      <c r="AB184" s="49"/>
      <c r="AC184" s="47">
        <f t="shared" si="36"/>
        <v>0</v>
      </c>
      <c r="AD184" s="49"/>
      <c r="AE184" s="10"/>
      <c r="AF184" s="10"/>
      <c r="AG184" s="10"/>
      <c r="AH184" s="210"/>
      <c r="AI184" s="10"/>
      <c r="AJ184" s="187"/>
      <c r="AK184" s="194"/>
      <c r="AQ184" s="211"/>
      <c r="AS184" s="187"/>
      <c r="AT184" s="194"/>
    </row>
    <row r="185" spans="2:46" s="185" customFormat="1" ht="12.75" customHeight="1">
      <c r="B185" s="10"/>
      <c r="C185" s="23"/>
      <c r="D185" s="157">
        <f t="shared" si="42"/>
      </c>
      <c r="E185" s="157">
        <f t="shared" si="42"/>
      </c>
      <c r="F185" s="157">
        <f t="shared" si="42"/>
      </c>
      <c r="G185" s="157">
        <f t="shared" si="37"/>
      </c>
      <c r="H185" s="225">
        <f t="shared" si="38"/>
      </c>
      <c r="I185" s="206"/>
      <c r="J185" s="207">
        <f t="shared" si="39"/>
      </c>
      <c r="K185" s="208">
        <f t="shared" si="44"/>
      </c>
      <c r="L185" s="206"/>
      <c r="M185" s="47">
        <f t="shared" si="45"/>
      </c>
      <c r="N185" s="190"/>
      <c r="O185" s="209">
        <f t="shared" si="43"/>
      </c>
      <c r="P185" s="209">
        <f t="shared" si="43"/>
      </c>
      <c r="Q185" s="190"/>
      <c r="R185" s="193">
        <f t="shared" si="40"/>
      </c>
      <c r="S185" s="190"/>
      <c r="T185" s="47">
        <f t="shared" si="41"/>
      </c>
      <c r="U185" s="47">
        <f>IF(E185="","",+T185*tab!H$87)</f>
      </c>
      <c r="V185" s="46">
        <f t="shared" si="33"/>
        <v>0</v>
      </c>
      <c r="W185" s="49"/>
      <c r="X185" s="76">
        <f>IF(P185="",0,M185*12*P185*IF(OR(J185&lt;=8,J185="ID1",J185="ID2",J185="ID3"),1+tab!H$89,1+tab!G$89))</f>
        <v>0</v>
      </c>
      <c r="Y185" s="190"/>
      <c r="Z185" s="158">
        <f t="shared" si="34"/>
        <v>0</v>
      </c>
      <c r="AA185" s="76">
        <f t="shared" si="35"/>
        <v>0</v>
      </c>
      <c r="AB185" s="49"/>
      <c r="AC185" s="47">
        <f t="shared" si="36"/>
        <v>0</v>
      </c>
      <c r="AD185" s="49"/>
      <c r="AE185" s="10"/>
      <c r="AF185" s="10"/>
      <c r="AG185" s="10"/>
      <c r="AH185" s="210"/>
      <c r="AI185" s="10"/>
      <c r="AJ185" s="187"/>
      <c r="AK185" s="194"/>
      <c r="AQ185" s="211"/>
      <c r="AS185" s="187"/>
      <c r="AT185" s="194"/>
    </row>
    <row r="186" spans="2:46" s="185" customFormat="1" ht="12.75" customHeight="1">
      <c r="B186" s="10"/>
      <c r="C186" s="23"/>
      <c r="D186" s="157">
        <f aca="true" t="shared" si="46" ref="D186:F195">IF(D122=0,"",D122)</f>
      </c>
      <c r="E186" s="157">
        <f t="shared" si="46"/>
      </c>
      <c r="F186" s="157">
        <f t="shared" si="46"/>
      </c>
      <c r="G186" s="157">
        <f t="shared" si="37"/>
      </c>
      <c r="H186" s="225">
        <f t="shared" si="38"/>
      </c>
      <c r="I186" s="206"/>
      <c r="J186" s="207">
        <f t="shared" si="39"/>
      </c>
      <c r="K186" s="208">
        <f t="shared" si="44"/>
      </c>
      <c r="L186" s="206"/>
      <c r="M186" s="47">
        <f t="shared" si="45"/>
      </c>
      <c r="N186" s="190"/>
      <c r="O186" s="209">
        <f aca="true" t="shared" si="47" ref="O186:P195">IF(O122="","",O122)</f>
      </c>
      <c r="P186" s="209">
        <f t="shared" si="47"/>
      </c>
      <c r="Q186" s="190"/>
      <c r="R186" s="193">
        <f t="shared" si="40"/>
      </c>
      <c r="S186" s="190"/>
      <c r="T186" s="47">
        <f t="shared" si="41"/>
      </c>
      <c r="U186" s="47">
        <f>IF(E186="","",+T186*tab!H$87)</f>
      </c>
      <c r="V186" s="46">
        <f t="shared" si="33"/>
        <v>0</v>
      </c>
      <c r="W186" s="49"/>
      <c r="X186" s="76">
        <f>IF(P186="",0,M186*12*P186*IF(OR(J186&lt;=8,J186="ID1",J186="ID2",J186="ID3"),1+tab!H$89,1+tab!G$89))</f>
        <v>0</v>
      </c>
      <c r="Y186" s="190"/>
      <c r="Z186" s="158">
        <f t="shared" si="34"/>
        <v>0</v>
      </c>
      <c r="AA186" s="76">
        <f t="shared" si="35"/>
        <v>0</v>
      </c>
      <c r="AB186" s="49"/>
      <c r="AC186" s="47">
        <f t="shared" si="36"/>
        <v>0</v>
      </c>
      <c r="AD186" s="49"/>
      <c r="AE186" s="10"/>
      <c r="AF186" s="10"/>
      <c r="AG186" s="10"/>
      <c r="AH186" s="210"/>
      <c r="AI186" s="10"/>
      <c r="AJ186" s="187"/>
      <c r="AK186" s="194"/>
      <c r="AQ186" s="211"/>
      <c r="AS186" s="187"/>
      <c r="AT186" s="194"/>
    </row>
    <row r="187" spans="2:46" s="185" customFormat="1" ht="12.75" customHeight="1">
      <c r="B187" s="10"/>
      <c r="C187" s="23"/>
      <c r="D187" s="157">
        <f t="shared" si="46"/>
      </c>
      <c r="E187" s="157">
        <f t="shared" si="46"/>
      </c>
      <c r="F187" s="157">
        <f t="shared" si="46"/>
      </c>
      <c r="G187" s="157">
        <f t="shared" si="37"/>
      </c>
      <c r="H187" s="225">
        <f t="shared" si="38"/>
      </c>
      <c r="I187" s="206"/>
      <c r="J187" s="207">
        <f t="shared" si="39"/>
      </c>
      <c r="K187" s="208">
        <f t="shared" si="44"/>
      </c>
      <c r="L187" s="206"/>
      <c r="M187" s="47">
        <f t="shared" si="45"/>
      </c>
      <c r="N187" s="190"/>
      <c r="O187" s="209">
        <f t="shared" si="47"/>
      </c>
      <c r="P187" s="209">
        <f t="shared" si="47"/>
      </c>
      <c r="Q187" s="190"/>
      <c r="R187" s="193">
        <f t="shared" si="40"/>
      </c>
      <c r="S187" s="190"/>
      <c r="T187" s="47">
        <f t="shared" si="41"/>
      </c>
      <c r="U187" s="47">
        <f>IF(E187="","",+T187*tab!H$87)</f>
      </c>
      <c r="V187" s="46">
        <f t="shared" si="33"/>
        <v>0</v>
      </c>
      <c r="W187" s="49"/>
      <c r="X187" s="76">
        <f>IF(P187="",0,M187*12*P187*IF(OR(J187&lt;=8,J187="ID1",J187="ID2",J187="ID3"),1+tab!H$89,1+tab!G$89))</f>
        <v>0</v>
      </c>
      <c r="Y187" s="190"/>
      <c r="Z187" s="158">
        <f t="shared" si="34"/>
        <v>0</v>
      </c>
      <c r="AA187" s="76">
        <f t="shared" si="35"/>
        <v>0</v>
      </c>
      <c r="AB187" s="49"/>
      <c r="AC187" s="47">
        <f t="shared" si="36"/>
        <v>0</v>
      </c>
      <c r="AD187" s="49"/>
      <c r="AE187" s="10"/>
      <c r="AF187" s="10"/>
      <c r="AG187" s="10"/>
      <c r="AH187" s="210"/>
      <c r="AI187" s="10"/>
      <c r="AJ187" s="187"/>
      <c r="AK187" s="194"/>
      <c r="AQ187" s="211"/>
      <c r="AS187" s="187"/>
      <c r="AT187" s="194"/>
    </row>
    <row r="188" spans="2:46" s="185" customFormat="1" ht="12.75" customHeight="1">
      <c r="B188" s="10"/>
      <c r="C188" s="23"/>
      <c r="D188" s="157">
        <f t="shared" si="46"/>
      </c>
      <c r="E188" s="157">
        <f t="shared" si="46"/>
      </c>
      <c r="F188" s="157">
        <f t="shared" si="46"/>
      </c>
      <c r="G188" s="157">
        <f t="shared" si="37"/>
      </c>
      <c r="H188" s="225">
        <f t="shared" si="38"/>
      </c>
      <c r="I188" s="206"/>
      <c r="J188" s="207">
        <f t="shared" si="39"/>
      </c>
      <c r="K188" s="208">
        <f t="shared" si="44"/>
      </c>
      <c r="L188" s="206"/>
      <c r="M188" s="47">
        <f t="shared" si="45"/>
      </c>
      <c r="N188" s="190"/>
      <c r="O188" s="209">
        <f t="shared" si="47"/>
      </c>
      <c r="P188" s="209">
        <f t="shared" si="47"/>
      </c>
      <c r="Q188" s="190"/>
      <c r="R188" s="193">
        <f t="shared" si="40"/>
      </c>
      <c r="S188" s="190"/>
      <c r="T188" s="47">
        <f t="shared" si="41"/>
      </c>
      <c r="U188" s="47">
        <f>IF(E188="","",+T188*tab!H$87)</f>
      </c>
      <c r="V188" s="46">
        <f t="shared" si="33"/>
        <v>0</v>
      </c>
      <c r="W188" s="49"/>
      <c r="X188" s="76">
        <f>IF(P188="",0,M188*12*P188*IF(OR(J188&lt;=8,J188="ID1",J188="ID2",J188="ID3"),1+tab!H$89,1+tab!G$89))</f>
        <v>0</v>
      </c>
      <c r="Y188" s="190"/>
      <c r="Z188" s="158">
        <f t="shared" si="34"/>
        <v>0</v>
      </c>
      <c r="AA188" s="76">
        <f t="shared" si="35"/>
        <v>0</v>
      </c>
      <c r="AB188" s="49"/>
      <c r="AC188" s="47">
        <f t="shared" si="36"/>
        <v>0</v>
      </c>
      <c r="AD188" s="49"/>
      <c r="AE188" s="10"/>
      <c r="AF188" s="10"/>
      <c r="AG188" s="10"/>
      <c r="AH188" s="210"/>
      <c r="AI188" s="10"/>
      <c r="AJ188" s="187"/>
      <c r="AK188" s="194"/>
      <c r="AQ188" s="211"/>
      <c r="AS188" s="187"/>
      <c r="AT188" s="194"/>
    </row>
    <row r="189" spans="2:46" s="185" customFormat="1" ht="12.75" customHeight="1">
      <c r="B189" s="10"/>
      <c r="C189" s="23"/>
      <c r="D189" s="157">
        <f t="shared" si="46"/>
      </c>
      <c r="E189" s="157">
        <f t="shared" si="46"/>
      </c>
      <c r="F189" s="157">
        <f t="shared" si="46"/>
      </c>
      <c r="G189" s="157">
        <f t="shared" si="37"/>
      </c>
      <c r="H189" s="225">
        <f t="shared" si="38"/>
      </c>
      <c r="I189" s="206"/>
      <c r="J189" s="207">
        <f t="shared" si="39"/>
      </c>
      <c r="K189" s="208">
        <f t="shared" si="44"/>
      </c>
      <c r="L189" s="206"/>
      <c r="M189" s="47">
        <f t="shared" si="45"/>
      </c>
      <c r="N189" s="190"/>
      <c r="O189" s="209">
        <f t="shared" si="47"/>
      </c>
      <c r="P189" s="209">
        <f t="shared" si="47"/>
      </c>
      <c r="Q189" s="190"/>
      <c r="R189" s="193">
        <f t="shared" si="40"/>
      </c>
      <c r="S189" s="190"/>
      <c r="T189" s="47">
        <f t="shared" si="41"/>
      </c>
      <c r="U189" s="47">
        <f>IF(E189="","",+T189*tab!H$87)</f>
      </c>
      <c r="V189" s="46">
        <f t="shared" si="33"/>
        <v>0</v>
      </c>
      <c r="W189" s="49"/>
      <c r="X189" s="76">
        <f>IF(P189="",0,M189*12*P189*IF(OR(J189&lt;=8,J189="ID1",J189="ID2",J189="ID3"),1+tab!H$89,1+tab!G$89))</f>
        <v>0</v>
      </c>
      <c r="Y189" s="190"/>
      <c r="Z189" s="158">
        <f t="shared" si="34"/>
        <v>0</v>
      </c>
      <c r="AA189" s="76">
        <f t="shared" si="35"/>
        <v>0</v>
      </c>
      <c r="AB189" s="49"/>
      <c r="AC189" s="47">
        <f t="shared" si="36"/>
        <v>0</v>
      </c>
      <c r="AD189" s="49"/>
      <c r="AE189" s="10"/>
      <c r="AF189" s="10"/>
      <c r="AG189" s="10"/>
      <c r="AH189" s="210"/>
      <c r="AI189" s="10"/>
      <c r="AJ189" s="187"/>
      <c r="AK189" s="194"/>
      <c r="AQ189" s="211"/>
      <c r="AS189" s="187"/>
      <c r="AT189" s="194"/>
    </row>
    <row r="190" spans="2:46" s="185" customFormat="1" ht="12.75" customHeight="1">
      <c r="B190" s="10"/>
      <c r="C190" s="23"/>
      <c r="D190" s="157">
        <f t="shared" si="46"/>
      </c>
      <c r="E190" s="157">
        <f t="shared" si="46"/>
      </c>
      <c r="F190" s="157">
        <f t="shared" si="46"/>
      </c>
      <c r="G190" s="157">
        <f t="shared" si="37"/>
      </c>
      <c r="H190" s="225">
        <f t="shared" si="38"/>
      </c>
      <c r="I190" s="206"/>
      <c r="J190" s="207">
        <f t="shared" si="39"/>
      </c>
      <c r="K190" s="208">
        <f t="shared" si="44"/>
      </c>
      <c r="L190" s="206"/>
      <c r="M190" s="47">
        <f t="shared" si="45"/>
      </c>
      <c r="N190" s="190"/>
      <c r="O190" s="209">
        <f t="shared" si="47"/>
      </c>
      <c r="P190" s="209">
        <f t="shared" si="47"/>
      </c>
      <c r="Q190" s="190"/>
      <c r="R190" s="193">
        <f t="shared" si="40"/>
      </c>
      <c r="S190" s="190"/>
      <c r="T190" s="47">
        <f t="shared" si="41"/>
      </c>
      <c r="U190" s="47">
        <f>IF(E190="","",+T190*tab!H$87)</f>
      </c>
      <c r="V190" s="46">
        <f t="shared" si="33"/>
        <v>0</v>
      </c>
      <c r="W190" s="49"/>
      <c r="X190" s="76">
        <f>IF(P190="",0,M190*12*P190*IF(OR(J190&lt;=8,J190="ID1",J190="ID2",J190="ID3"),1+tab!H$89,1+tab!G$89))</f>
        <v>0</v>
      </c>
      <c r="Y190" s="190"/>
      <c r="Z190" s="158">
        <f t="shared" si="34"/>
        <v>0</v>
      </c>
      <c r="AA190" s="76">
        <f t="shared" si="35"/>
        <v>0</v>
      </c>
      <c r="AB190" s="49"/>
      <c r="AC190" s="47">
        <f t="shared" si="36"/>
        <v>0</v>
      </c>
      <c r="AD190" s="49"/>
      <c r="AE190" s="10"/>
      <c r="AF190" s="10"/>
      <c r="AG190" s="10"/>
      <c r="AH190" s="210"/>
      <c r="AI190" s="10"/>
      <c r="AJ190" s="187"/>
      <c r="AK190" s="194"/>
      <c r="AQ190" s="211"/>
      <c r="AS190" s="187"/>
      <c r="AT190" s="194"/>
    </row>
    <row r="191" spans="2:46" s="185" customFormat="1" ht="12.75" customHeight="1">
      <c r="B191" s="10"/>
      <c r="C191" s="23"/>
      <c r="D191" s="157">
        <f t="shared" si="46"/>
      </c>
      <c r="E191" s="157">
        <f t="shared" si="46"/>
      </c>
      <c r="F191" s="157">
        <f t="shared" si="46"/>
      </c>
      <c r="G191" s="157">
        <f t="shared" si="37"/>
      </c>
      <c r="H191" s="225">
        <f t="shared" si="38"/>
      </c>
      <c r="I191" s="206"/>
      <c r="J191" s="207">
        <f t="shared" si="39"/>
      </c>
      <c r="K191" s="208">
        <f t="shared" si="44"/>
      </c>
      <c r="L191" s="206"/>
      <c r="M191" s="47">
        <f t="shared" si="45"/>
      </c>
      <c r="N191" s="190"/>
      <c r="O191" s="209">
        <f t="shared" si="47"/>
      </c>
      <c r="P191" s="209">
        <f t="shared" si="47"/>
      </c>
      <c r="Q191" s="190"/>
      <c r="R191" s="193">
        <f t="shared" si="40"/>
      </c>
      <c r="S191" s="190"/>
      <c r="T191" s="47">
        <f t="shared" si="41"/>
      </c>
      <c r="U191" s="47">
        <f>IF(E191="","",+T191*tab!H$87)</f>
      </c>
      <c r="V191" s="46">
        <f t="shared" si="33"/>
        <v>0</v>
      </c>
      <c r="W191" s="49"/>
      <c r="X191" s="76">
        <f>IF(P191="",0,M191*12*P191*IF(OR(J191&lt;=8,J191="ID1",J191="ID2",J191="ID3"),1+tab!H$89,1+tab!G$89))</f>
        <v>0</v>
      </c>
      <c r="Y191" s="190"/>
      <c r="Z191" s="158">
        <f t="shared" si="34"/>
        <v>0</v>
      </c>
      <c r="AA191" s="76">
        <f t="shared" si="35"/>
        <v>0</v>
      </c>
      <c r="AB191" s="49"/>
      <c r="AC191" s="47">
        <f t="shared" si="36"/>
        <v>0</v>
      </c>
      <c r="AD191" s="49"/>
      <c r="AE191" s="10"/>
      <c r="AF191" s="10"/>
      <c r="AG191" s="10"/>
      <c r="AH191" s="210"/>
      <c r="AI191" s="10"/>
      <c r="AJ191" s="187"/>
      <c r="AK191" s="194"/>
      <c r="AQ191" s="211"/>
      <c r="AS191" s="187"/>
      <c r="AT191" s="194"/>
    </row>
    <row r="192" spans="2:46" s="185" customFormat="1" ht="12.75" customHeight="1">
      <c r="B192" s="10"/>
      <c r="C192" s="23"/>
      <c r="D192" s="157">
        <f t="shared" si="46"/>
      </c>
      <c r="E192" s="157">
        <f t="shared" si="46"/>
      </c>
      <c r="F192" s="157">
        <f t="shared" si="46"/>
      </c>
      <c r="G192" s="157">
        <f t="shared" si="37"/>
      </c>
      <c r="H192" s="225">
        <f t="shared" si="38"/>
      </c>
      <c r="I192" s="206"/>
      <c r="J192" s="207">
        <f t="shared" si="39"/>
      </c>
      <c r="K192" s="208">
        <f t="shared" si="44"/>
      </c>
      <c r="L192" s="206"/>
      <c r="M192" s="47">
        <f t="shared" si="45"/>
      </c>
      <c r="N192" s="190"/>
      <c r="O192" s="209">
        <f t="shared" si="47"/>
      </c>
      <c r="P192" s="209">
        <f t="shared" si="47"/>
      </c>
      <c r="Q192" s="190"/>
      <c r="R192" s="193">
        <f t="shared" si="40"/>
      </c>
      <c r="S192" s="190"/>
      <c r="T192" s="47">
        <f t="shared" si="41"/>
      </c>
      <c r="U192" s="47">
        <f>IF(E192="","",+T192*tab!H$87)</f>
      </c>
      <c r="V192" s="46">
        <f t="shared" si="33"/>
        <v>0</v>
      </c>
      <c r="W192" s="49"/>
      <c r="X192" s="76">
        <f>IF(P192="",0,M192*12*P192*IF(OR(J192&lt;=8,J192="ID1",J192="ID2",J192="ID3"),1+tab!H$89,1+tab!G$89))</f>
        <v>0</v>
      </c>
      <c r="Y192" s="190"/>
      <c r="Z192" s="158">
        <f t="shared" si="34"/>
        <v>0</v>
      </c>
      <c r="AA192" s="76">
        <f t="shared" si="35"/>
        <v>0</v>
      </c>
      <c r="AB192" s="49"/>
      <c r="AC192" s="47">
        <f t="shared" si="36"/>
        <v>0</v>
      </c>
      <c r="AD192" s="49"/>
      <c r="AE192" s="10"/>
      <c r="AF192" s="10"/>
      <c r="AG192" s="10"/>
      <c r="AH192" s="210"/>
      <c r="AI192" s="10"/>
      <c r="AJ192" s="187"/>
      <c r="AK192" s="194"/>
      <c r="AQ192" s="211"/>
      <c r="AS192" s="187"/>
      <c r="AT192" s="194"/>
    </row>
    <row r="193" spans="2:46" s="185" customFormat="1" ht="12.75" customHeight="1">
      <c r="B193" s="10"/>
      <c r="C193" s="23"/>
      <c r="D193" s="157">
        <f t="shared" si="46"/>
      </c>
      <c r="E193" s="157">
        <f t="shared" si="46"/>
      </c>
      <c r="F193" s="157">
        <f t="shared" si="46"/>
      </c>
      <c r="G193" s="157">
        <f t="shared" si="37"/>
      </c>
      <c r="H193" s="225">
        <f t="shared" si="38"/>
      </c>
      <c r="I193" s="206"/>
      <c r="J193" s="207">
        <f t="shared" si="39"/>
      </c>
      <c r="K193" s="208">
        <f t="shared" si="44"/>
      </c>
      <c r="L193" s="206"/>
      <c r="M193" s="47">
        <f t="shared" si="45"/>
      </c>
      <c r="N193" s="190"/>
      <c r="O193" s="209">
        <f t="shared" si="47"/>
      </c>
      <c r="P193" s="209">
        <f t="shared" si="47"/>
      </c>
      <c r="Q193" s="190"/>
      <c r="R193" s="193">
        <f t="shared" si="40"/>
      </c>
      <c r="S193" s="190"/>
      <c r="T193" s="47">
        <f t="shared" si="41"/>
      </c>
      <c r="U193" s="47">
        <f>IF(E193="","",+T193*tab!H$87)</f>
      </c>
      <c r="V193" s="46">
        <f t="shared" si="33"/>
        <v>0</v>
      </c>
      <c r="W193" s="49"/>
      <c r="X193" s="76">
        <f>IF(P193="",0,M193*12*P193*IF(OR(J193&lt;=8,J193="ID1",J193="ID2",J193="ID3"),1+tab!H$89,1+tab!G$89))</f>
        <v>0</v>
      </c>
      <c r="Y193" s="190"/>
      <c r="Z193" s="158">
        <f t="shared" si="34"/>
        <v>0</v>
      </c>
      <c r="AA193" s="76">
        <f t="shared" si="35"/>
        <v>0</v>
      </c>
      <c r="AB193" s="49"/>
      <c r="AC193" s="47">
        <f t="shared" si="36"/>
        <v>0</v>
      </c>
      <c r="AD193" s="49"/>
      <c r="AE193" s="10"/>
      <c r="AF193" s="10"/>
      <c r="AG193" s="10"/>
      <c r="AH193" s="210"/>
      <c r="AI193" s="10"/>
      <c r="AJ193" s="187"/>
      <c r="AK193" s="194"/>
      <c r="AQ193" s="211"/>
      <c r="AS193" s="187"/>
      <c r="AT193" s="194"/>
    </row>
    <row r="194" spans="2:46" s="185" customFormat="1" ht="12.75" customHeight="1">
      <c r="B194" s="10"/>
      <c r="C194" s="23"/>
      <c r="D194" s="157">
        <f t="shared" si="46"/>
      </c>
      <c r="E194" s="157">
        <f t="shared" si="46"/>
      </c>
      <c r="F194" s="157">
        <f t="shared" si="46"/>
      </c>
      <c r="G194" s="157">
        <f t="shared" si="37"/>
      </c>
      <c r="H194" s="225">
        <f t="shared" si="38"/>
      </c>
      <c r="I194" s="206"/>
      <c r="J194" s="207">
        <f t="shared" si="39"/>
      </c>
      <c r="K194" s="208">
        <f t="shared" si="44"/>
      </c>
      <c r="L194" s="206"/>
      <c r="M194" s="47">
        <f t="shared" si="45"/>
      </c>
      <c r="N194" s="190"/>
      <c r="O194" s="209">
        <f t="shared" si="47"/>
      </c>
      <c r="P194" s="209">
        <f t="shared" si="47"/>
      </c>
      <c r="Q194" s="190"/>
      <c r="R194" s="193">
        <f t="shared" si="40"/>
      </c>
      <c r="S194" s="190"/>
      <c r="T194" s="47">
        <f t="shared" si="41"/>
      </c>
      <c r="U194" s="47">
        <f>IF(E194="","",+T194*tab!H$87)</f>
      </c>
      <c r="V194" s="46">
        <f t="shared" si="33"/>
        <v>0</v>
      </c>
      <c r="W194" s="49"/>
      <c r="X194" s="76">
        <f>IF(P194="",0,M194*12*P194*IF(OR(J194&lt;=8,J194="ID1",J194="ID2",J194="ID3"),1+tab!H$89,1+tab!G$89))</f>
        <v>0</v>
      </c>
      <c r="Y194" s="190"/>
      <c r="Z194" s="158">
        <f t="shared" si="34"/>
        <v>0</v>
      </c>
      <c r="AA194" s="76">
        <f t="shared" si="35"/>
        <v>0</v>
      </c>
      <c r="AB194" s="49"/>
      <c r="AC194" s="47">
        <f t="shared" si="36"/>
        <v>0</v>
      </c>
      <c r="AD194" s="49"/>
      <c r="AE194" s="10"/>
      <c r="AF194" s="10"/>
      <c r="AG194" s="10"/>
      <c r="AH194" s="210"/>
      <c r="AI194" s="10"/>
      <c r="AJ194" s="187"/>
      <c r="AK194" s="194"/>
      <c r="AQ194" s="211"/>
      <c r="AS194" s="187"/>
      <c r="AT194" s="194"/>
    </row>
    <row r="195" spans="2:46" s="185" customFormat="1" ht="12.75" customHeight="1">
      <c r="B195" s="10"/>
      <c r="C195" s="23"/>
      <c r="D195" s="157">
        <f t="shared" si="46"/>
      </c>
      <c r="E195" s="157">
        <f t="shared" si="46"/>
      </c>
      <c r="F195" s="157">
        <f t="shared" si="46"/>
      </c>
      <c r="G195" s="157">
        <f t="shared" si="37"/>
      </c>
      <c r="H195" s="225">
        <f t="shared" si="38"/>
      </c>
      <c r="I195" s="206"/>
      <c r="J195" s="207">
        <f t="shared" si="39"/>
      </c>
      <c r="K195" s="208">
        <f t="shared" si="44"/>
      </c>
      <c r="L195" s="206"/>
      <c r="M195" s="47">
        <f t="shared" si="45"/>
      </c>
      <c r="N195" s="190"/>
      <c r="O195" s="209">
        <f t="shared" si="47"/>
      </c>
      <c r="P195" s="209">
        <f t="shared" si="47"/>
      </c>
      <c r="Q195" s="190"/>
      <c r="R195" s="193">
        <f t="shared" si="40"/>
      </c>
      <c r="S195" s="190"/>
      <c r="T195" s="47">
        <f t="shared" si="41"/>
      </c>
      <c r="U195" s="47">
        <f>IF(E195="","",+T195*tab!H$87)</f>
      </c>
      <c r="V195" s="46">
        <f t="shared" si="33"/>
        <v>0</v>
      </c>
      <c r="W195" s="49"/>
      <c r="X195" s="76">
        <f>IF(P195="",0,M195*12*P195*IF(OR(J195&lt;=8,J195="ID1",J195="ID2",J195="ID3"),1+tab!H$89,1+tab!G$89))</f>
        <v>0</v>
      </c>
      <c r="Y195" s="190"/>
      <c r="Z195" s="158">
        <f t="shared" si="34"/>
        <v>0</v>
      </c>
      <c r="AA195" s="76">
        <f t="shared" si="35"/>
        <v>0</v>
      </c>
      <c r="AB195" s="49"/>
      <c r="AC195" s="47">
        <f t="shared" si="36"/>
        <v>0</v>
      </c>
      <c r="AD195" s="49"/>
      <c r="AE195" s="10"/>
      <c r="AF195" s="10"/>
      <c r="AG195" s="10"/>
      <c r="AH195" s="210"/>
      <c r="AI195" s="10"/>
      <c r="AJ195" s="187"/>
      <c r="AK195" s="194"/>
      <c r="AQ195" s="211"/>
      <c r="AS195" s="187"/>
      <c r="AT195" s="194"/>
    </row>
    <row r="196" spans="3:53" ht="12.75">
      <c r="C196" s="23"/>
      <c r="D196" s="27"/>
      <c r="E196" s="27"/>
      <c r="F196" s="27"/>
      <c r="G196" s="212"/>
      <c r="H196" s="196"/>
      <c r="I196" s="212"/>
      <c r="J196" s="195"/>
      <c r="K196" s="197"/>
      <c r="L196" s="212"/>
      <c r="M196" s="144"/>
      <c r="N196" s="144"/>
      <c r="O196" s="150">
        <f>SUM(O146:O195)</f>
        <v>0</v>
      </c>
      <c r="P196" s="150">
        <f>SUM(P146:P195)</f>
        <v>0</v>
      </c>
      <c r="Q196" s="144"/>
      <c r="R196" s="145"/>
      <c r="S196" s="144"/>
      <c r="T196" s="50">
        <f>SUM(T146:T195)</f>
        <v>0</v>
      </c>
      <c r="U196" s="50">
        <f>SUM(U146:U195)</f>
        <v>0</v>
      </c>
      <c r="V196" s="50">
        <f>SUM(V146:V195)</f>
        <v>0</v>
      </c>
      <c r="W196" s="144"/>
      <c r="X196" s="198">
        <f>SUM(X146:X195)</f>
        <v>0</v>
      </c>
      <c r="Y196" s="144"/>
      <c r="Z196" s="199">
        <f>SUM(Z146:Z195)</f>
        <v>0</v>
      </c>
      <c r="AA196" s="198">
        <f>SUM(AA146:AA195)</f>
        <v>0</v>
      </c>
      <c r="AB196" s="144"/>
      <c r="AC196" s="198">
        <f>SUM(AC146:AC195)</f>
        <v>0</v>
      </c>
      <c r="AD196" s="144"/>
      <c r="BA196" s="185"/>
    </row>
    <row r="197" spans="3:30" ht="12.75">
      <c r="C197" s="23"/>
      <c r="D197" s="35"/>
      <c r="E197" s="35"/>
      <c r="F197" s="35"/>
      <c r="G197" s="36"/>
      <c r="H197" s="143"/>
      <c r="I197" s="35"/>
      <c r="J197" s="36"/>
      <c r="K197" s="144"/>
      <c r="L197" s="36"/>
      <c r="M197" s="144"/>
      <c r="N197" s="144"/>
      <c r="O197" s="145"/>
      <c r="P197" s="145"/>
      <c r="Q197" s="144"/>
      <c r="R197" s="145"/>
      <c r="S197" s="144"/>
      <c r="T197" s="200"/>
      <c r="U197" s="200"/>
      <c r="V197" s="200"/>
      <c r="W197" s="144"/>
      <c r="X197" s="201"/>
      <c r="Y197" s="144"/>
      <c r="Z197" s="202"/>
      <c r="AA197" s="201"/>
      <c r="AB197" s="144"/>
      <c r="AC197" s="144"/>
      <c r="AD197" s="144"/>
    </row>
    <row r="198" spans="2:53" s="383" customFormat="1" ht="12.75" customHeight="1">
      <c r="B198" s="42"/>
      <c r="C198" s="42"/>
      <c r="D198" s="379"/>
      <c r="E198" s="379"/>
      <c r="F198" s="379"/>
      <c r="G198" s="380"/>
      <c r="H198" s="384"/>
      <c r="I198" s="42"/>
      <c r="J198" s="380"/>
      <c r="K198" s="385"/>
      <c r="L198" s="380"/>
      <c r="M198" s="386"/>
      <c r="N198" s="387"/>
      <c r="O198" s="388"/>
      <c r="P198" s="385"/>
      <c r="Q198" s="385"/>
      <c r="R198" s="390"/>
      <c r="S198" s="42"/>
      <c r="T198" s="386"/>
      <c r="U198" s="386"/>
      <c r="V198" s="391"/>
      <c r="W198" s="386"/>
      <c r="X198" s="82"/>
      <c r="Y198" s="379"/>
      <c r="Z198" s="392"/>
      <c r="AA198" s="82"/>
      <c r="AB198" s="42"/>
      <c r="AC198" s="42"/>
      <c r="AD198" s="42"/>
      <c r="AE198" s="42"/>
      <c r="AF198" s="42"/>
      <c r="AG198" s="42"/>
      <c r="AH198" s="42"/>
      <c r="AI198" s="42"/>
      <c r="AJ198" s="380"/>
      <c r="AK198" s="393"/>
      <c r="AS198" s="380"/>
      <c r="AT198" s="393"/>
      <c r="BA198" s="10"/>
    </row>
    <row r="199" spans="2:53" s="185" customFormat="1" ht="12.75" customHeight="1">
      <c r="B199" s="10"/>
      <c r="C199" s="10"/>
      <c r="D199" s="186"/>
      <c r="E199" s="186"/>
      <c r="F199" s="186"/>
      <c r="G199" s="187"/>
      <c r="H199" s="188"/>
      <c r="I199" s="10"/>
      <c r="J199" s="187"/>
      <c r="K199" s="189"/>
      <c r="L199" s="187"/>
      <c r="M199" s="177"/>
      <c r="N199" s="203"/>
      <c r="O199" s="191"/>
      <c r="P199" s="189"/>
      <c r="Q199" s="189"/>
      <c r="R199" s="92"/>
      <c r="S199" s="10"/>
      <c r="T199" s="177"/>
      <c r="U199" s="177"/>
      <c r="V199" s="204"/>
      <c r="W199" s="177"/>
      <c r="X199" s="72"/>
      <c r="Y199" s="186"/>
      <c r="Z199" s="205"/>
      <c r="AA199" s="72"/>
      <c r="AB199" s="10"/>
      <c r="AC199" s="10"/>
      <c r="AD199" s="10"/>
      <c r="AE199" s="10"/>
      <c r="AF199" s="10"/>
      <c r="AG199" s="10"/>
      <c r="AH199" s="10"/>
      <c r="AI199" s="10"/>
      <c r="AJ199" s="187"/>
      <c r="AK199" s="194"/>
      <c r="AS199" s="187"/>
      <c r="AT199" s="194"/>
      <c r="BA199" s="383"/>
    </row>
    <row r="200" spans="2:46" s="185" customFormat="1" ht="12.75" customHeight="1">
      <c r="B200" s="10"/>
      <c r="C200" s="10"/>
      <c r="D200" s="186"/>
      <c r="E200" s="186"/>
      <c r="F200" s="186"/>
      <c r="G200" s="187"/>
      <c r="H200" s="188"/>
      <c r="I200" s="10"/>
      <c r="J200" s="187"/>
      <c r="K200" s="189"/>
      <c r="L200" s="187"/>
      <c r="M200" s="177"/>
      <c r="N200" s="203"/>
      <c r="O200" s="191"/>
      <c r="P200" s="189"/>
      <c r="Q200" s="189"/>
      <c r="R200" s="92"/>
      <c r="S200" s="10"/>
      <c r="T200" s="177"/>
      <c r="U200" s="177"/>
      <c r="V200" s="204"/>
      <c r="W200" s="177"/>
      <c r="X200" s="72"/>
      <c r="Y200" s="186"/>
      <c r="Z200" s="205"/>
      <c r="AA200" s="72"/>
      <c r="AB200" s="10"/>
      <c r="AC200" s="10"/>
      <c r="AD200" s="10"/>
      <c r="AE200" s="10"/>
      <c r="AF200" s="10"/>
      <c r="AG200" s="10"/>
      <c r="AH200" s="10"/>
      <c r="AI200" s="10"/>
      <c r="AJ200" s="187"/>
      <c r="AK200" s="194"/>
      <c r="AS200" s="187"/>
      <c r="AT200" s="194"/>
    </row>
    <row r="201" spans="2:46" s="185" customFormat="1" ht="12.75" customHeight="1">
      <c r="B201" s="10"/>
      <c r="C201" s="10"/>
      <c r="D201" s="186"/>
      <c r="E201" s="186"/>
      <c r="F201" s="186"/>
      <c r="G201" s="187"/>
      <c r="H201" s="188"/>
      <c r="I201" s="10"/>
      <c r="J201" s="187"/>
      <c r="K201" s="189"/>
      <c r="L201" s="187"/>
      <c r="M201" s="177"/>
      <c r="N201" s="203"/>
      <c r="O201" s="191"/>
      <c r="P201" s="189"/>
      <c r="Q201" s="189"/>
      <c r="R201" s="92"/>
      <c r="S201" s="10"/>
      <c r="T201" s="177"/>
      <c r="U201" s="177"/>
      <c r="V201" s="204"/>
      <c r="W201" s="177"/>
      <c r="X201" s="72"/>
      <c r="Y201" s="186"/>
      <c r="Z201" s="205"/>
      <c r="AA201" s="72"/>
      <c r="AB201" s="10"/>
      <c r="AC201" s="10"/>
      <c r="AD201" s="10"/>
      <c r="AE201" s="10"/>
      <c r="AF201" s="10"/>
      <c r="AG201" s="10"/>
      <c r="AH201" s="10"/>
      <c r="AI201" s="10"/>
      <c r="AJ201" s="187"/>
      <c r="AK201" s="194"/>
      <c r="AS201" s="187"/>
      <c r="AT201" s="194"/>
    </row>
    <row r="202" spans="2:46" s="185" customFormat="1" ht="12.75" customHeight="1">
      <c r="B202" s="10"/>
      <c r="C202" s="10" t="s">
        <v>310</v>
      </c>
      <c r="D202" s="186"/>
      <c r="E202" s="134" t="str">
        <f>tab!J11</f>
        <v>2010/11</v>
      </c>
      <c r="F202" s="186"/>
      <c r="G202" s="187"/>
      <c r="H202" s="188"/>
      <c r="I202" s="10"/>
      <c r="J202" s="187"/>
      <c r="K202" s="189"/>
      <c r="L202" s="187"/>
      <c r="M202" s="177"/>
      <c r="N202" s="203"/>
      <c r="O202" s="191"/>
      <c r="P202" s="189"/>
      <c r="Q202" s="189"/>
      <c r="R202" s="92"/>
      <c r="S202" s="10"/>
      <c r="T202" s="177"/>
      <c r="U202" s="177"/>
      <c r="V202" s="204"/>
      <c r="W202" s="177"/>
      <c r="X202" s="72"/>
      <c r="Y202" s="186"/>
      <c r="Z202" s="205"/>
      <c r="AA202" s="72"/>
      <c r="AB202" s="10"/>
      <c r="AC202" s="10"/>
      <c r="AD202" s="10"/>
      <c r="AE202" s="10"/>
      <c r="AF202" s="10"/>
      <c r="AG202" s="10"/>
      <c r="AH202" s="10"/>
      <c r="AI202" s="10"/>
      <c r="AJ202" s="187"/>
      <c r="AK202" s="194"/>
      <c r="AS202" s="187"/>
      <c r="AT202" s="194"/>
    </row>
    <row r="203" spans="2:53" s="383" customFormat="1" ht="12.75" customHeight="1">
      <c r="B203" s="42"/>
      <c r="C203" s="10" t="s">
        <v>311</v>
      </c>
      <c r="D203" s="379"/>
      <c r="E203" s="134">
        <f>tab!K13</f>
        <v>40452</v>
      </c>
      <c r="F203" s="379"/>
      <c r="G203" s="380"/>
      <c r="H203" s="384"/>
      <c r="I203" s="42"/>
      <c r="J203" s="380"/>
      <c r="K203" s="385"/>
      <c r="L203" s="380"/>
      <c r="M203" s="386"/>
      <c r="N203" s="387"/>
      <c r="O203" s="388"/>
      <c r="P203" s="385"/>
      <c r="Q203" s="385"/>
      <c r="R203" s="390"/>
      <c r="S203" s="42"/>
      <c r="T203" s="386"/>
      <c r="U203" s="386"/>
      <c r="V203" s="391"/>
      <c r="W203" s="386"/>
      <c r="X203" s="82"/>
      <c r="Y203" s="379"/>
      <c r="Z203" s="392"/>
      <c r="AA203" s="82"/>
      <c r="AB203" s="42"/>
      <c r="AC203" s="42"/>
      <c r="AD203" s="42"/>
      <c r="AE203" s="42"/>
      <c r="AF203" s="42"/>
      <c r="AG203" s="42"/>
      <c r="AH203" s="42"/>
      <c r="AI203" s="42"/>
      <c r="AJ203" s="380"/>
      <c r="AK203" s="393"/>
      <c r="AS203" s="380"/>
      <c r="AT203" s="393"/>
      <c r="BA203" s="185"/>
    </row>
    <row r="204" spans="2:53" s="185" customFormat="1" ht="12.75" customHeight="1">
      <c r="B204" s="10"/>
      <c r="C204" s="10"/>
      <c r="D204" s="186"/>
      <c r="E204" s="186"/>
      <c r="F204" s="186"/>
      <c r="G204" s="187"/>
      <c r="H204" s="188"/>
      <c r="I204" s="10"/>
      <c r="J204" s="187"/>
      <c r="K204" s="189"/>
      <c r="L204" s="187"/>
      <c r="M204" s="177"/>
      <c r="N204" s="203"/>
      <c r="O204" s="191"/>
      <c r="P204" s="189"/>
      <c r="Q204" s="189"/>
      <c r="R204" s="92"/>
      <c r="S204" s="10"/>
      <c r="T204" s="177"/>
      <c r="U204" s="177"/>
      <c r="V204" s="204"/>
      <c r="W204" s="177"/>
      <c r="X204" s="72"/>
      <c r="Y204" s="186"/>
      <c r="Z204" s="205"/>
      <c r="AA204" s="72"/>
      <c r="AB204" s="10"/>
      <c r="AC204" s="10"/>
      <c r="AD204" s="10"/>
      <c r="AE204" s="10"/>
      <c r="AF204" s="10"/>
      <c r="AG204" s="10"/>
      <c r="AH204" s="10"/>
      <c r="AI204" s="10"/>
      <c r="AJ204" s="187"/>
      <c r="AK204" s="194"/>
      <c r="AS204" s="187"/>
      <c r="AT204" s="194"/>
      <c r="BA204" s="383"/>
    </row>
    <row r="205" spans="3:53" ht="12.75" customHeight="1">
      <c r="C205" s="23"/>
      <c r="D205" s="35"/>
      <c r="E205" s="39"/>
      <c r="F205" s="35"/>
      <c r="G205" s="36"/>
      <c r="H205" s="143"/>
      <c r="I205" s="23"/>
      <c r="J205" s="144"/>
      <c r="K205" s="144"/>
      <c r="L205" s="45"/>
      <c r="M205" s="45"/>
      <c r="N205" s="45"/>
      <c r="O205" s="145"/>
      <c r="P205" s="144"/>
      <c r="Q205" s="144"/>
      <c r="R205" s="146"/>
      <c r="S205" s="23"/>
      <c r="T205" s="23"/>
      <c r="U205" s="23"/>
      <c r="V205" s="55"/>
      <c r="W205" s="55"/>
      <c r="X205" s="31"/>
      <c r="Y205" s="23"/>
      <c r="Z205" s="147"/>
      <c r="AA205" s="31"/>
      <c r="AB205" s="23"/>
      <c r="AC205" s="23"/>
      <c r="AD205" s="23"/>
      <c r="AJ205" s="137"/>
      <c r="AK205" s="138"/>
      <c r="AL205" s="137"/>
      <c r="AM205" s="137"/>
      <c r="AN205" s="137"/>
      <c r="AO205" s="91"/>
      <c r="AP205" s="139"/>
      <c r="AQ205" s="140"/>
      <c r="AR205" s="141"/>
      <c r="AS205" s="142"/>
      <c r="AT205" s="139"/>
      <c r="BA205" s="185"/>
    </row>
    <row r="206" spans="3:48" ht="12.75" customHeight="1">
      <c r="C206" s="23"/>
      <c r="D206" s="598" t="s">
        <v>312</v>
      </c>
      <c r="E206" s="599"/>
      <c r="F206" s="599"/>
      <c r="G206" s="599"/>
      <c r="H206" s="599"/>
      <c r="I206" s="149"/>
      <c r="J206" s="598" t="s">
        <v>313</v>
      </c>
      <c r="K206" s="599"/>
      <c r="L206" s="599"/>
      <c r="M206" s="599"/>
      <c r="N206" s="36"/>
      <c r="O206" s="600" t="s">
        <v>314</v>
      </c>
      <c r="P206" s="599"/>
      <c r="Q206" s="599"/>
      <c r="R206" s="599"/>
      <c r="S206" s="151"/>
      <c r="T206" s="598" t="s">
        <v>315</v>
      </c>
      <c r="U206" s="598"/>
      <c r="V206" s="598"/>
      <c r="W206" s="36"/>
      <c r="X206" s="77" t="s">
        <v>316</v>
      </c>
      <c r="Y206" s="36"/>
      <c r="Z206" s="152"/>
      <c r="AA206" s="148" t="s">
        <v>317</v>
      </c>
      <c r="AB206" s="144"/>
      <c r="AC206" s="153" t="s">
        <v>315</v>
      </c>
      <c r="AD206" s="144"/>
      <c r="AE206" s="155"/>
      <c r="AF206" s="155"/>
      <c r="AG206" s="92"/>
      <c r="AH206" s="156"/>
      <c r="AI206" s="92"/>
      <c r="AJ206" s="10"/>
      <c r="AK206" s="10"/>
      <c r="AS206" s="10"/>
      <c r="AT206" s="10"/>
      <c r="AU206" s="155"/>
      <c r="AV206" s="155"/>
    </row>
    <row r="207" spans="3:48" ht="12.75" customHeight="1">
      <c r="C207" s="23"/>
      <c r="D207" s="159" t="s">
        <v>338</v>
      </c>
      <c r="E207" s="159" t="s">
        <v>319</v>
      </c>
      <c r="F207" s="159" t="s">
        <v>320</v>
      </c>
      <c r="G207" s="160" t="s">
        <v>321</v>
      </c>
      <c r="H207" s="161" t="s">
        <v>322</v>
      </c>
      <c r="I207" s="30"/>
      <c r="J207" s="160" t="s">
        <v>208</v>
      </c>
      <c r="K207" s="160" t="s">
        <v>323</v>
      </c>
      <c r="L207" s="162"/>
      <c r="M207" s="163" t="s">
        <v>324</v>
      </c>
      <c r="N207" s="164"/>
      <c r="O207" s="165" t="s">
        <v>325</v>
      </c>
      <c r="P207" s="166" t="s">
        <v>326</v>
      </c>
      <c r="Q207" s="166"/>
      <c r="R207" s="165" t="s">
        <v>325</v>
      </c>
      <c r="S207" s="30"/>
      <c r="T207" s="167" t="s">
        <v>327</v>
      </c>
      <c r="U207" s="167" t="s">
        <v>328</v>
      </c>
      <c r="V207" s="167" t="s">
        <v>329</v>
      </c>
      <c r="W207" s="164"/>
      <c r="X207" s="168" t="s">
        <v>330</v>
      </c>
      <c r="Y207" s="35"/>
      <c r="Z207" s="169" t="s">
        <v>339</v>
      </c>
      <c r="AA207" s="168" t="s">
        <v>330</v>
      </c>
      <c r="AB207" s="170"/>
      <c r="AC207" s="160" t="s">
        <v>332</v>
      </c>
      <c r="AD207" s="170"/>
      <c r="AE207" s="172"/>
      <c r="AF207" s="172"/>
      <c r="AG207" s="173"/>
      <c r="AH207" s="174"/>
      <c r="AI207" s="173"/>
      <c r="AJ207" s="10"/>
      <c r="AK207" s="10"/>
      <c r="AS207" s="10"/>
      <c r="AT207" s="10"/>
      <c r="AU207" s="155"/>
      <c r="AV207" s="172"/>
    </row>
    <row r="208" spans="3:48" ht="12.75" customHeight="1">
      <c r="C208" s="23"/>
      <c r="D208" s="157"/>
      <c r="E208" s="159"/>
      <c r="F208" s="175"/>
      <c r="G208" s="160" t="s">
        <v>333</v>
      </c>
      <c r="H208" s="161" t="s">
        <v>334</v>
      </c>
      <c r="I208" s="30"/>
      <c r="J208" s="160"/>
      <c r="K208" s="160"/>
      <c r="L208" s="162"/>
      <c r="M208" s="163" t="s">
        <v>335</v>
      </c>
      <c r="N208" s="164"/>
      <c r="O208" s="165" t="s">
        <v>336</v>
      </c>
      <c r="P208" s="166"/>
      <c r="Q208" s="166"/>
      <c r="R208" s="165" t="s">
        <v>337</v>
      </c>
      <c r="S208" s="30"/>
      <c r="T208" s="167"/>
      <c r="U208" s="227"/>
      <c r="V208" s="167"/>
      <c r="W208" s="164"/>
      <c r="X208" s="168"/>
      <c r="Y208" s="23"/>
      <c r="Z208" s="169"/>
      <c r="AA208" s="168"/>
      <c r="AB208" s="23"/>
      <c r="AC208" s="69"/>
      <c r="AD208" s="23"/>
      <c r="AJ208" s="10"/>
      <c r="AK208" s="10"/>
      <c r="AS208" s="10"/>
      <c r="AT208" s="10"/>
      <c r="AV208" s="177"/>
    </row>
    <row r="209" spans="3:48" ht="12.75" customHeight="1">
      <c r="C209" s="23"/>
      <c r="D209" s="35"/>
      <c r="E209" s="35"/>
      <c r="F209" s="35"/>
      <c r="G209" s="36"/>
      <c r="H209" s="143"/>
      <c r="I209" s="23"/>
      <c r="J209" s="170"/>
      <c r="K209" s="170"/>
      <c r="L209" s="178"/>
      <c r="M209" s="179"/>
      <c r="N209" s="164"/>
      <c r="O209" s="180"/>
      <c r="P209" s="181"/>
      <c r="Q209" s="164"/>
      <c r="R209" s="180"/>
      <c r="S209" s="164"/>
      <c r="T209" s="182"/>
      <c r="U209" s="182"/>
      <c r="V209" s="182"/>
      <c r="W209" s="164"/>
      <c r="X209" s="183"/>
      <c r="Y209" s="164"/>
      <c r="Z209" s="184"/>
      <c r="AA209" s="183"/>
      <c r="AB209" s="164"/>
      <c r="AC209" s="164"/>
      <c r="AD209" s="164"/>
      <c r="AJ209" s="10"/>
      <c r="AK209" s="10"/>
      <c r="AS209" s="10"/>
      <c r="AT209" s="10"/>
      <c r="AV209" s="177"/>
    </row>
    <row r="210" spans="2:53" s="185" customFormat="1" ht="12.75" customHeight="1">
      <c r="B210" s="10"/>
      <c r="C210" s="23"/>
      <c r="D210" s="157">
        <f aca="true" t="shared" si="48" ref="D210:F229">IF(D146=0,"",D146)</f>
      </c>
      <c r="E210" s="157">
        <f t="shared" si="48"/>
      </c>
      <c r="F210" s="157">
        <f t="shared" si="48"/>
      </c>
      <c r="G210" s="157">
        <f>IF(G146="","",G146+1)</f>
      </c>
      <c r="H210" s="225">
        <f>IF(H146=0,"",H146)</f>
      </c>
      <c r="I210" s="206"/>
      <c r="J210" s="207">
        <f>IF(J146=0,"",J146)</f>
      </c>
      <c r="K210" s="208">
        <f aca="true" t="shared" si="49" ref="K210:K241">IF(E210="","",(IF((K146+1)&gt;VLOOKUP(J210,tabelsalaris,22,FALSE),K146,K146+1)))</f>
      </c>
      <c r="L210" s="206"/>
      <c r="M210" s="47">
        <f aca="true" t="shared" si="50" ref="M210:M241">IF(J210="","",ROUND(1.022*VLOOKUP(J210,tabelsalaris,K210+1,FALSE),0))</f>
      </c>
      <c r="N210" s="190"/>
      <c r="O210" s="209">
        <f aca="true" t="shared" si="51" ref="O210:P229">IF(O146="","",O146)</f>
      </c>
      <c r="P210" s="209">
        <f t="shared" si="51"/>
      </c>
      <c r="Q210" s="190"/>
      <c r="R210" s="193">
        <f>IF(P210="",O210,O210-P210)</f>
      </c>
      <c r="S210" s="190"/>
      <c r="T210" s="47">
        <f>IF(E210="","",(M210*R210*12))</f>
      </c>
      <c r="U210" s="47">
        <f>IF(E210="","",+T210*tab!H$87)</f>
      </c>
      <c r="V210" s="46">
        <f aca="true" t="shared" si="52" ref="V210:V259">IF(E210="",0,(T210+U210))</f>
        <v>0</v>
      </c>
      <c r="W210" s="49"/>
      <c r="X210" s="76">
        <f>IF(P210="",0,M210*12*P210*IF(OR(J210&lt;=8,J210="ID1",J210="ID2",J210="ID3"),1+tab!H$89,1+tab!G$89))</f>
        <v>0</v>
      </c>
      <c r="Y210" s="190"/>
      <c r="Z210" s="158">
        <f aca="true" t="shared" si="53" ref="Z210:Z259">IF(G210&lt;25,0,IF(G210=25,25,IF(G210&lt;40,0,IF(G210=40,40,IF(G210&gt;=40,0)))))</f>
        <v>0</v>
      </c>
      <c r="AA210" s="76">
        <f aca="true" t="shared" si="54" ref="AA210:AA259">IF(E210="",0,IF(Z210=25,(M210*1.08*(O210)/2),IF(Z210=40,(M210*1.08*(O210)),IF(Z210=0,0))))</f>
        <v>0</v>
      </c>
      <c r="AB210" s="49"/>
      <c r="AC210" s="47">
        <f aca="true" t="shared" si="55" ref="AC210:AC259">IF(E210="",0,(V210+X210+AA210))</f>
        <v>0</v>
      </c>
      <c r="AD210" s="49"/>
      <c r="AE210" s="10"/>
      <c r="AF210" s="10"/>
      <c r="AG210" s="10"/>
      <c r="AH210" s="210"/>
      <c r="AI210" s="10"/>
      <c r="AJ210" s="187"/>
      <c r="AK210" s="194"/>
      <c r="AQ210" s="211"/>
      <c r="AS210" s="187"/>
      <c r="AT210" s="194"/>
      <c r="BA210" s="10"/>
    </row>
    <row r="211" spans="2:46" s="185" customFormat="1" ht="12.75" customHeight="1">
      <c r="B211" s="10"/>
      <c r="C211" s="23"/>
      <c r="D211" s="157">
        <f t="shared" si="48"/>
      </c>
      <c r="E211" s="157">
        <f t="shared" si="48"/>
      </c>
      <c r="F211" s="157">
        <f t="shared" si="48"/>
      </c>
      <c r="G211" s="157">
        <f aca="true" t="shared" si="56" ref="G211:G259">IF(G147="","",G147+1)</f>
      </c>
      <c r="H211" s="225">
        <f aca="true" t="shared" si="57" ref="H211:H259">IF(H147=0,"",H147)</f>
      </c>
      <c r="I211" s="206"/>
      <c r="J211" s="207">
        <f aca="true" t="shared" si="58" ref="J211:J259">IF(J147=0,"",J147)</f>
      </c>
      <c r="K211" s="208">
        <f t="shared" si="49"/>
      </c>
      <c r="L211" s="206"/>
      <c r="M211" s="47">
        <f t="shared" si="50"/>
      </c>
      <c r="N211" s="190"/>
      <c r="O211" s="209">
        <f t="shared" si="51"/>
      </c>
      <c r="P211" s="209">
        <f t="shared" si="51"/>
      </c>
      <c r="Q211" s="190"/>
      <c r="R211" s="193">
        <f aca="true" t="shared" si="59" ref="R211:R259">IF(P211="",O211,O211-P211)</f>
      </c>
      <c r="S211" s="190"/>
      <c r="T211" s="47">
        <f aca="true" t="shared" si="60" ref="T211:T259">IF(E211="","",(M211*R211*12))</f>
      </c>
      <c r="U211" s="47">
        <f>IF(E211="","",+T211*tab!H$87)</f>
      </c>
      <c r="V211" s="46">
        <f t="shared" si="52"/>
        <v>0</v>
      </c>
      <c r="W211" s="49"/>
      <c r="X211" s="76">
        <f>IF(P211="",0,M211*12*P211*IF(OR(J211&lt;=8,J211="ID1",J211="ID2",J211="ID3"),1+tab!H$89,1+tab!G$89))</f>
        <v>0</v>
      </c>
      <c r="Y211" s="190"/>
      <c r="Z211" s="158">
        <f t="shared" si="53"/>
        <v>0</v>
      </c>
      <c r="AA211" s="76">
        <f t="shared" si="54"/>
        <v>0</v>
      </c>
      <c r="AB211" s="49"/>
      <c r="AC211" s="47">
        <f t="shared" si="55"/>
        <v>0</v>
      </c>
      <c r="AD211" s="49"/>
      <c r="AE211" s="10"/>
      <c r="AF211" s="10"/>
      <c r="AG211" s="10"/>
      <c r="AH211" s="210"/>
      <c r="AI211" s="10"/>
      <c r="AJ211" s="187"/>
      <c r="AK211" s="194"/>
      <c r="AQ211" s="211"/>
      <c r="AS211" s="187"/>
      <c r="AT211" s="194"/>
    </row>
    <row r="212" spans="2:46" s="185" customFormat="1" ht="12.75" customHeight="1">
      <c r="B212" s="10"/>
      <c r="C212" s="23"/>
      <c r="D212" s="157">
        <f t="shared" si="48"/>
      </c>
      <c r="E212" s="157">
        <f t="shared" si="48"/>
      </c>
      <c r="F212" s="157">
        <f t="shared" si="48"/>
      </c>
      <c r="G212" s="157">
        <f t="shared" si="56"/>
      </c>
      <c r="H212" s="225">
        <f t="shared" si="57"/>
      </c>
      <c r="I212" s="206"/>
      <c r="J212" s="207">
        <f t="shared" si="58"/>
      </c>
      <c r="K212" s="208">
        <f t="shared" si="49"/>
      </c>
      <c r="L212" s="206"/>
      <c r="M212" s="47">
        <f t="shared" si="50"/>
      </c>
      <c r="N212" s="190"/>
      <c r="O212" s="209">
        <f t="shared" si="51"/>
      </c>
      <c r="P212" s="209">
        <f t="shared" si="51"/>
      </c>
      <c r="Q212" s="190"/>
      <c r="R212" s="193">
        <f t="shared" si="59"/>
      </c>
      <c r="S212" s="190"/>
      <c r="T212" s="47">
        <f t="shared" si="60"/>
      </c>
      <c r="U212" s="47">
        <f>IF(E212="","",+T212*tab!H$87)</f>
      </c>
      <c r="V212" s="46">
        <f t="shared" si="52"/>
        <v>0</v>
      </c>
      <c r="W212" s="49"/>
      <c r="X212" s="76">
        <f>IF(P212="",0,M212*12*P212*IF(OR(J212&lt;=8,J212="ID1",J212="ID2",J212="ID3"),1+tab!H$89,1+tab!G$89))</f>
        <v>0</v>
      </c>
      <c r="Y212" s="190"/>
      <c r="Z212" s="158">
        <f t="shared" si="53"/>
        <v>0</v>
      </c>
      <c r="AA212" s="76">
        <f t="shared" si="54"/>
        <v>0</v>
      </c>
      <c r="AB212" s="49"/>
      <c r="AC212" s="47">
        <f t="shared" si="55"/>
        <v>0</v>
      </c>
      <c r="AD212" s="49"/>
      <c r="AE212" s="10"/>
      <c r="AF212" s="10"/>
      <c r="AG212" s="10"/>
      <c r="AH212" s="210"/>
      <c r="AI212" s="10"/>
      <c r="AJ212" s="187"/>
      <c r="AK212" s="194"/>
      <c r="AQ212" s="211"/>
      <c r="AS212" s="187"/>
      <c r="AT212" s="194"/>
    </row>
    <row r="213" spans="2:46" s="185" customFormat="1" ht="12.75" customHeight="1">
      <c r="B213" s="10"/>
      <c r="C213" s="23"/>
      <c r="D213" s="157">
        <f t="shared" si="48"/>
      </c>
      <c r="E213" s="157">
        <f t="shared" si="48"/>
      </c>
      <c r="F213" s="157">
        <f t="shared" si="48"/>
      </c>
      <c r="G213" s="157">
        <f t="shared" si="56"/>
      </c>
      <c r="H213" s="225">
        <f t="shared" si="57"/>
      </c>
      <c r="I213" s="206"/>
      <c r="J213" s="207">
        <f t="shared" si="58"/>
      </c>
      <c r="K213" s="208">
        <f t="shared" si="49"/>
      </c>
      <c r="L213" s="206"/>
      <c r="M213" s="47">
        <f t="shared" si="50"/>
      </c>
      <c r="N213" s="190"/>
      <c r="O213" s="209">
        <f t="shared" si="51"/>
      </c>
      <c r="P213" s="209">
        <f t="shared" si="51"/>
      </c>
      <c r="Q213" s="190"/>
      <c r="R213" s="193">
        <f t="shared" si="59"/>
      </c>
      <c r="S213" s="190"/>
      <c r="T213" s="47">
        <f t="shared" si="60"/>
      </c>
      <c r="U213" s="47">
        <f>IF(E213="","",+T213*tab!H$87)</f>
      </c>
      <c r="V213" s="46">
        <f t="shared" si="52"/>
        <v>0</v>
      </c>
      <c r="W213" s="49"/>
      <c r="X213" s="76">
        <f>IF(P213="",0,M213*12*P213*IF(OR(J213&lt;=8,J213="ID1",J213="ID2",J213="ID3"),1+tab!H$89,1+tab!G$89))</f>
        <v>0</v>
      </c>
      <c r="Y213" s="190"/>
      <c r="Z213" s="158">
        <f t="shared" si="53"/>
        <v>0</v>
      </c>
      <c r="AA213" s="76">
        <f t="shared" si="54"/>
        <v>0</v>
      </c>
      <c r="AB213" s="49"/>
      <c r="AC213" s="47">
        <f t="shared" si="55"/>
        <v>0</v>
      </c>
      <c r="AD213" s="49"/>
      <c r="AE213" s="10"/>
      <c r="AF213" s="10"/>
      <c r="AG213" s="10"/>
      <c r="AH213" s="210"/>
      <c r="AI213" s="10"/>
      <c r="AJ213" s="187"/>
      <c r="AK213" s="194"/>
      <c r="AQ213" s="211"/>
      <c r="AS213" s="187"/>
      <c r="AT213" s="194"/>
    </row>
    <row r="214" spans="2:46" s="185" customFormat="1" ht="12.75" customHeight="1">
      <c r="B214" s="10"/>
      <c r="C214" s="23"/>
      <c r="D214" s="157">
        <f t="shared" si="48"/>
      </c>
      <c r="E214" s="157">
        <f t="shared" si="48"/>
      </c>
      <c r="F214" s="157">
        <f t="shared" si="48"/>
      </c>
      <c r="G214" s="157">
        <f t="shared" si="56"/>
      </c>
      <c r="H214" s="225">
        <f t="shared" si="57"/>
      </c>
      <c r="I214" s="206"/>
      <c r="J214" s="207">
        <f t="shared" si="58"/>
      </c>
      <c r="K214" s="208">
        <f t="shared" si="49"/>
      </c>
      <c r="L214" s="206"/>
      <c r="M214" s="47">
        <f t="shared" si="50"/>
      </c>
      <c r="N214" s="190"/>
      <c r="O214" s="209">
        <f t="shared" si="51"/>
      </c>
      <c r="P214" s="209">
        <f t="shared" si="51"/>
      </c>
      <c r="Q214" s="190"/>
      <c r="R214" s="193">
        <f t="shared" si="59"/>
      </c>
      <c r="S214" s="190"/>
      <c r="T214" s="47">
        <f t="shared" si="60"/>
      </c>
      <c r="U214" s="47">
        <f>IF(E214="","",+T214*tab!H$87)</f>
      </c>
      <c r="V214" s="46">
        <f t="shared" si="52"/>
        <v>0</v>
      </c>
      <c r="W214" s="49"/>
      <c r="X214" s="76">
        <f>IF(P214="",0,M214*12*P214*IF(OR(J214&lt;=8,J214="ID1",J214="ID2",J214="ID3"),1+tab!H$89,1+tab!G$89))</f>
        <v>0</v>
      </c>
      <c r="Y214" s="190"/>
      <c r="Z214" s="158">
        <f t="shared" si="53"/>
        <v>0</v>
      </c>
      <c r="AA214" s="76">
        <f t="shared" si="54"/>
        <v>0</v>
      </c>
      <c r="AB214" s="49"/>
      <c r="AC214" s="47">
        <f t="shared" si="55"/>
        <v>0</v>
      </c>
      <c r="AD214" s="49"/>
      <c r="AE214" s="10"/>
      <c r="AF214" s="10"/>
      <c r="AG214" s="10"/>
      <c r="AH214" s="210"/>
      <c r="AI214" s="10"/>
      <c r="AJ214" s="187"/>
      <c r="AK214" s="194"/>
      <c r="AQ214" s="211"/>
      <c r="AS214" s="187"/>
      <c r="AT214" s="194"/>
    </row>
    <row r="215" spans="2:46" s="185" customFormat="1" ht="12.75" customHeight="1">
      <c r="B215" s="10"/>
      <c r="C215" s="23"/>
      <c r="D215" s="157">
        <f t="shared" si="48"/>
      </c>
      <c r="E215" s="157">
        <f t="shared" si="48"/>
      </c>
      <c r="F215" s="157">
        <f t="shared" si="48"/>
      </c>
      <c r="G215" s="157">
        <f t="shared" si="56"/>
      </c>
      <c r="H215" s="225">
        <f t="shared" si="57"/>
      </c>
      <c r="I215" s="206"/>
      <c r="J215" s="207">
        <f t="shared" si="58"/>
      </c>
      <c r="K215" s="208">
        <f t="shared" si="49"/>
      </c>
      <c r="L215" s="206"/>
      <c r="M215" s="47">
        <f t="shared" si="50"/>
      </c>
      <c r="N215" s="190"/>
      <c r="O215" s="209">
        <f t="shared" si="51"/>
      </c>
      <c r="P215" s="209">
        <f t="shared" si="51"/>
      </c>
      <c r="Q215" s="190"/>
      <c r="R215" s="193">
        <f t="shared" si="59"/>
      </c>
      <c r="S215" s="190"/>
      <c r="T215" s="47">
        <f t="shared" si="60"/>
      </c>
      <c r="U215" s="47">
        <f>IF(E215="","",+T215*tab!H$87)</f>
      </c>
      <c r="V215" s="46">
        <f t="shared" si="52"/>
        <v>0</v>
      </c>
      <c r="W215" s="49"/>
      <c r="X215" s="76">
        <f>IF(P215="",0,M215*12*P215*IF(OR(J215&lt;=8,J215="ID1",J215="ID2",J215="ID3"),1+tab!H$89,1+tab!G$89))</f>
        <v>0</v>
      </c>
      <c r="Y215" s="190"/>
      <c r="Z215" s="158">
        <f t="shared" si="53"/>
        <v>0</v>
      </c>
      <c r="AA215" s="76">
        <f t="shared" si="54"/>
        <v>0</v>
      </c>
      <c r="AB215" s="49"/>
      <c r="AC215" s="47">
        <f t="shared" si="55"/>
        <v>0</v>
      </c>
      <c r="AD215" s="49"/>
      <c r="AE215" s="10"/>
      <c r="AF215" s="10"/>
      <c r="AG215" s="10"/>
      <c r="AH215" s="210"/>
      <c r="AI215" s="10"/>
      <c r="AJ215" s="187"/>
      <c r="AK215" s="194"/>
      <c r="AQ215" s="211"/>
      <c r="AS215" s="187"/>
      <c r="AT215" s="194"/>
    </row>
    <row r="216" spans="2:46" s="185" customFormat="1" ht="12.75" customHeight="1">
      <c r="B216" s="10"/>
      <c r="C216" s="23"/>
      <c r="D216" s="157">
        <f t="shared" si="48"/>
      </c>
      <c r="E216" s="157">
        <f t="shared" si="48"/>
      </c>
      <c r="F216" s="157">
        <f t="shared" si="48"/>
      </c>
      <c r="G216" s="157">
        <f t="shared" si="56"/>
      </c>
      <c r="H216" s="225">
        <f t="shared" si="57"/>
      </c>
      <c r="I216" s="206"/>
      <c r="J216" s="207">
        <f t="shared" si="58"/>
      </c>
      <c r="K216" s="208">
        <f t="shared" si="49"/>
      </c>
      <c r="L216" s="206"/>
      <c r="M216" s="47">
        <f t="shared" si="50"/>
      </c>
      <c r="N216" s="190"/>
      <c r="O216" s="209">
        <f t="shared" si="51"/>
      </c>
      <c r="P216" s="209">
        <f t="shared" si="51"/>
      </c>
      <c r="Q216" s="190"/>
      <c r="R216" s="193">
        <f t="shared" si="59"/>
      </c>
      <c r="S216" s="190"/>
      <c r="T216" s="47">
        <f t="shared" si="60"/>
      </c>
      <c r="U216" s="47">
        <f>IF(E216="","",+T216*tab!H$87)</f>
      </c>
      <c r="V216" s="46">
        <f t="shared" si="52"/>
        <v>0</v>
      </c>
      <c r="W216" s="49"/>
      <c r="X216" s="76">
        <f>IF(P216="",0,M216*12*P216*IF(OR(J216&lt;=8,J216="ID1",J216="ID2",J216="ID3"),1+tab!H$89,1+tab!G$89))</f>
        <v>0</v>
      </c>
      <c r="Y216" s="190"/>
      <c r="Z216" s="158">
        <f t="shared" si="53"/>
        <v>0</v>
      </c>
      <c r="AA216" s="76">
        <f t="shared" si="54"/>
        <v>0</v>
      </c>
      <c r="AB216" s="49"/>
      <c r="AC216" s="47">
        <f t="shared" si="55"/>
        <v>0</v>
      </c>
      <c r="AD216" s="49"/>
      <c r="AE216" s="10"/>
      <c r="AF216" s="10"/>
      <c r="AG216" s="10"/>
      <c r="AH216" s="210"/>
      <c r="AI216" s="10"/>
      <c r="AJ216" s="187"/>
      <c r="AK216" s="194"/>
      <c r="AQ216" s="211"/>
      <c r="AS216" s="187"/>
      <c r="AT216" s="194"/>
    </row>
    <row r="217" spans="2:46" s="185" customFormat="1" ht="12.75" customHeight="1">
      <c r="B217" s="10"/>
      <c r="C217" s="23"/>
      <c r="D217" s="157">
        <f t="shared" si="48"/>
      </c>
      <c r="E217" s="157">
        <f t="shared" si="48"/>
      </c>
      <c r="F217" s="157">
        <f t="shared" si="48"/>
      </c>
      <c r="G217" s="157">
        <f t="shared" si="56"/>
      </c>
      <c r="H217" s="225">
        <f t="shared" si="57"/>
      </c>
      <c r="I217" s="206"/>
      <c r="J217" s="207">
        <f t="shared" si="58"/>
      </c>
      <c r="K217" s="208">
        <f t="shared" si="49"/>
      </c>
      <c r="L217" s="206"/>
      <c r="M217" s="47">
        <f t="shared" si="50"/>
      </c>
      <c r="N217" s="190"/>
      <c r="O217" s="209">
        <f t="shared" si="51"/>
      </c>
      <c r="P217" s="209">
        <f t="shared" si="51"/>
      </c>
      <c r="Q217" s="190"/>
      <c r="R217" s="193">
        <f t="shared" si="59"/>
      </c>
      <c r="S217" s="190"/>
      <c r="T217" s="47">
        <f t="shared" si="60"/>
      </c>
      <c r="U217" s="47">
        <f>IF(E217="","",+T217*tab!H$87)</f>
      </c>
      <c r="V217" s="46">
        <f t="shared" si="52"/>
        <v>0</v>
      </c>
      <c r="W217" s="49"/>
      <c r="X217" s="76">
        <f>IF(P217="",0,M217*12*P217*IF(OR(J217&lt;=8,J217="ID1",J217="ID2",J217="ID3"),1+tab!H$89,1+tab!G$89))</f>
        <v>0</v>
      </c>
      <c r="Y217" s="190"/>
      <c r="Z217" s="158">
        <f t="shared" si="53"/>
        <v>0</v>
      </c>
      <c r="AA217" s="76">
        <f t="shared" si="54"/>
        <v>0</v>
      </c>
      <c r="AB217" s="49"/>
      <c r="AC217" s="47">
        <f t="shared" si="55"/>
        <v>0</v>
      </c>
      <c r="AD217" s="49"/>
      <c r="AE217" s="10"/>
      <c r="AF217" s="10"/>
      <c r="AG217" s="10"/>
      <c r="AH217" s="210"/>
      <c r="AI217" s="10"/>
      <c r="AJ217" s="187"/>
      <c r="AK217" s="194"/>
      <c r="AQ217" s="211"/>
      <c r="AS217" s="187"/>
      <c r="AT217" s="194"/>
    </row>
    <row r="218" spans="2:46" s="185" customFormat="1" ht="12.75" customHeight="1">
      <c r="B218" s="10"/>
      <c r="C218" s="23"/>
      <c r="D218" s="157">
        <f t="shared" si="48"/>
      </c>
      <c r="E218" s="157">
        <f t="shared" si="48"/>
      </c>
      <c r="F218" s="157">
        <f t="shared" si="48"/>
      </c>
      <c r="G218" s="157">
        <f t="shared" si="56"/>
      </c>
      <c r="H218" s="225">
        <f t="shared" si="57"/>
      </c>
      <c r="I218" s="206"/>
      <c r="J218" s="207">
        <f t="shared" si="58"/>
      </c>
      <c r="K218" s="208">
        <f t="shared" si="49"/>
      </c>
      <c r="L218" s="206"/>
      <c r="M218" s="47">
        <f t="shared" si="50"/>
      </c>
      <c r="N218" s="190"/>
      <c r="O218" s="209">
        <f t="shared" si="51"/>
      </c>
      <c r="P218" s="209">
        <f t="shared" si="51"/>
      </c>
      <c r="Q218" s="190"/>
      <c r="R218" s="193">
        <f t="shared" si="59"/>
      </c>
      <c r="S218" s="190"/>
      <c r="T218" s="47">
        <f t="shared" si="60"/>
      </c>
      <c r="U218" s="47">
        <f>IF(E218="","",+T218*tab!H$87)</f>
      </c>
      <c r="V218" s="46">
        <f t="shared" si="52"/>
        <v>0</v>
      </c>
      <c r="W218" s="49"/>
      <c r="X218" s="76">
        <f>IF(P218="",0,M218*12*P218*IF(OR(J218&lt;=8,J218="ID1",J218="ID2",J218="ID3"),1+tab!H$89,1+tab!G$89))</f>
        <v>0</v>
      </c>
      <c r="Y218" s="190"/>
      <c r="Z218" s="158">
        <f t="shared" si="53"/>
        <v>0</v>
      </c>
      <c r="AA218" s="76">
        <f t="shared" si="54"/>
        <v>0</v>
      </c>
      <c r="AB218" s="49"/>
      <c r="AC218" s="47">
        <f t="shared" si="55"/>
        <v>0</v>
      </c>
      <c r="AD218" s="49"/>
      <c r="AE218" s="10"/>
      <c r="AF218" s="10"/>
      <c r="AG218" s="10"/>
      <c r="AH218" s="210"/>
      <c r="AI218" s="10"/>
      <c r="AJ218" s="187"/>
      <c r="AK218" s="194"/>
      <c r="AQ218" s="211"/>
      <c r="AS218" s="187"/>
      <c r="AT218" s="194"/>
    </row>
    <row r="219" spans="2:46" s="185" customFormat="1" ht="12.75" customHeight="1">
      <c r="B219" s="10"/>
      <c r="C219" s="23"/>
      <c r="D219" s="157">
        <f t="shared" si="48"/>
      </c>
      <c r="E219" s="157">
        <f t="shared" si="48"/>
      </c>
      <c r="F219" s="157">
        <f t="shared" si="48"/>
      </c>
      <c r="G219" s="157">
        <f t="shared" si="56"/>
      </c>
      <c r="H219" s="225">
        <f t="shared" si="57"/>
      </c>
      <c r="I219" s="206"/>
      <c r="J219" s="207">
        <f t="shared" si="58"/>
      </c>
      <c r="K219" s="208">
        <f t="shared" si="49"/>
      </c>
      <c r="L219" s="206"/>
      <c r="M219" s="47">
        <f t="shared" si="50"/>
      </c>
      <c r="N219" s="190"/>
      <c r="O219" s="209">
        <f t="shared" si="51"/>
      </c>
      <c r="P219" s="209">
        <f t="shared" si="51"/>
      </c>
      <c r="Q219" s="190"/>
      <c r="R219" s="193">
        <f t="shared" si="59"/>
      </c>
      <c r="S219" s="190"/>
      <c r="T219" s="47">
        <f t="shared" si="60"/>
      </c>
      <c r="U219" s="47">
        <f>IF(E219="","",+T219*tab!H$87)</f>
      </c>
      <c r="V219" s="46">
        <f t="shared" si="52"/>
        <v>0</v>
      </c>
      <c r="W219" s="49"/>
      <c r="X219" s="76">
        <f>IF(P219="",0,M219*12*P219*IF(OR(J219&lt;=8,J219="ID1",J219="ID2",J219="ID3"),1+tab!H$89,1+tab!G$89))</f>
        <v>0</v>
      </c>
      <c r="Y219" s="190"/>
      <c r="Z219" s="158">
        <f t="shared" si="53"/>
        <v>0</v>
      </c>
      <c r="AA219" s="76">
        <f t="shared" si="54"/>
        <v>0</v>
      </c>
      <c r="AB219" s="49"/>
      <c r="AC219" s="47">
        <f t="shared" si="55"/>
        <v>0</v>
      </c>
      <c r="AD219" s="49"/>
      <c r="AE219" s="10"/>
      <c r="AF219" s="10"/>
      <c r="AG219" s="10"/>
      <c r="AH219" s="210"/>
      <c r="AI219" s="10"/>
      <c r="AJ219" s="187"/>
      <c r="AK219" s="194"/>
      <c r="AQ219" s="211"/>
      <c r="AS219" s="187"/>
      <c r="AT219" s="194"/>
    </row>
    <row r="220" spans="2:46" s="185" customFormat="1" ht="12.75" customHeight="1">
      <c r="B220" s="10"/>
      <c r="C220" s="23"/>
      <c r="D220" s="157">
        <f t="shared" si="48"/>
      </c>
      <c r="E220" s="157">
        <f t="shared" si="48"/>
      </c>
      <c r="F220" s="157">
        <f t="shared" si="48"/>
      </c>
      <c r="G220" s="157">
        <f t="shared" si="56"/>
      </c>
      <c r="H220" s="225">
        <f t="shared" si="57"/>
      </c>
      <c r="I220" s="206"/>
      <c r="J220" s="207">
        <f t="shared" si="58"/>
      </c>
      <c r="K220" s="208">
        <f t="shared" si="49"/>
      </c>
      <c r="L220" s="206"/>
      <c r="M220" s="47">
        <f t="shared" si="50"/>
      </c>
      <c r="N220" s="190"/>
      <c r="O220" s="209">
        <f t="shared" si="51"/>
      </c>
      <c r="P220" s="209">
        <f t="shared" si="51"/>
      </c>
      <c r="Q220" s="190"/>
      <c r="R220" s="193">
        <f t="shared" si="59"/>
      </c>
      <c r="S220" s="190"/>
      <c r="T220" s="47">
        <f t="shared" si="60"/>
      </c>
      <c r="U220" s="47">
        <f>IF(E220="","",+T220*tab!H$87)</f>
      </c>
      <c r="V220" s="46">
        <f t="shared" si="52"/>
        <v>0</v>
      </c>
      <c r="W220" s="49"/>
      <c r="X220" s="76">
        <f>IF(P220="",0,M220*12*P220*IF(OR(J220&lt;=8,J220="ID1",J220="ID2",J220="ID3"),1+tab!H$89,1+tab!G$89))</f>
        <v>0</v>
      </c>
      <c r="Y220" s="190"/>
      <c r="Z220" s="158">
        <f t="shared" si="53"/>
        <v>0</v>
      </c>
      <c r="AA220" s="76">
        <f t="shared" si="54"/>
        <v>0</v>
      </c>
      <c r="AB220" s="49"/>
      <c r="AC220" s="47">
        <f t="shared" si="55"/>
        <v>0</v>
      </c>
      <c r="AD220" s="49"/>
      <c r="AE220" s="10"/>
      <c r="AF220" s="10"/>
      <c r="AG220" s="10"/>
      <c r="AH220" s="210"/>
      <c r="AI220" s="10"/>
      <c r="AJ220" s="187"/>
      <c r="AK220" s="194"/>
      <c r="AQ220" s="211"/>
      <c r="AS220" s="187"/>
      <c r="AT220" s="194"/>
    </row>
    <row r="221" spans="2:46" s="185" customFormat="1" ht="12.75" customHeight="1">
      <c r="B221" s="10"/>
      <c r="C221" s="23"/>
      <c r="D221" s="157">
        <f t="shared" si="48"/>
      </c>
      <c r="E221" s="157">
        <f t="shared" si="48"/>
      </c>
      <c r="F221" s="157">
        <f t="shared" si="48"/>
      </c>
      <c r="G221" s="157">
        <f t="shared" si="56"/>
      </c>
      <c r="H221" s="225">
        <f t="shared" si="57"/>
      </c>
      <c r="I221" s="206"/>
      <c r="J221" s="207">
        <f t="shared" si="58"/>
      </c>
      <c r="K221" s="208">
        <f t="shared" si="49"/>
      </c>
      <c r="L221" s="206"/>
      <c r="M221" s="47">
        <f t="shared" si="50"/>
      </c>
      <c r="N221" s="190"/>
      <c r="O221" s="209">
        <f t="shared" si="51"/>
      </c>
      <c r="P221" s="209">
        <f t="shared" si="51"/>
      </c>
      <c r="Q221" s="190"/>
      <c r="R221" s="193">
        <f t="shared" si="59"/>
      </c>
      <c r="S221" s="190"/>
      <c r="T221" s="47">
        <f t="shared" si="60"/>
      </c>
      <c r="U221" s="47">
        <f>IF(E221="","",+T221*tab!H$87)</f>
      </c>
      <c r="V221" s="46">
        <f t="shared" si="52"/>
        <v>0</v>
      </c>
      <c r="W221" s="49"/>
      <c r="X221" s="76">
        <f>IF(P221="",0,M221*12*P221*IF(OR(J221&lt;=8,J221="ID1",J221="ID2",J221="ID3"),1+tab!H$89,1+tab!G$89))</f>
        <v>0</v>
      </c>
      <c r="Y221" s="190"/>
      <c r="Z221" s="158">
        <f t="shared" si="53"/>
        <v>0</v>
      </c>
      <c r="AA221" s="76">
        <f t="shared" si="54"/>
        <v>0</v>
      </c>
      <c r="AB221" s="49"/>
      <c r="AC221" s="47">
        <f t="shared" si="55"/>
        <v>0</v>
      </c>
      <c r="AD221" s="49"/>
      <c r="AE221" s="10"/>
      <c r="AF221" s="10"/>
      <c r="AG221" s="10"/>
      <c r="AH221" s="210"/>
      <c r="AI221" s="10"/>
      <c r="AJ221" s="187"/>
      <c r="AK221" s="194"/>
      <c r="AQ221" s="211"/>
      <c r="AS221" s="187"/>
      <c r="AT221" s="194"/>
    </row>
    <row r="222" spans="2:46" s="185" customFormat="1" ht="12.75" customHeight="1">
      <c r="B222" s="10"/>
      <c r="C222" s="23"/>
      <c r="D222" s="157">
        <f t="shared" si="48"/>
      </c>
      <c r="E222" s="157">
        <f t="shared" si="48"/>
      </c>
      <c r="F222" s="157">
        <f t="shared" si="48"/>
      </c>
      <c r="G222" s="157">
        <f t="shared" si="56"/>
      </c>
      <c r="H222" s="225">
        <f t="shared" si="57"/>
      </c>
      <c r="I222" s="206"/>
      <c r="J222" s="207">
        <f t="shared" si="58"/>
      </c>
      <c r="K222" s="208">
        <f t="shared" si="49"/>
      </c>
      <c r="L222" s="206"/>
      <c r="M222" s="47">
        <f t="shared" si="50"/>
      </c>
      <c r="N222" s="190"/>
      <c r="O222" s="209">
        <f t="shared" si="51"/>
      </c>
      <c r="P222" s="209">
        <f t="shared" si="51"/>
      </c>
      <c r="Q222" s="190"/>
      <c r="R222" s="193">
        <f t="shared" si="59"/>
      </c>
      <c r="S222" s="190"/>
      <c r="T222" s="47">
        <f t="shared" si="60"/>
      </c>
      <c r="U222" s="47">
        <f>IF(E222="","",+T222*tab!H$87)</f>
      </c>
      <c r="V222" s="46">
        <f t="shared" si="52"/>
        <v>0</v>
      </c>
      <c r="W222" s="49"/>
      <c r="X222" s="76">
        <f>IF(P222="",0,M222*12*P222*IF(OR(J222&lt;=8,J222="ID1",J222="ID2",J222="ID3"),1+tab!H$89,1+tab!G$89))</f>
        <v>0</v>
      </c>
      <c r="Y222" s="190"/>
      <c r="Z222" s="158">
        <f t="shared" si="53"/>
        <v>0</v>
      </c>
      <c r="AA222" s="76">
        <f t="shared" si="54"/>
        <v>0</v>
      </c>
      <c r="AB222" s="49"/>
      <c r="AC222" s="47">
        <f t="shared" si="55"/>
        <v>0</v>
      </c>
      <c r="AD222" s="49"/>
      <c r="AE222" s="10"/>
      <c r="AF222" s="10"/>
      <c r="AG222" s="10"/>
      <c r="AH222" s="210"/>
      <c r="AI222" s="10"/>
      <c r="AJ222" s="187"/>
      <c r="AK222" s="194"/>
      <c r="AQ222" s="211"/>
      <c r="AS222" s="187"/>
      <c r="AT222" s="194"/>
    </row>
    <row r="223" spans="2:46" s="185" customFormat="1" ht="12.75" customHeight="1">
      <c r="B223" s="10"/>
      <c r="C223" s="23"/>
      <c r="D223" s="157">
        <f t="shared" si="48"/>
      </c>
      <c r="E223" s="157">
        <f t="shared" si="48"/>
      </c>
      <c r="F223" s="157">
        <f t="shared" si="48"/>
      </c>
      <c r="G223" s="157">
        <f t="shared" si="56"/>
      </c>
      <c r="H223" s="225">
        <f t="shared" si="57"/>
      </c>
      <c r="I223" s="206"/>
      <c r="J223" s="207">
        <f t="shared" si="58"/>
      </c>
      <c r="K223" s="208">
        <f t="shared" si="49"/>
      </c>
      <c r="L223" s="206"/>
      <c r="M223" s="47">
        <f t="shared" si="50"/>
      </c>
      <c r="N223" s="190"/>
      <c r="O223" s="209">
        <f t="shared" si="51"/>
      </c>
      <c r="P223" s="209">
        <f t="shared" si="51"/>
      </c>
      <c r="Q223" s="190"/>
      <c r="R223" s="193">
        <f t="shared" si="59"/>
      </c>
      <c r="S223" s="190"/>
      <c r="T223" s="47">
        <f t="shared" si="60"/>
      </c>
      <c r="U223" s="47">
        <f>IF(E223="","",+T223*tab!H$87)</f>
      </c>
      <c r="V223" s="46">
        <f t="shared" si="52"/>
        <v>0</v>
      </c>
      <c r="W223" s="49"/>
      <c r="X223" s="76">
        <f>IF(P223="",0,M223*12*P223*IF(OR(J223&lt;=8,J223="ID1",J223="ID2",J223="ID3"),1+tab!H$89,1+tab!G$89))</f>
        <v>0</v>
      </c>
      <c r="Y223" s="190"/>
      <c r="Z223" s="158">
        <f t="shared" si="53"/>
        <v>0</v>
      </c>
      <c r="AA223" s="76">
        <f t="shared" si="54"/>
        <v>0</v>
      </c>
      <c r="AB223" s="49"/>
      <c r="AC223" s="47">
        <f t="shared" si="55"/>
        <v>0</v>
      </c>
      <c r="AD223" s="49"/>
      <c r="AE223" s="10"/>
      <c r="AF223" s="10"/>
      <c r="AG223" s="10"/>
      <c r="AH223" s="210"/>
      <c r="AI223" s="10"/>
      <c r="AJ223" s="187"/>
      <c r="AK223" s="194"/>
      <c r="AQ223" s="211"/>
      <c r="AS223" s="187"/>
      <c r="AT223" s="194"/>
    </row>
    <row r="224" spans="2:46" s="185" customFormat="1" ht="12.75" customHeight="1">
      <c r="B224" s="10"/>
      <c r="C224" s="23"/>
      <c r="D224" s="157">
        <f t="shared" si="48"/>
      </c>
      <c r="E224" s="157">
        <f t="shared" si="48"/>
      </c>
      <c r="F224" s="157">
        <f t="shared" si="48"/>
      </c>
      <c r="G224" s="157">
        <f t="shared" si="56"/>
      </c>
      <c r="H224" s="225">
        <f t="shared" si="57"/>
      </c>
      <c r="I224" s="206"/>
      <c r="J224" s="207">
        <f t="shared" si="58"/>
      </c>
      <c r="K224" s="208">
        <f t="shared" si="49"/>
      </c>
      <c r="L224" s="206"/>
      <c r="M224" s="47">
        <f t="shared" si="50"/>
      </c>
      <c r="N224" s="190"/>
      <c r="O224" s="209">
        <f t="shared" si="51"/>
      </c>
      <c r="P224" s="209">
        <f t="shared" si="51"/>
      </c>
      <c r="Q224" s="190"/>
      <c r="R224" s="193">
        <f t="shared" si="59"/>
      </c>
      <c r="S224" s="190"/>
      <c r="T224" s="47">
        <f t="shared" si="60"/>
      </c>
      <c r="U224" s="47">
        <f>IF(E224="","",+T224*tab!H$87)</f>
      </c>
      <c r="V224" s="46">
        <f t="shared" si="52"/>
        <v>0</v>
      </c>
      <c r="W224" s="49"/>
      <c r="X224" s="76">
        <f>IF(P224="",0,M224*12*P224*IF(OR(J224&lt;=8,J224="ID1",J224="ID2",J224="ID3"),1+tab!H$89,1+tab!G$89))</f>
        <v>0</v>
      </c>
      <c r="Y224" s="190"/>
      <c r="Z224" s="158">
        <f t="shared" si="53"/>
        <v>0</v>
      </c>
      <c r="AA224" s="76">
        <f t="shared" si="54"/>
        <v>0</v>
      </c>
      <c r="AB224" s="49"/>
      <c r="AC224" s="47">
        <f t="shared" si="55"/>
        <v>0</v>
      </c>
      <c r="AD224" s="49"/>
      <c r="AE224" s="10"/>
      <c r="AF224" s="10"/>
      <c r="AG224" s="10"/>
      <c r="AH224" s="210"/>
      <c r="AI224" s="10"/>
      <c r="AJ224" s="187"/>
      <c r="AK224" s="194"/>
      <c r="AQ224" s="211"/>
      <c r="AS224" s="187"/>
      <c r="AT224" s="194"/>
    </row>
    <row r="225" spans="2:46" s="185" customFormat="1" ht="12.75" customHeight="1">
      <c r="B225" s="10"/>
      <c r="C225" s="23"/>
      <c r="D225" s="157">
        <f t="shared" si="48"/>
      </c>
      <c r="E225" s="157">
        <f t="shared" si="48"/>
      </c>
      <c r="F225" s="157">
        <f t="shared" si="48"/>
      </c>
      <c r="G225" s="157">
        <f t="shared" si="56"/>
      </c>
      <c r="H225" s="225">
        <f t="shared" si="57"/>
      </c>
      <c r="I225" s="206"/>
      <c r="J225" s="207">
        <f t="shared" si="58"/>
      </c>
      <c r="K225" s="208">
        <f t="shared" si="49"/>
      </c>
      <c r="L225" s="206"/>
      <c r="M225" s="47">
        <f t="shared" si="50"/>
      </c>
      <c r="N225" s="190"/>
      <c r="O225" s="209">
        <f t="shared" si="51"/>
      </c>
      <c r="P225" s="209">
        <f t="shared" si="51"/>
      </c>
      <c r="Q225" s="190"/>
      <c r="R225" s="193">
        <f t="shared" si="59"/>
      </c>
      <c r="S225" s="190"/>
      <c r="T225" s="47">
        <f t="shared" si="60"/>
      </c>
      <c r="U225" s="47">
        <f>IF(E225="","",+T225*tab!H$87)</f>
      </c>
      <c r="V225" s="46">
        <f t="shared" si="52"/>
        <v>0</v>
      </c>
      <c r="W225" s="49"/>
      <c r="X225" s="76">
        <f>IF(P225="",0,M225*12*P225*IF(OR(J225&lt;=8,J225="ID1",J225="ID2",J225="ID3"),1+tab!H$89,1+tab!G$89))</f>
        <v>0</v>
      </c>
      <c r="Y225" s="190"/>
      <c r="Z225" s="158">
        <f t="shared" si="53"/>
        <v>0</v>
      </c>
      <c r="AA225" s="76">
        <f t="shared" si="54"/>
        <v>0</v>
      </c>
      <c r="AB225" s="49"/>
      <c r="AC225" s="47">
        <f t="shared" si="55"/>
        <v>0</v>
      </c>
      <c r="AD225" s="49"/>
      <c r="AE225" s="10"/>
      <c r="AF225" s="10"/>
      <c r="AG225" s="10"/>
      <c r="AH225" s="210"/>
      <c r="AI225" s="10"/>
      <c r="AJ225" s="187"/>
      <c r="AK225" s="194"/>
      <c r="AQ225" s="211"/>
      <c r="AS225" s="187"/>
      <c r="AT225" s="194"/>
    </row>
    <row r="226" spans="2:46" s="185" customFormat="1" ht="12.75" customHeight="1">
      <c r="B226" s="10"/>
      <c r="C226" s="23"/>
      <c r="D226" s="157">
        <f t="shared" si="48"/>
      </c>
      <c r="E226" s="157">
        <f t="shared" si="48"/>
      </c>
      <c r="F226" s="157">
        <f t="shared" si="48"/>
      </c>
      <c r="G226" s="157">
        <f t="shared" si="56"/>
      </c>
      <c r="H226" s="225">
        <f t="shared" si="57"/>
      </c>
      <c r="I226" s="206"/>
      <c r="J226" s="207">
        <f t="shared" si="58"/>
      </c>
      <c r="K226" s="208">
        <f t="shared" si="49"/>
      </c>
      <c r="L226" s="206"/>
      <c r="M226" s="47">
        <f t="shared" si="50"/>
      </c>
      <c r="N226" s="190"/>
      <c r="O226" s="209">
        <f t="shared" si="51"/>
      </c>
      <c r="P226" s="209">
        <f t="shared" si="51"/>
      </c>
      <c r="Q226" s="190"/>
      <c r="R226" s="193">
        <f t="shared" si="59"/>
      </c>
      <c r="S226" s="190"/>
      <c r="T226" s="47">
        <f t="shared" si="60"/>
      </c>
      <c r="U226" s="47">
        <f>IF(E226="","",+T226*tab!H$87)</f>
      </c>
      <c r="V226" s="46">
        <f t="shared" si="52"/>
        <v>0</v>
      </c>
      <c r="W226" s="49"/>
      <c r="X226" s="76">
        <f>IF(P226="",0,M226*12*P226*IF(OR(J226&lt;=8,J226="ID1",J226="ID2",J226="ID3"),1+tab!H$89,1+tab!G$89))</f>
        <v>0</v>
      </c>
      <c r="Y226" s="190"/>
      <c r="Z226" s="158">
        <f t="shared" si="53"/>
        <v>0</v>
      </c>
      <c r="AA226" s="76">
        <f t="shared" si="54"/>
        <v>0</v>
      </c>
      <c r="AB226" s="49"/>
      <c r="AC226" s="47">
        <f t="shared" si="55"/>
        <v>0</v>
      </c>
      <c r="AD226" s="49"/>
      <c r="AE226" s="10"/>
      <c r="AF226" s="10"/>
      <c r="AG226" s="10"/>
      <c r="AH226" s="210"/>
      <c r="AI226" s="10"/>
      <c r="AJ226" s="187"/>
      <c r="AK226" s="194"/>
      <c r="AQ226" s="211"/>
      <c r="AS226" s="187"/>
      <c r="AT226" s="194"/>
    </row>
    <row r="227" spans="2:46" s="185" customFormat="1" ht="12.75" customHeight="1">
      <c r="B227" s="10"/>
      <c r="C227" s="23"/>
      <c r="D227" s="157">
        <f t="shared" si="48"/>
      </c>
      <c r="E227" s="157">
        <f t="shared" si="48"/>
      </c>
      <c r="F227" s="157">
        <f t="shared" si="48"/>
      </c>
      <c r="G227" s="157">
        <f t="shared" si="56"/>
      </c>
      <c r="H227" s="225">
        <f t="shared" si="57"/>
      </c>
      <c r="I227" s="206"/>
      <c r="J227" s="207">
        <f t="shared" si="58"/>
      </c>
      <c r="K227" s="208">
        <f t="shared" si="49"/>
      </c>
      <c r="L227" s="206"/>
      <c r="M227" s="47">
        <f t="shared" si="50"/>
      </c>
      <c r="N227" s="190"/>
      <c r="O227" s="209">
        <f t="shared" si="51"/>
      </c>
      <c r="P227" s="209">
        <f t="shared" si="51"/>
      </c>
      <c r="Q227" s="190"/>
      <c r="R227" s="193">
        <f t="shared" si="59"/>
      </c>
      <c r="S227" s="190"/>
      <c r="T227" s="47">
        <f t="shared" si="60"/>
      </c>
      <c r="U227" s="47">
        <f>IF(E227="","",+T227*tab!H$87)</f>
      </c>
      <c r="V227" s="46">
        <f t="shared" si="52"/>
        <v>0</v>
      </c>
      <c r="W227" s="49"/>
      <c r="X227" s="76">
        <f>IF(P227="",0,M227*12*P227*IF(OR(J227&lt;=8,J227="ID1",J227="ID2",J227="ID3"),1+tab!H$89,1+tab!G$89))</f>
        <v>0</v>
      </c>
      <c r="Y227" s="190"/>
      <c r="Z227" s="158">
        <f t="shared" si="53"/>
        <v>0</v>
      </c>
      <c r="AA227" s="76">
        <f t="shared" si="54"/>
        <v>0</v>
      </c>
      <c r="AB227" s="49"/>
      <c r="AC227" s="47">
        <f t="shared" si="55"/>
        <v>0</v>
      </c>
      <c r="AD227" s="49"/>
      <c r="AE227" s="10"/>
      <c r="AF227" s="10"/>
      <c r="AG227" s="10"/>
      <c r="AH227" s="210"/>
      <c r="AI227" s="10"/>
      <c r="AJ227" s="187"/>
      <c r="AK227" s="194"/>
      <c r="AQ227" s="211"/>
      <c r="AS227" s="187"/>
      <c r="AT227" s="194"/>
    </row>
    <row r="228" spans="2:46" s="185" customFormat="1" ht="12.75" customHeight="1">
      <c r="B228" s="10"/>
      <c r="C228" s="23"/>
      <c r="D228" s="157">
        <f t="shared" si="48"/>
      </c>
      <c r="E228" s="157">
        <f t="shared" si="48"/>
      </c>
      <c r="F228" s="157">
        <f t="shared" si="48"/>
      </c>
      <c r="G228" s="157">
        <f t="shared" si="56"/>
      </c>
      <c r="H228" s="225">
        <f t="shared" si="57"/>
      </c>
      <c r="I228" s="206"/>
      <c r="J228" s="207">
        <f t="shared" si="58"/>
      </c>
      <c r="K228" s="208">
        <f t="shared" si="49"/>
      </c>
      <c r="L228" s="206"/>
      <c r="M228" s="47">
        <f t="shared" si="50"/>
      </c>
      <c r="N228" s="190"/>
      <c r="O228" s="209">
        <f t="shared" si="51"/>
      </c>
      <c r="P228" s="209">
        <f t="shared" si="51"/>
      </c>
      <c r="Q228" s="190"/>
      <c r="R228" s="193">
        <f t="shared" si="59"/>
      </c>
      <c r="S228" s="190"/>
      <c r="T228" s="47">
        <f t="shared" si="60"/>
      </c>
      <c r="U228" s="47">
        <f>IF(E228="","",+T228*tab!H$87)</f>
      </c>
      <c r="V228" s="46">
        <f t="shared" si="52"/>
        <v>0</v>
      </c>
      <c r="W228" s="49"/>
      <c r="X228" s="76">
        <f>IF(P228="",0,M228*12*P228*IF(OR(J228&lt;=8,J228="ID1",J228="ID2",J228="ID3"),1+tab!H$89,1+tab!G$89))</f>
        <v>0</v>
      </c>
      <c r="Y228" s="190"/>
      <c r="Z228" s="158">
        <f t="shared" si="53"/>
        <v>0</v>
      </c>
      <c r="AA228" s="76">
        <f t="shared" si="54"/>
        <v>0</v>
      </c>
      <c r="AB228" s="49"/>
      <c r="AC228" s="47">
        <f t="shared" si="55"/>
        <v>0</v>
      </c>
      <c r="AD228" s="49"/>
      <c r="AE228" s="10"/>
      <c r="AF228" s="10"/>
      <c r="AG228" s="10"/>
      <c r="AH228" s="210"/>
      <c r="AI228" s="10"/>
      <c r="AJ228" s="187"/>
      <c r="AK228" s="194"/>
      <c r="AQ228" s="211"/>
      <c r="AS228" s="187"/>
      <c r="AT228" s="194"/>
    </row>
    <row r="229" spans="2:46" s="185" customFormat="1" ht="12.75" customHeight="1">
      <c r="B229" s="10"/>
      <c r="C229" s="23"/>
      <c r="D229" s="157">
        <f t="shared" si="48"/>
      </c>
      <c r="E229" s="157">
        <f t="shared" si="48"/>
      </c>
      <c r="F229" s="157">
        <f t="shared" si="48"/>
      </c>
      <c r="G229" s="157">
        <f t="shared" si="56"/>
      </c>
      <c r="H229" s="225">
        <f t="shared" si="57"/>
      </c>
      <c r="I229" s="206"/>
      <c r="J229" s="207">
        <f t="shared" si="58"/>
      </c>
      <c r="K229" s="208">
        <f t="shared" si="49"/>
      </c>
      <c r="L229" s="206"/>
      <c r="M229" s="47">
        <f t="shared" si="50"/>
      </c>
      <c r="N229" s="190"/>
      <c r="O229" s="209">
        <f t="shared" si="51"/>
      </c>
      <c r="P229" s="209">
        <f t="shared" si="51"/>
      </c>
      <c r="Q229" s="190"/>
      <c r="R229" s="193">
        <f t="shared" si="59"/>
      </c>
      <c r="S229" s="190"/>
      <c r="T229" s="47">
        <f t="shared" si="60"/>
      </c>
      <c r="U229" s="47">
        <f>IF(E229="","",+T229*tab!H$87)</f>
      </c>
      <c r="V229" s="46">
        <f t="shared" si="52"/>
        <v>0</v>
      </c>
      <c r="W229" s="49"/>
      <c r="X229" s="76">
        <f>IF(P229="",0,M229*12*P229*IF(OR(J229&lt;=8,J229="ID1",J229="ID2",J229="ID3"),1+tab!H$89,1+tab!G$89))</f>
        <v>0</v>
      </c>
      <c r="Y229" s="190"/>
      <c r="Z229" s="158">
        <f t="shared" si="53"/>
        <v>0</v>
      </c>
      <c r="AA229" s="76">
        <f t="shared" si="54"/>
        <v>0</v>
      </c>
      <c r="AB229" s="49"/>
      <c r="AC229" s="47">
        <f t="shared" si="55"/>
        <v>0</v>
      </c>
      <c r="AD229" s="49"/>
      <c r="AE229" s="10"/>
      <c r="AF229" s="10"/>
      <c r="AG229" s="10"/>
      <c r="AH229" s="210"/>
      <c r="AI229" s="10"/>
      <c r="AJ229" s="187"/>
      <c r="AK229" s="194"/>
      <c r="AQ229" s="211"/>
      <c r="AS229" s="187"/>
      <c r="AT229" s="194"/>
    </row>
    <row r="230" spans="2:46" s="185" customFormat="1" ht="12.75" customHeight="1">
      <c r="B230" s="10"/>
      <c r="C230" s="23"/>
      <c r="D230" s="157">
        <f aca="true" t="shared" si="61" ref="D230:F249">IF(D166=0,"",D166)</f>
      </c>
      <c r="E230" s="157">
        <f t="shared" si="61"/>
      </c>
      <c r="F230" s="157">
        <f t="shared" si="61"/>
      </c>
      <c r="G230" s="157">
        <f t="shared" si="56"/>
      </c>
      <c r="H230" s="225">
        <f t="shared" si="57"/>
      </c>
      <c r="I230" s="206"/>
      <c r="J230" s="207">
        <f t="shared" si="58"/>
      </c>
      <c r="K230" s="208">
        <f t="shared" si="49"/>
      </c>
      <c r="L230" s="206"/>
      <c r="M230" s="47">
        <f t="shared" si="50"/>
      </c>
      <c r="N230" s="190"/>
      <c r="O230" s="209">
        <f aca="true" t="shared" si="62" ref="O230:P249">IF(O166="","",O166)</f>
      </c>
      <c r="P230" s="209">
        <f t="shared" si="62"/>
      </c>
      <c r="Q230" s="190"/>
      <c r="R230" s="193">
        <f t="shared" si="59"/>
      </c>
      <c r="S230" s="190"/>
      <c r="T230" s="47">
        <f t="shared" si="60"/>
      </c>
      <c r="U230" s="47">
        <f>IF(E230="","",+T230*tab!H$87)</f>
      </c>
      <c r="V230" s="46">
        <f t="shared" si="52"/>
        <v>0</v>
      </c>
      <c r="W230" s="49"/>
      <c r="X230" s="76">
        <f>IF(P230="",0,M230*12*P230*IF(OR(J230&lt;=8,J230="ID1",J230="ID2",J230="ID3"),1+tab!H$89,1+tab!G$89))</f>
        <v>0</v>
      </c>
      <c r="Y230" s="190"/>
      <c r="Z230" s="158">
        <f t="shared" si="53"/>
        <v>0</v>
      </c>
      <c r="AA230" s="76">
        <f t="shared" si="54"/>
        <v>0</v>
      </c>
      <c r="AB230" s="49"/>
      <c r="AC230" s="47">
        <f t="shared" si="55"/>
        <v>0</v>
      </c>
      <c r="AD230" s="49"/>
      <c r="AE230" s="10"/>
      <c r="AF230" s="10"/>
      <c r="AG230" s="10"/>
      <c r="AH230" s="210"/>
      <c r="AI230" s="10"/>
      <c r="AJ230" s="187"/>
      <c r="AK230" s="194"/>
      <c r="AQ230" s="211"/>
      <c r="AS230" s="187"/>
      <c r="AT230" s="194"/>
    </row>
    <row r="231" spans="2:46" s="185" customFormat="1" ht="12.75" customHeight="1">
      <c r="B231" s="10"/>
      <c r="C231" s="23"/>
      <c r="D231" s="157">
        <f t="shared" si="61"/>
      </c>
      <c r="E231" s="157">
        <f t="shared" si="61"/>
      </c>
      <c r="F231" s="157">
        <f t="shared" si="61"/>
      </c>
      <c r="G231" s="157">
        <f t="shared" si="56"/>
      </c>
      <c r="H231" s="225">
        <f t="shared" si="57"/>
      </c>
      <c r="I231" s="206"/>
      <c r="J231" s="207">
        <f t="shared" si="58"/>
      </c>
      <c r="K231" s="208">
        <f t="shared" si="49"/>
      </c>
      <c r="L231" s="206"/>
      <c r="M231" s="47">
        <f t="shared" si="50"/>
      </c>
      <c r="N231" s="190"/>
      <c r="O231" s="209">
        <f t="shared" si="62"/>
      </c>
      <c r="P231" s="209">
        <f t="shared" si="62"/>
      </c>
      <c r="Q231" s="190"/>
      <c r="R231" s="193">
        <f t="shared" si="59"/>
      </c>
      <c r="S231" s="190"/>
      <c r="T231" s="47">
        <f t="shared" si="60"/>
      </c>
      <c r="U231" s="47">
        <f>IF(E231="","",+T231*tab!H$87)</f>
      </c>
      <c r="V231" s="46">
        <f t="shared" si="52"/>
        <v>0</v>
      </c>
      <c r="W231" s="49"/>
      <c r="X231" s="76">
        <f>IF(P231="",0,M231*12*P231*IF(OR(J231&lt;=8,J231="ID1",J231="ID2",J231="ID3"),1+tab!H$89,1+tab!G$89))</f>
        <v>0</v>
      </c>
      <c r="Y231" s="190"/>
      <c r="Z231" s="158">
        <f t="shared" si="53"/>
        <v>0</v>
      </c>
      <c r="AA231" s="76">
        <f t="shared" si="54"/>
        <v>0</v>
      </c>
      <c r="AB231" s="49"/>
      <c r="AC231" s="47">
        <f t="shared" si="55"/>
        <v>0</v>
      </c>
      <c r="AD231" s="49"/>
      <c r="AE231" s="10"/>
      <c r="AF231" s="10"/>
      <c r="AG231" s="10"/>
      <c r="AH231" s="210"/>
      <c r="AI231" s="10"/>
      <c r="AJ231" s="187"/>
      <c r="AK231" s="194"/>
      <c r="AQ231" s="211"/>
      <c r="AS231" s="187"/>
      <c r="AT231" s="194"/>
    </row>
    <row r="232" spans="2:46" s="185" customFormat="1" ht="12.75" customHeight="1">
      <c r="B232" s="10"/>
      <c r="C232" s="23"/>
      <c r="D232" s="157">
        <f t="shared" si="61"/>
      </c>
      <c r="E232" s="157">
        <f t="shared" si="61"/>
      </c>
      <c r="F232" s="157">
        <f t="shared" si="61"/>
      </c>
      <c r="G232" s="157">
        <f t="shared" si="56"/>
      </c>
      <c r="H232" s="225">
        <f t="shared" si="57"/>
      </c>
      <c r="I232" s="206"/>
      <c r="J232" s="207">
        <f t="shared" si="58"/>
      </c>
      <c r="K232" s="208">
        <f t="shared" si="49"/>
      </c>
      <c r="L232" s="206"/>
      <c r="M232" s="47">
        <f t="shared" si="50"/>
      </c>
      <c r="N232" s="190"/>
      <c r="O232" s="209">
        <f t="shared" si="62"/>
      </c>
      <c r="P232" s="209">
        <f t="shared" si="62"/>
      </c>
      <c r="Q232" s="190"/>
      <c r="R232" s="193">
        <f t="shared" si="59"/>
      </c>
      <c r="S232" s="190"/>
      <c r="T232" s="47">
        <f t="shared" si="60"/>
      </c>
      <c r="U232" s="47">
        <f>IF(E232="","",+T232*tab!H$87)</f>
      </c>
      <c r="V232" s="46">
        <f t="shared" si="52"/>
        <v>0</v>
      </c>
      <c r="W232" s="49"/>
      <c r="X232" s="76">
        <f>IF(P232="",0,M232*12*P232*IF(OR(J232&lt;=8,J232="ID1",J232="ID2",J232="ID3"),1+tab!H$89,1+tab!G$89))</f>
        <v>0</v>
      </c>
      <c r="Y232" s="190"/>
      <c r="Z232" s="158">
        <f t="shared" si="53"/>
        <v>0</v>
      </c>
      <c r="AA232" s="76">
        <f t="shared" si="54"/>
        <v>0</v>
      </c>
      <c r="AB232" s="49"/>
      <c r="AC232" s="47">
        <f t="shared" si="55"/>
        <v>0</v>
      </c>
      <c r="AD232" s="49"/>
      <c r="AE232" s="10"/>
      <c r="AF232" s="10"/>
      <c r="AG232" s="10"/>
      <c r="AH232" s="210"/>
      <c r="AI232" s="10"/>
      <c r="AJ232" s="187"/>
      <c r="AK232" s="194"/>
      <c r="AQ232" s="211"/>
      <c r="AS232" s="187"/>
      <c r="AT232" s="194"/>
    </row>
    <row r="233" spans="2:46" s="185" customFormat="1" ht="12.75" customHeight="1">
      <c r="B233" s="10"/>
      <c r="C233" s="23"/>
      <c r="D233" s="157">
        <f t="shared" si="61"/>
      </c>
      <c r="E233" s="157">
        <f t="shared" si="61"/>
      </c>
      <c r="F233" s="157">
        <f t="shared" si="61"/>
      </c>
      <c r="G233" s="157">
        <f t="shared" si="56"/>
      </c>
      <c r="H233" s="225">
        <f t="shared" si="57"/>
      </c>
      <c r="I233" s="206"/>
      <c r="J233" s="207">
        <f t="shared" si="58"/>
      </c>
      <c r="K233" s="208">
        <f t="shared" si="49"/>
      </c>
      <c r="L233" s="206"/>
      <c r="M233" s="47">
        <f t="shared" si="50"/>
      </c>
      <c r="N233" s="190"/>
      <c r="O233" s="209">
        <f t="shared" si="62"/>
      </c>
      <c r="P233" s="209">
        <f t="shared" si="62"/>
      </c>
      <c r="Q233" s="190"/>
      <c r="R233" s="193">
        <f t="shared" si="59"/>
      </c>
      <c r="S233" s="190"/>
      <c r="T233" s="47">
        <f t="shared" si="60"/>
      </c>
      <c r="U233" s="47">
        <f>IF(E233="","",+T233*tab!H$87)</f>
      </c>
      <c r="V233" s="46">
        <f t="shared" si="52"/>
        <v>0</v>
      </c>
      <c r="W233" s="49"/>
      <c r="X233" s="76">
        <f>IF(P233="",0,M233*12*P233*IF(OR(J233&lt;=8,J233="ID1",J233="ID2",J233="ID3"),1+tab!H$89,1+tab!G$89))</f>
        <v>0</v>
      </c>
      <c r="Y233" s="190"/>
      <c r="Z233" s="158">
        <f t="shared" si="53"/>
        <v>0</v>
      </c>
      <c r="AA233" s="76">
        <f t="shared" si="54"/>
        <v>0</v>
      </c>
      <c r="AB233" s="49"/>
      <c r="AC233" s="47">
        <f t="shared" si="55"/>
        <v>0</v>
      </c>
      <c r="AD233" s="49"/>
      <c r="AE233" s="10"/>
      <c r="AF233" s="10"/>
      <c r="AG233" s="10"/>
      <c r="AH233" s="210"/>
      <c r="AI233" s="10"/>
      <c r="AJ233" s="187"/>
      <c r="AK233" s="194"/>
      <c r="AQ233" s="211"/>
      <c r="AS233" s="187"/>
      <c r="AT233" s="194"/>
    </row>
    <row r="234" spans="2:46" s="185" customFormat="1" ht="12.75" customHeight="1">
      <c r="B234" s="10"/>
      <c r="C234" s="23"/>
      <c r="D234" s="157">
        <f t="shared" si="61"/>
      </c>
      <c r="E234" s="157">
        <f t="shared" si="61"/>
      </c>
      <c r="F234" s="157">
        <f t="shared" si="61"/>
      </c>
      <c r="G234" s="157">
        <f t="shared" si="56"/>
      </c>
      <c r="H234" s="225">
        <f t="shared" si="57"/>
      </c>
      <c r="I234" s="206"/>
      <c r="J234" s="207">
        <f t="shared" si="58"/>
      </c>
      <c r="K234" s="208">
        <f t="shared" si="49"/>
      </c>
      <c r="L234" s="206"/>
      <c r="M234" s="47">
        <f t="shared" si="50"/>
      </c>
      <c r="N234" s="190"/>
      <c r="O234" s="209">
        <f t="shared" si="62"/>
      </c>
      <c r="P234" s="209">
        <f t="shared" si="62"/>
      </c>
      <c r="Q234" s="190"/>
      <c r="R234" s="193">
        <f t="shared" si="59"/>
      </c>
      <c r="S234" s="190"/>
      <c r="T234" s="47">
        <f t="shared" si="60"/>
      </c>
      <c r="U234" s="47">
        <f>IF(E234="","",+T234*tab!H$87)</f>
      </c>
      <c r="V234" s="46">
        <f t="shared" si="52"/>
        <v>0</v>
      </c>
      <c r="W234" s="49"/>
      <c r="X234" s="76">
        <f>IF(P234="",0,M234*12*P234*IF(OR(J234&lt;=8,J234="ID1",J234="ID2",J234="ID3"),1+tab!H$89,1+tab!G$89))</f>
        <v>0</v>
      </c>
      <c r="Y234" s="190"/>
      <c r="Z234" s="158">
        <f t="shared" si="53"/>
        <v>0</v>
      </c>
      <c r="AA234" s="76">
        <f t="shared" si="54"/>
        <v>0</v>
      </c>
      <c r="AB234" s="49"/>
      <c r="AC234" s="47">
        <f t="shared" si="55"/>
        <v>0</v>
      </c>
      <c r="AD234" s="49"/>
      <c r="AE234" s="10"/>
      <c r="AF234" s="10"/>
      <c r="AG234" s="10"/>
      <c r="AH234" s="210"/>
      <c r="AI234" s="10"/>
      <c r="AJ234" s="187"/>
      <c r="AK234" s="194"/>
      <c r="AQ234" s="211"/>
      <c r="AS234" s="187"/>
      <c r="AT234" s="194"/>
    </row>
    <row r="235" spans="2:46" s="185" customFormat="1" ht="12.75" customHeight="1">
      <c r="B235" s="10"/>
      <c r="C235" s="23"/>
      <c r="D235" s="157">
        <f t="shared" si="61"/>
      </c>
      <c r="E235" s="157">
        <f t="shared" si="61"/>
      </c>
      <c r="F235" s="157">
        <f t="shared" si="61"/>
      </c>
      <c r="G235" s="157">
        <f t="shared" si="56"/>
      </c>
      <c r="H235" s="225">
        <f t="shared" si="57"/>
      </c>
      <c r="I235" s="206"/>
      <c r="J235" s="207">
        <f t="shared" si="58"/>
      </c>
      <c r="K235" s="208">
        <f t="shared" si="49"/>
      </c>
      <c r="L235" s="206"/>
      <c r="M235" s="47">
        <f t="shared" si="50"/>
      </c>
      <c r="N235" s="190"/>
      <c r="O235" s="209">
        <f t="shared" si="62"/>
      </c>
      <c r="P235" s="209">
        <f t="shared" si="62"/>
      </c>
      <c r="Q235" s="190"/>
      <c r="R235" s="193">
        <f t="shared" si="59"/>
      </c>
      <c r="S235" s="190"/>
      <c r="T235" s="47">
        <f t="shared" si="60"/>
      </c>
      <c r="U235" s="47">
        <f>IF(E235="","",+T235*tab!H$87)</f>
      </c>
      <c r="V235" s="46">
        <f t="shared" si="52"/>
        <v>0</v>
      </c>
      <c r="W235" s="49"/>
      <c r="X235" s="76">
        <f>IF(P235="",0,M235*12*P235*IF(OR(J235&lt;=8,J235="ID1",J235="ID2",J235="ID3"),1+tab!H$89,1+tab!G$89))</f>
        <v>0</v>
      </c>
      <c r="Y235" s="190"/>
      <c r="Z235" s="158">
        <f t="shared" si="53"/>
        <v>0</v>
      </c>
      <c r="AA235" s="76">
        <f t="shared" si="54"/>
        <v>0</v>
      </c>
      <c r="AB235" s="49"/>
      <c r="AC235" s="47">
        <f t="shared" si="55"/>
        <v>0</v>
      </c>
      <c r="AD235" s="49"/>
      <c r="AE235" s="10"/>
      <c r="AF235" s="10"/>
      <c r="AG235" s="10"/>
      <c r="AH235" s="210"/>
      <c r="AI235" s="10"/>
      <c r="AJ235" s="187"/>
      <c r="AK235" s="194"/>
      <c r="AQ235" s="211"/>
      <c r="AS235" s="187"/>
      <c r="AT235" s="194"/>
    </row>
    <row r="236" spans="2:46" s="185" customFormat="1" ht="12.75" customHeight="1">
      <c r="B236" s="10"/>
      <c r="C236" s="23"/>
      <c r="D236" s="157">
        <f t="shared" si="61"/>
      </c>
      <c r="E236" s="157">
        <f t="shared" si="61"/>
      </c>
      <c r="F236" s="157">
        <f t="shared" si="61"/>
      </c>
      <c r="G236" s="157">
        <f t="shared" si="56"/>
      </c>
      <c r="H236" s="225">
        <f t="shared" si="57"/>
      </c>
      <c r="I236" s="206"/>
      <c r="J236" s="207">
        <f t="shared" si="58"/>
      </c>
      <c r="K236" s="208">
        <f t="shared" si="49"/>
      </c>
      <c r="L236" s="206"/>
      <c r="M236" s="47">
        <f t="shared" si="50"/>
      </c>
      <c r="N236" s="190"/>
      <c r="O236" s="209">
        <f t="shared" si="62"/>
      </c>
      <c r="P236" s="209">
        <f t="shared" si="62"/>
      </c>
      <c r="Q236" s="190"/>
      <c r="R236" s="193">
        <f t="shared" si="59"/>
      </c>
      <c r="S236" s="190"/>
      <c r="T236" s="47">
        <f t="shared" si="60"/>
      </c>
      <c r="U236" s="47">
        <f>IF(E236="","",+T236*tab!H$87)</f>
      </c>
      <c r="V236" s="46">
        <f t="shared" si="52"/>
        <v>0</v>
      </c>
      <c r="W236" s="49"/>
      <c r="X236" s="76">
        <f>IF(P236="",0,M236*12*P236*IF(OR(J236&lt;=8,J236="ID1",J236="ID2",J236="ID3"),1+tab!H$89,1+tab!G$89))</f>
        <v>0</v>
      </c>
      <c r="Y236" s="190"/>
      <c r="Z236" s="158">
        <f t="shared" si="53"/>
        <v>0</v>
      </c>
      <c r="AA236" s="76">
        <f t="shared" si="54"/>
        <v>0</v>
      </c>
      <c r="AB236" s="49"/>
      <c r="AC236" s="47">
        <f t="shared" si="55"/>
        <v>0</v>
      </c>
      <c r="AD236" s="49"/>
      <c r="AE236" s="10"/>
      <c r="AF236" s="10"/>
      <c r="AG236" s="10"/>
      <c r="AH236" s="210"/>
      <c r="AI236" s="10"/>
      <c r="AJ236" s="187"/>
      <c r="AK236" s="194"/>
      <c r="AQ236" s="211"/>
      <c r="AS236" s="187"/>
      <c r="AT236" s="194"/>
    </row>
    <row r="237" spans="2:46" s="185" customFormat="1" ht="12.75" customHeight="1">
      <c r="B237" s="10"/>
      <c r="C237" s="23"/>
      <c r="D237" s="157">
        <f t="shared" si="61"/>
      </c>
      <c r="E237" s="157">
        <f t="shared" si="61"/>
      </c>
      <c r="F237" s="157">
        <f t="shared" si="61"/>
      </c>
      <c r="G237" s="157">
        <f t="shared" si="56"/>
      </c>
      <c r="H237" s="225">
        <f t="shared" si="57"/>
      </c>
      <c r="I237" s="206"/>
      <c r="J237" s="207">
        <f t="shared" si="58"/>
      </c>
      <c r="K237" s="208">
        <f t="shared" si="49"/>
      </c>
      <c r="L237" s="206"/>
      <c r="M237" s="47">
        <f t="shared" si="50"/>
      </c>
      <c r="N237" s="190"/>
      <c r="O237" s="209">
        <f t="shared" si="62"/>
      </c>
      <c r="P237" s="209">
        <f t="shared" si="62"/>
      </c>
      <c r="Q237" s="190"/>
      <c r="R237" s="193">
        <f t="shared" si="59"/>
      </c>
      <c r="S237" s="190"/>
      <c r="T237" s="47">
        <f t="shared" si="60"/>
      </c>
      <c r="U237" s="47">
        <f>IF(E237="","",+T237*tab!H$87)</f>
      </c>
      <c r="V237" s="46">
        <f t="shared" si="52"/>
        <v>0</v>
      </c>
      <c r="W237" s="49"/>
      <c r="X237" s="76">
        <f>IF(P237="",0,M237*12*P237*IF(OR(J237&lt;=8,J237="ID1",J237="ID2",J237="ID3"),1+tab!H$89,1+tab!G$89))</f>
        <v>0</v>
      </c>
      <c r="Y237" s="190"/>
      <c r="Z237" s="158">
        <f t="shared" si="53"/>
        <v>0</v>
      </c>
      <c r="AA237" s="76">
        <f t="shared" si="54"/>
        <v>0</v>
      </c>
      <c r="AB237" s="49"/>
      <c r="AC237" s="47">
        <f t="shared" si="55"/>
        <v>0</v>
      </c>
      <c r="AD237" s="49"/>
      <c r="AE237" s="10"/>
      <c r="AF237" s="10"/>
      <c r="AG237" s="10"/>
      <c r="AH237" s="210"/>
      <c r="AI237" s="10"/>
      <c r="AJ237" s="187"/>
      <c r="AK237" s="194"/>
      <c r="AQ237" s="211"/>
      <c r="AS237" s="187"/>
      <c r="AT237" s="194"/>
    </row>
    <row r="238" spans="2:46" s="185" customFormat="1" ht="12.75" customHeight="1">
      <c r="B238" s="10"/>
      <c r="C238" s="23"/>
      <c r="D238" s="157">
        <f t="shared" si="61"/>
      </c>
      <c r="E238" s="157">
        <f t="shared" si="61"/>
      </c>
      <c r="F238" s="157">
        <f t="shared" si="61"/>
      </c>
      <c r="G238" s="157">
        <f t="shared" si="56"/>
      </c>
      <c r="H238" s="225">
        <f t="shared" si="57"/>
      </c>
      <c r="I238" s="206"/>
      <c r="J238" s="207">
        <f t="shared" si="58"/>
      </c>
      <c r="K238" s="208">
        <f t="shared" si="49"/>
      </c>
      <c r="L238" s="206"/>
      <c r="M238" s="47">
        <f t="shared" si="50"/>
      </c>
      <c r="N238" s="190"/>
      <c r="O238" s="209">
        <f t="shared" si="62"/>
      </c>
      <c r="P238" s="209">
        <f t="shared" si="62"/>
      </c>
      <c r="Q238" s="190"/>
      <c r="R238" s="193">
        <f t="shared" si="59"/>
      </c>
      <c r="S238" s="190"/>
      <c r="T238" s="47">
        <f t="shared" si="60"/>
      </c>
      <c r="U238" s="47">
        <f>IF(E238="","",+T238*tab!H$87)</f>
      </c>
      <c r="V238" s="46">
        <f t="shared" si="52"/>
        <v>0</v>
      </c>
      <c r="W238" s="49"/>
      <c r="X238" s="76">
        <f>IF(P238="",0,M238*12*P238*IF(OR(J238&lt;=8,J238="ID1",J238="ID2",J238="ID3"),1+tab!H$89,1+tab!G$89))</f>
        <v>0</v>
      </c>
      <c r="Y238" s="190"/>
      <c r="Z238" s="158">
        <f t="shared" si="53"/>
        <v>0</v>
      </c>
      <c r="AA238" s="76">
        <f t="shared" si="54"/>
        <v>0</v>
      </c>
      <c r="AB238" s="49"/>
      <c r="AC238" s="47">
        <f t="shared" si="55"/>
        <v>0</v>
      </c>
      <c r="AD238" s="49"/>
      <c r="AE238" s="10"/>
      <c r="AF238" s="10"/>
      <c r="AG238" s="10"/>
      <c r="AH238" s="210"/>
      <c r="AI238" s="10"/>
      <c r="AJ238" s="187"/>
      <c r="AK238" s="194"/>
      <c r="AQ238" s="211"/>
      <c r="AS238" s="187"/>
      <c r="AT238" s="194"/>
    </row>
    <row r="239" spans="2:46" s="185" customFormat="1" ht="12.75" customHeight="1">
      <c r="B239" s="10"/>
      <c r="C239" s="23"/>
      <c r="D239" s="157">
        <f t="shared" si="61"/>
      </c>
      <c r="E239" s="157">
        <f t="shared" si="61"/>
      </c>
      <c r="F239" s="157">
        <f t="shared" si="61"/>
      </c>
      <c r="G239" s="157">
        <f t="shared" si="56"/>
      </c>
      <c r="H239" s="225">
        <f t="shared" si="57"/>
      </c>
      <c r="I239" s="206"/>
      <c r="J239" s="207">
        <f t="shared" si="58"/>
      </c>
      <c r="K239" s="208">
        <f t="shared" si="49"/>
      </c>
      <c r="L239" s="206"/>
      <c r="M239" s="47">
        <f t="shared" si="50"/>
      </c>
      <c r="N239" s="190"/>
      <c r="O239" s="209">
        <f t="shared" si="62"/>
      </c>
      <c r="P239" s="209">
        <f t="shared" si="62"/>
      </c>
      <c r="Q239" s="190"/>
      <c r="R239" s="193">
        <f t="shared" si="59"/>
      </c>
      <c r="S239" s="190"/>
      <c r="T239" s="47">
        <f t="shared" si="60"/>
      </c>
      <c r="U239" s="47">
        <f>IF(E239="","",+T239*tab!H$87)</f>
      </c>
      <c r="V239" s="46">
        <f t="shared" si="52"/>
        <v>0</v>
      </c>
      <c r="W239" s="49"/>
      <c r="X239" s="76">
        <f>IF(P239="",0,M239*12*P239*IF(OR(J239&lt;=8,J239="ID1",J239="ID2",J239="ID3"),1+tab!H$89,1+tab!G$89))</f>
        <v>0</v>
      </c>
      <c r="Y239" s="190"/>
      <c r="Z239" s="158">
        <f t="shared" si="53"/>
        <v>0</v>
      </c>
      <c r="AA239" s="76">
        <f t="shared" si="54"/>
        <v>0</v>
      </c>
      <c r="AB239" s="49"/>
      <c r="AC239" s="47">
        <f t="shared" si="55"/>
        <v>0</v>
      </c>
      <c r="AD239" s="49"/>
      <c r="AE239" s="10"/>
      <c r="AF239" s="10"/>
      <c r="AG239" s="10"/>
      <c r="AH239" s="210"/>
      <c r="AI239" s="10"/>
      <c r="AJ239" s="187"/>
      <c r="AK239" s="194"/>
      <c r="AQ239" s="211"/>
      <c r="AS239" s="187"/>
      <c r="AT239" s="194"/>
    </row>
    <row r="240" spans="2:46" s="185" customFormat="1" ht="12.75" customHeight="1">
      <c r="B240" s="10"/>
      <c r="C240" s="23"/>
      <c r="D240" s="157">
        <f t="shared" si="61"/>
      </c>
      <c r="E240" s="157">
        <f t="shared" si="61"/>
      </c>
      <c r="F240" s="157">
        <f t="shared" si="61"/>
      </c>
      <c r="G240" s="157">
        <f t="shared" si="56"/>
      </c>
      <c r="H240" s="225">
        <f t="shared" si="57"/>
      </c>
      <c r="I240" s="206"/>
      <c r="J240" s="207">
        <f t="shared" si="58"/>
      </c>
      <c r="K240" s="208">
        <f t="shared" si="49"/>
      </c>
      <c r="L240" s="206"/>
      <c r="M240" s="47">
        <f t="shared" si="50"/>
      </c>
      <c r="N240" s="190"/>
      <c r="O240" s="209">
        <f t="shared" si="62"/>
      </c>
      <c r="P240" s="209">
        <f t="shared" si="62"/>
      </c>
      <c r="Q240" s="190"/>
      <c r="R240" s="193">
        <f t="shared" si="59"/>
      </c>
      <c r="S240" s="190"/>
      <c r="T240" s="47">
        <f t="shared" si="60"/>
      </c>
      <c r="U240" s="47">
        <f>IF(E240="","",+T240*tab!H$87)</f>
      </c>
      <c r="V240" s="46">
        <f t="shared" si="52"/>
        <v>0</v>
      </c>
      <c r="W240" s="49"/>
      <c r="X240" s="76">
        <f>IF(P240="",0,M240*12*P240*IF(OR(J240&lt;=8,J240="ID1",J240="ID2",J240="ID3"),1+tab!H$89,1+tab!G$89))</f>
        <v>0</v>
      </c>
      <c r="Y240" s="190"/>
      <c r="Z240" s="158">
        <f t="shared" si="53"/>
        <v>0</v>
      </c>
      <c r="AA240" s="76">
        <f t="shared" si="54"/>
        <v>0</v>
      </c>
      <c r="AB240" s="49"/>
      <c r="AC240" s="47">
        <f t="shared" si="55"/>
        <v>0</v>
      </c>
      <c r="AD240" s="49"/>
      <c r="AE240" s="10"/>
      <c r="AF240" s="10"/>
      <c r="AG240" s="10"/>
      <c r="AH240" s="210"/>
      <c r="AI240" s="10"/>
      <c r="AJ240" s="187"/>
      <c r="AK240" s="194"/>
      <c r="AQ240" s="211"/>
      <c r="AS240" s="187"/>
      <c r="AT240" s="194"/>
    </row>
    <row r="241" spans="2:46" s="185" customFormat="1" ht="12.75" customHeight="1">
      <c r="B241" s="10"/>
      <c r="C241" s="23"/>
      <c r="D241" s="157">
        <f t="shared" si="61"/>
      </c>
      <c r="E241" s="157">
        <f t="shared" si="61"/>
      </c>
      <c r="F241" s="157">
        <f t="shared" si="61"/>
      </c>
      <c r="G241" s="157">
        <f t="shared" si="56"/>
      </c>
      <c r="H241" s="225">
        <f t="shared" si="57"/>
      </c>
      <c r="I241" s="206"/>
      <c r="J241" s="207">
        <f t="shared" si="58"/>
      </c>
      <c r="K241" s="208">
        <f t="shared" si="49"/>
      </c>
      <c r="L241" s="206"/>
      <c r="M241" s="47">
        <f t="shared" si="50"/>
      </c>
      <c r="N241" s="190"/>
      <c r="O241" s="209">
        <f t="shared" si="62"/>
      </c>
      <c r="P241" s="209">
        <f t="shared" si="62"/>
      </c>
      <c r="Q241" s="190"/>
      <c r="R241" s="193">
        <f t="shared" si="59"/>
      </c>
      <c r="S241" s="190"/>
      <c r="T241" s="47">
        <f t="shared" si="60"/>
      </c>
      <c r="U241" s="47">
        <f>IF(E241="","",+T241*tab!H$87)</f>
      </c>
      <c r="V241" s="46">
        <f t="shared" si="52"/>
        <v>0</v>
      </c>
      <c r="W241" s="49"/>
      <c r="X241" s="76">
        <f>IF(P241="",0,M241*12*P241*IF(OR(J241&lt;=8,J241="ID1",J241="ID2",J241="ID3"),1+tab!H$89,1+tab!G$89))</f>
        <v>0</v>
      </c>
      <c r="Y241" s="190"/>
      <c r="Z241" s="158">
        <f t="shared" si="53"/>
        <v>0</v>
      </c>
      <c r="AA241" s="76">
        <f t="shared" si="54"/>
        <v>0</v>
      </c>
      <c r="AB241" s="49"/>
      <c r="AC241" s="47">
        <f t="shared" si="55"/>
        <v>0</v>
      </c>
      <c r="AD241" s="49"/>
      <c r="AE241" s="10"/>
      <c r="AF241" s="10"/>
      <c r="AG241" s="10"/>
      <c r="AH241" s="210"/>
      <c r="AI241" s="10"/>
      <c r="AJ241" s="187"/>
      <c r="AK241" s="194"/>
      <c r="AQ241" s="211"/>
      <c r="AS241" s="187"/>
      <c r="AT241" s="194"/>
    </row>
    <row r="242" spans="2:46" s="185" customFormat="1" ht="12.75" customHeight="1">
      <c r="B242" s="10"/>
      <c r="C242" s="23"/>
      <c r="D242" s="157">
        <f t="shared" si="61"/>
      </c>
      <c r="E242" s="157">
        <f t="shared" si="61"/>
      </c>
      <c r="F242" s="157">
        <f t="shared" si="61"/>
      </c>
      <c r="G242" s="157">
        <f t="shared" si="56"/>
      </c>
      <c r="H242" s="225">
        <f t="shared" si="57"/>
      </c>
      <c r="I242" s="206"/>
      <c r="J242" s="207">
        <f t="shared" si="58"/>
      </c>
      <c r="K242" s="208">
        <f aca="true" t="shared" si="63" ref="K242:K259">IF(E242="","",(IF((K178+1)&gt;VLOOKUP(J242,tabelsalaris,22,FALSE),K178,K178+1)))</f>
      </c>
      <c r="L242" s="206"/>
      <c r="M242" s="47">
        <f aca="true" t="shared" si="64" ref="M242:M259">IF(J242="","",ROUND(1.022*VLOOKUP(J242,tabelsalaris,K242+1,FALSE),0))</f>
      </c>
      <c r="N242" s="190"/>
      <c r="O242" s="209">
        <f t="shared" si="62"/>
      </c>
      <c r="P242" s="209">
        <f t="shared" si="62"/>
      </c>
      <c r="Q242" s="190"/>
      <c r="R242" s="193">
        <f t="shared" si="59"/>
      </c>
      <c r="S242" s="190"/>
      <c r="T242" s="47">
        <f t="shared" si="60"/>
      </c>
      <c r="U242" s="47">
        <f>IF(E242="","",+T242*tab!H$87)</f>
      </c>
      <c r="V242" s="46">
        <f t="shared" si="52"/>
        <v>0</v>
      </c>
      <c r="W242" s="49"/>
      <c r="X242" s="76">
        <f>IF(P242="",0,M242*12*P242*IF(OR(J242&lt;=8,J242="ID1",J242="ID2",J242="ID3"),1+tab!H$89,1+tab!G$89))</f>
        <v>0</v>
      </c>
      <c r="Y242" s="190"/>
      <c r="Z242" s="158">
        <f t="shared" si="53"/>
        <v>0</v>
      </c>
      <c r="AA242" s="76">
        <f t="shared" si="54"/>
        <v>0</v>
      </c>
      <c r="AB242" s="49"/>
      <c r="AC242" s="47">
        <f t="shared" si="55"/>
        <v>0</v>
      </c>
      <c r="AD242" s="49"/>
      <c r="AE242" s="10"/>
      <c r="AF242" s="10"/>
      <c r="AG242" s="10"/>
      <c r="AH242" s="210"/>
      <c r="AI242" s="10"/>
      <c r="AJ242" s="187"/>
      <c r="AK242" s="194"/>
      <c r="AQ242" s="211"/>
      <c r="AS242" s="187"/>
      <c r="AT242" s="194"/>
    </row>
    <row r="243" spans="2:46" s="185" customFormat="1" ht="12.75" customHeight="1">
      <c r="B243" s="10"/>
      <c r="C243" s="23"/>
      <c r="D243" s="157">
        <f t="shared" si="61"/>
      </c>
      <c r="E243" s="157">
        <f t="shared" si="61"/>
      </c>
      <c r="F243" s="157">
        <f t="shared" si="61"/>
      </c>
      <c r="G243" s="157">
        <f t="shared" si="56"/>
      </c>
      <c r="H243" s="225">
        <f t="shared" si="57"/>
      </c>
      <c r="I243" s="206"/>
      <c r="J243" s="207">
        <f t="shared" si="58"/>
      </c>
      <c r="K243" s="208">
        <f t="shared" si="63"/>
      </c>
      <c r="L243" s="206"/>
      <c r="M243" s="47">
        <f t="shared" si="64"/>
      </c>
      <c r="N243" s="190"/>
      <c r="O243" s="209">
        <f t="shared" si="62"/>
      </c>
      <c r="P243" s="209">
        <f t="shared" si="62"/>
      </c>
      <c r="Q243" s="190"/>
      <c r="R243" s="193">
        <f t="shared" si="59"/>
      </c>
      <c r="S243" s="190"/>
      <c r="T243" s="47">
        <f t="shared" si="60"/>
      </c>
      <c r="U243" s="47">
        <f>IF(E243="","",+T243*tab!H$87)</f>
      </c>
      <c r="V243" s="46">
        <f t="shared" si="52"/>
        <v>0</v>
      </c>
      <c r="W243" s="49"/>
      <c r="X243" s="76">
        <f>IF(P243="",0,M243*12*P243*IF(OR(J243&lt;=8,J243="ID1",J243="ID2",J243="ID3"),1+tab!H$89,1+tab!G$89))</f>
        <v>0</v>
      </c>
      <c r="Y243" s="190"/>
      <c r="Z243" s="158">
        <f t="shared" si="53"/>
        <v>0</v>
      </c>
      <c r="AA243" s="76">
        <f t="shared" si="54"/>
        <v>0</v>
      </c>
      <c r="AB243" s="49"/>
      <c r="AC243" s="47">
        <f t="shared" si="55"/>
        <v>0</v>
      </c>
      <c r="AD243" s="49"/>
      <c r="AE243" s="10"/>
      <c r="AF243" s="10"/>
      <c r="AG243" s="10"/>
      <c r="AH243" s="210"/>
      <c r="AI243" s="10"/>
      <c r="AJ243" s="187"/>
      <c r="AK243" s="194"/>
      <c r="AQ243" s="211"/>
      <c r="AS243" s="187"/>
      <c r="AT243" s="194"/>
    </row>
    <row r="244" spans="2:46" s="185" customFormat="1" ht="12.75" customHeight="1">
      <c r="B244" s="10"/>
      <c r="C244" s="23"/>
      <c r="D244" s="157">
        <f t="shared" si="61"/>
      </c>
      <c r="E244" s="157">
        <f t="shared" si="61"/>
      </c>
      <c r="F244" s="157">
        <f t="shared" si="61"/>
      </c>
      <c r="G244" s="157">
        <f t="shared" si="56"/>
      </c>
      <c r="H244" s="225">
        <f t="shared" si="57"/>
      </c>
      <c r="I244" s="206"/>
      <c r="J244" s="207">
        <f t="shared" si="58"/>
      </c>
      <c r="K244" s="208">
        <f t="shared" si="63"/>
      </c>
      <c r="L244" s="206"/>
      <c r="M244" s="47">
        <f t="shared" si="64"/>
      </c>
      <c r="N244" s="190"/>
      <c r="O244" s="209">
        <f t="shared" si="62"/>
      </c>
      <c r="P244" s="209">
        <f t="shared" si="62"/>
      </c>
      <c r="Q244" s="190"/>
      <c r="R244" s="193">
        <f t="shared" si="59"/>
      </c>
      <c r="S244" s="190"/>
      <c r="T244" s="47">
        <f t="shared" si="60"/>
      </c>
      <c r="U244" s="47">
        <f>IF(E244="","",+T244*tab!H$87)</f>
      </c>
      <c r="V244" s="46">
        <f t="shared" si="52"/>
        <v>0</v>
      </c>
      <c r="W244" s="49"/>
      <c r="X244" s="76">
        <f>IF(P244="",0,M244*12*P244*IF(OR(J244&lt;=8,J244="ID1",J244="ID2",J244="ID3"),1+tab!H$89,1+tab!G$89))</f>
        <v>0</v>
      </c>
      <c r="Y244" s="190"/>
      <c r="Z244" s="158">
        <f t="shared" si="53"/>
        <v>0</v>
      </c>
      <c r="AA244" s="76">
        <f t="shared" si="54"/>
        <v>0</v>
      </c>
      <c r="AB244" s="49"/>
      <c r="AC244" s="47">
        <f t="shared" si="55"/>
        <v>0</v>
      </c>
      <c r="AD244" s="49"/>
      <c r="AE244" s="10"/>
      <c r="AF244" s="10"/>
      <c r="AG244" s="10"/>
      <c r="AH244" s="210"/>
      <c r="AI244" s="10"/>
      <c r="AJ244" s="187"/>
      <c r="AK244" s="194"/>
      <c r="AQ244" s="211"/>
      <c r="AS244" s="187"/>
      <c r="AT244" s="194"/>
    </row>
    <row r="245" spans="2:46" s="185" customFormat="1" ht="12.75" customHeight="1">
      <c r="B245" s="10"/>
      <c r="C245" s="23"/>
      <c r="D245" s="157">
        <f t="shared" si="61"/>
      </c>
      <c r="E245" s="157">
        <f t="shared" si="61"/>
      </c>
      <c r="F245" s="157">
        <f t="shared" si="61"/>
      </c>
      <c r="G245" s="157">
        <f t="shared" si="56"/>
      </c>
      <c r="H245" s="225">
        <f t="shared" si="57"/>
      </c>
      <c r="I245" s="206"/>
      <c r="J245" s="207">
        <f t="shared" si="58"/>
      </c>
      <c r="K245" s="208">
        <f t="shared" si="63"/>
      </c>
      <c r="L245" s="206"/>
      <c r="M245" s="47">
        <f t="shared" si="64"/>
      </c>
      <c r="N245" s="190"/>
      <c r="O245" s="209">
        <f t="shared" si="62"/>
      </c>
      <c r="P245" s="209">
        <f t="shared" si="62"/>
      </c>
      <c r="Q245" s="190"/>
      <c r="R245" s="193">
        <f t="shared" si="59"/>
      </c>
      <c r="S245" s="190"/>
      <c r="T245" s="47">
        <f t="shared" si="60"/>
      </c>
      <c r="U245" s="47">
        <f>IF(E245="","",+T245*tab!H$87)</f>
      </c>
      <c r="V245" s="46">
        <f t="shared" si="52"/>
        <v>0</v>
      </c>
      <c r="W245" s="49"/>
      <c r="X245" s="76">
        <f>IF(P245="",0,M245*12*P245*IF(OR(J245&lt;=8,J245="ID1",J245="ID2",J245="ID3"),1+tab!H$89,1+tab!G$89))</f>
        <v>0</v>
      </c>
      <c r="Y245" s="190"/>
      <c r="Z245" s="158">
        <f t="shared" si="53"/>
        <v>0</v>
      </c>
      <c r="AA245" s="76">
        <f t="shared" si="54"/>
        <v>0</v>
      </c>
      <c r="AB245" s="49"/>
      <c r="AC245" s="47">
        <f t="shared" si="55"/>
        <v>0</v>
      </c>
      <c r="AD245" s="49"/>
      <c r="AE245" s="10"/>
      <c r="AF245" s="10"/>
      <c r="AG245" s="10"/>
      <c r="AH245" s="210"/>
      <c r="AI245" s="10"/>
      <c r="AJ245" s="187"/>
      <c r="AK245" s="194"/>
      <c r="AQ245" s="211"/>
      <c r="AS245" s="187"/>
      <c r="AT245" s="194"/>
    </row>
    <row r="246" spans="2:46" s="185" customFormat="1" ht="12.75" customHeight="1">
      <c r="B246" s="10"/>
      <c r="C246" s="23"/>
      <c r="D246" s="157">
        <f t="shared" si="61"/>
      </c>
      <c r="E246" s="157">
        <f t="shared" si="61"/>
      </c>
      <c r="F246" s="157">
        <f t="shared" si="61"/>
      </c>
      <c r="G246" s="157">
        <f t="shared" si="56"/>
      </c>
      <c r="H246" s="225">
        <f t="shared" si="57"/>
      </c>
      <c r="I246" s="206"/>
      <c r="J246" s="207">
        <f t="shared" si="58"/>
      </c>
      <c r="K246" s="208">
        <f t="shared" si="63"/>
      </c>
      <c r="L246" s="206"/>
      <c r="M246" s="47">
        <f t="shared" si="64"/>
      </c>
      <c r="N246" s="190"/>
      <c r="O246" s="209">
        <f t="shared" si="62"/>
      </c>
      <c r="P246" s="209">
        <f t="shared" si="62"/>
      </c>
      <c r="Q246" s="190"/>
      <c r="R246" s="193">
        <f t="shared" si="59"/>
      </c>
      <c r="S246" s="190"/>
      <c r="T246" s="47">
        <f t="shared" si="60"/>
      </c>
      <c r="U246" s="47">
        <f>IF(E246="","",+T246*tab!H$87)</f>
      </c>
      <c r="V246" s="46">
        <f t="shared" si="52"/>
        <v>0</v>
      </c>
      <c r="W246" s="49"/>
      <c r="X246" s="76">
        <f>IF(P246="",0,M246*12*P246*IF(OR(J246&lt;=8,J246="ID1",J246="ID2",J246="ID3"),1+tab!H$89,1+tab!G$89))</f>
        <v>0</v>
      </c>
      <c r="Y246" s="190"/>
      <c r="Z246" s="158">
        <f t="shared" si="53"/>
        <v>0</v>
      </c>
      <c r="AA246" s="76">
        <f t="shared" si="54"/>
        <v>0</v>
      </c>
      <c r="AB246" s="49"/>
      <c r="AC246" s="47">
        <f t="shared" si="55"/>
        <v>0</v>
      </c>
      <c r="AD246" s="49"/>
      <c r="AE246" s="10"/>
      <c r="AF246" s="10"/>
      <c r="AG246" s="10"/>
      <c r="AH246" s="210"/>
      <c r="AI246" s="10"/>
      <c r="AJ246" s="187"/>
      <c r="AK246" s="194"/>
      <c r="AQ246" s="211"/>
      <c r="AS246" s="187"/>
      <c r="AT246" s="194"/>
    </row>
    <row r="247" spans="2:46" s="185" customFormat="1" ht="12.75" customHeight="1">
      <c r="B247" s="10"/>
      <c r="C247" s="23"/>
      <c r="D247" s="157">
        <f t="shared" si="61"/>
      </c>
      <c r="E247" s="157">
        <f t="shared" si="61"/>
      </c>
      <c r="F247" s="157">
        <f t="shared" si="61"/>
      </c>
      <c r="G247" s="157">
        <f t="shared" si="56"/>
      </c>
      <c r="H247" s="225">
        <f t="shared" si="57"/>
      </c>
      <c r="I247" s="206"/>
      <c r="J247" s="207">
        <f t="shared" si="58"/>
      </c>
      <c r="K247" s="208">
        <f t="shared" si="63"/>
      </c>
      <c r="L247" s="206"/>
      <c r="M247" s="47">
        <f t="shared" si="64"/>
      </c>
      <c r="N247" s="190"/>
      <c r="O247" s="209">
        <f t="shared" si="62"/>
      </c>
      <c r="P247" s="209">
        <f t="shared" si="62"/>
      </c>
      <c r="Q247" s="190"/>
      <c r="R247" s="193">
        <f t="shared" si="59"/>
      </c>
      <c r="S247" s="190"/>
      <c r="T247" s="47">
        <f t="shared" si="60"/>
      </c>
      <c r="U247" s="47">
        <f>IF(E247="","",+T247*tab!H$87)</f>
      </c>
      <c r="V247" s="46">
        <f t="shared" si="52"/>
        <v>0</v>
      </c>
      <c r="W247" s="49"/>
      <c r="X247" s="76">
        <f>IF(P247="",0,M247*12*P247*IF(OR(J247&lt;=8,J247="ID1",J247="ID2",J247="ID3"),1+tab!H$89,1+tab!G$89))</f>
        <v>0</v>
      </c>
      <c r="Y247" s="190"/>
      <c r="Z247" s="158">
        <f t="shared" si="53"/>
        <v>0</v>
      </c>
      <c r="AA247" s="76">
        <f t="shared" si="54"/>
        <v>0</v>
      </c>
      <c r="AB247" s="49"/>
      <c r="AC247" s="47">
        <f t="shared" si="55"/>
        <v>0</v>
      </c>
      <c r="AD247" s="49"/>
      <c r="AE247" s="10"/>
      <c r="AF247" s="10"/>
      <c r="AG247" s="10"/>
      <c r="AH247" s="210"/>
      <c r="AI247" s="10"/>
      <c r="AJ247" s="187"/>
      <c r="AK247" s="194"/>
      <c r="AQ247" s="211"/>
      <c r="AS247" s="187"/>
      <c r="AT247" s="194"/>
    </row>
    <row r="248" spans="2:46" s="185" customFormat="1" ht="12.75" customHeight="1">
      <c r="B248" s="10"/>
      <c r="C248" s="23"/>
      <c r="D248" s="157">
        <f t="shared" si="61"/>
      </c>
      <c r="E248" s="157">
        <f t="shared" si="61"/>
      </c>
      <c r="F248" s="157">
        <f t="shared" si="61"/>
      </c>
      <c r="G248" s="157">
        <f t="shared" si="56"/>
      </c>
      <c r="H248" s="225">
        <f t="shared" si="57"/>
      </c>
      <c r="I248" s="206"/>
      <c r="J248" s="207">
        <f t="shared" si="58"/>
      </c>
      <c r="K248" s="208">
        <f t="shared" si="63"/>
      </c>
      <c r="L248" s="206"/>
      <c r="M248" s="47">
        <f t="shared" si="64"/>
      </c>
      <c r="N248" s="190"/>
      <c r="O248" s="209">
        <f t="shared" si="62"/>
      </c>
      <c r="P248" s="209">
        <f t="shared" si="62"/>
      </c>
      <c r="Q248" s="190"/>
      <c r="R248" s="193">
        <f t="shared" si="59"/>
      </c>
      <c r="S248" s="190"/>
      <c r="T248" s="47">
        <f t="shared" si="60"/>
      </c>
      <c r="U248" s="47">
        <f>IF(E248="","",+T248*tab!H$87)</f>
      </c>
      <c r="V248" s="46">
        <f t="shared" si="52"/>
        <v>0</v>
      </c>
      <c r="W248" s="49"/>
      <c r="X248" s="76">
        <f>IF(P248="",0,M248*12*P248*IF(OR(J248&lt;=8,J248="ID1",J248="ID2",J248="ID3"),1+tab!H$89,1+tab!G$89))</f>
        <v>0</v>
      </c>
      <c r="Y248" s="190"/>
      <c r="Z248" s="158">
        <f t="shared" si="53"/>
        <v>0</v>
      </c>
      <c r="AA248" s="76">
        <f t="shared" si="54"/>
        <v>0</v>
      </c>
      <c r="AB248" s="49"/>
      <c r="AC248" s="47">
        <f t="shared" si="55"/>
        <v>0</v>
      </c>
      <c r="AD248" s="49"/>
      <c r="AE248" s="10"/>
      <c r="AF248" s="10"/>
      <c r="AG248" s="10"/>
      <c r="AH248" s="210"/>
      <c r="AI248" s="10"/>
      <c r="AJ248" s="187"/>
      <c r="AK248" s="194"/>
      <c r="AQ248" s="211"/>
      <c r="AS248" s="187"/>
      <c r="AT248" s="194"/>
    </row>
    <row r="249" spans="2:46" s="185" customFormat="1" ht="12.75" customHeight="1">
      <c r="B249" s="10"/>
      <c r="C249" s="23"/>
      <c r="D249" s="157">
        <f t="shared" si="61"/>
      </c>
      <c r="E249" s="157">
        <f t="shared" si="61"/>
      </c>
      <c r="F249" s="157">
        <f t="shared" si="61"/>
      </c>
      <c r="G249" s="157">
        <f t="shared" si="56"/>
      </c>
      <c r="H249" s="225">
        <f t="shared" si="57"/>
      </c>
      <c r="I249" s="206"/>
      <c r="J249" s="207">
        <f t="shared" si="58"/>
      </c>
      <c r="K249" s="208">
        <f t="shared" si="63"/>
      </c>
      <c r="L249" s="206"/>
      <c r="M249" s="47">
        <f t="shared" si="64"/>
      </c>
      <c r="N249" s="190"/>
      <c r="O249" s="209">
        <f t="shared" si="62"/>
      </c>
      <c r="P249" s="209">
        <f t="shared" si="62"/>
      </c>
      <c r="Q249" s="190"/>
      <c r="R249" s="193">
        <f t="shared" si="59"/>
      </c>
      <c r="S249" s="190"/>
      <c r="T249" s="47">
        <f t="shared" si="60"/>
      </c>
      <c r="U249" s="47">
        <f>IF(E249="","",+T249*tab!H$87)</f>
      </c>
      <c r="V249" s="46">
        <f t="shared" si="52"/>
        <v>0</v>
      </c>
      <c r="W249" s="49"/>
      <c r="X249" s="76">
        <f>IF(P249="",0,M249*12*P249*IF(OR(J249&lt;=8,J249="ID1",J249="ID2",J249="ID3"),1+tab!H$89,1+tab!G$89))</f>
        <v>0</v>
      </c>
      <c r="Y249" s="190"/>
      <c r="Z249" s="158">
        <f t="shared" si="53"/>
        <v>0</v>
      </c>
      <c r="AA249" s="76">
        <f t="shared" si="54"/>
        <v>0</v>
      </c>
      <c r="AB249" s="49"/>
      <c r="AC249" s="47">
        <f t="shared" si="55"/>
        <v>0</v>
      </c>
      <c r="AD249" s="49"/>
      <c r="AE249" s="10"/>
      <c r="AF249" s="10"/>
      <c r="AG249" s="10"/>
      <c r="AH249" s="210"/>
      <c r="AI249" s="10"/>
      <c r="AJ249" s="187"/>
      <c r="AK249" s="194"/>
      <c r="AQ249" s="211"/>
      <c r="AS249" s="187"/>
      <c r="AT249" s="194"/>
    </row>
    <row r="250" spans="2:46" s="185" customFormat="1" ht="12.75" customHeight="1">
      <c r="B250" s="10"/>
      <c r="C250" s="23"/>
      <c r="D250" s="157">
        <f aca="true" t="shared" si="65" ref="D250:F259">IF(D186=0,"",D186)</f>
      </c>
      <c r="E250" s="157">
        <f t="shared" si="65"/>
      </c>
      <c r="F250" s="157">
        <f t="shared" si="65"/>
      </c>
      <c r="G250" s="157">
        <f t="shared" si="56"/>
      </c>
      <c r="H250" s="225">
        <f t="shared" si="57"/>
      </c>
      <c r="I250" s="206"/>
      <c r="J250" s="207">
        <f t="shared" si="58"/>
      </c>
      <c r="K250" s="208">
        <f t="shared" si="63"/>
      </c>
      <c r="L250" s="206"/>
      <c r="M250" s="47">
        <f t="shared" si="64"/>
      </c>
      <c r="N250" s="190"/>
      <c r="O250" s="209">
        <f aca="true" t="shared" si="66" ref="O250:P259">IF(O186="","",O186)</f>
      </c>
      <c r="P250" s="209">
        <f t="shared" si="66"/>
      </c>
      <c r="Q250" s="190"/>
      <c r="R250" s="193">
        <f t="shared" si="59"/>
      </c>
      <c r="S250" s="190"/>
      <c r="T250" s="47">
        <f t="shared" si="60"/>
      </c>
      <c r="U250" s="47">
        <f>IF(E250="","",+T250*tab!H$87)</f>
      </c>
      <c r="V250" s="46">
        <f t="shared" si="52"/>
        <v>0</v>
      </c>
      <c r="W250" s="49"/>
      <c r="X250" s="76">
        <f>IF(P250="",0,M250*12*P250*IF(OR(J250&lt;=8,J250="ID1",J250="ID2",J250="ID3"),1+tab!H$89,1+tab!G$89))</f>
        <v>0</v>
      </c>
      <c r="Y250" s="190"/>
      <c r="Z250" s="158">
        <f t="shared" si="53"/>
        <v>0</v>
      </c>
      <c r="AA250" s="76">
        <f t="shared" si="54"/>
        <v>0</v>
      </c>
      <c r="AB250" s="49"/>
      <c r="AC250" s="47">
        <f t="shared" si="55"/>
        <v>0</v>
      </c>
      <c r="AD250" s="49"/>
      <c r="AE250" s="10"/>
      <c r="AF250" s="10"/>
      <c r="AG250" s="10"/>
      <c r="AH250" s="210"/>
      <c r="AI250" s="10"/>
      <c r="AJ250" s="187"/>
      <c r="AK250" s="194"/>
      <c r="AQ250" s="211"/>
      <c r="AS250" s="187"/>
      <c r="AT250" s="194"/>
    </row>
    <row r="251" spans="2:46" s="185" customFormat="1" ht="12.75" customHeight="1">
      <c r="B251" s="10"/>
      <c r="C251" s="23"/>
      <c r="D251" s="157">
        <f t="shared" si="65"/>
      </c>
      <c r="E251" s="157">
        <f t="shared" si="65"/>
      </c>
      <c r="F251" s="157">
        <f t="shared" si="65"/>
      </c>
      <c r="G251" s="157">
        <f t="shared" si="56"/>
      </c>
      <c r="H251" s="225">
        <f t="shared" si="57"/>
      </c>
      <c r="I251" s="206"/>
      <c r="J251" s="207">
        <f t="shared" si="58"/>
      </c>
      <c r="K251" s="208">
        <f t="shared" si="63"/>
      </c>
      <c r="L251" s="206"/>
      <c r="M251" s="47">
        <f t="shared" si="64"/>
      </c>
      <c r="N251" s="190"/>
      <c r="O251" s="209">
        <f t="shared" si="66"/>
      </c>
      <c r="P251" s="209">
        <f t="shared" si="66"/>
      </c>
      <c r="Q251" s="190"/>
      <c r="R251" s="193">
        <f t="shared" si="59"/>
      </c>
      <c r="S251" s="190"/>
      <c r="T251" s="47">
        <f t="shared" si="60"/>
      </c>
      <c r="U251" s="47">
        <f>IF(E251="","",+T251*tab!H$87)</f>
      </c>
      <c r="V251" s="46">
        <f t="shared" si="52"/>
        <v>0</v>
      </c>
      <c r="W251" s="49"/>
      <c r="X251" s="76">
        <f>IF(P251="",0,M251*12*P251*IF(OR(J251&lt;=8,J251="ID1",J251="ID2",J251="ID3"),1+tab!H$89,1+tab!G$89))</f>
        <v>0</v>
      </c>
      <c r="Y251" s="190"/>
      <c r="Z251" s="158">
        <f t="shared" si="53"/>
        <v>0</v>
      </c>
      <c r="AA251" s="76">
        <f t="shared" si="54"/>
        <v>0</v>
      </c>
      <c r="AB251" s="49"/>
      <c r="AC251" s="47">
        <f t="shared" si="55"/>
        <v>0</v>
      </c>
      <c r="AD251" s="49"/>
      <c r="AE251" s="10"/>
      <c r="AF251" s="10"/>
      <c r="AG251" s="10"/>
      <c r="AH251" s="210"/>
      <c r="AI251" s="10"/>
      <c r="AJ251" s="187"/>
      <c r="AK251" s="194"/>
      <c r="AQ251" s="211"/>
      <c r="AS251" s="187"/>
      <c r="AT251" s="194"/>
    </row>
    <row r="252" spans="2:46" s="185" customFormat="1" ht="12.75" customHeight="1">
      <c r="B252" s="10"/>
      <c r="C252" s="23"/>
      <c r="D252" s="157">
        <f t="shared" si="65"/>
      </c>
      <c r="E252" s="157">
        <f t="shared" si="65"/>
      </c>
      <c r="F252" s="157">
        <f t="shared" si="65"/>
      </c>
      <c r="G252" s="157">
        <f t="shared" si="56"/>
      </c>
      <c r="H252" s="225">
        <f t="shared" si="57"/>
      </c>
      <c r="I252" s="206"/>
      <c r="J252" s="207">
        <f t="shared" si="58"/>
      </c>
      <c r="K252" s="208">
        <f t="shared" si="63"/>
      </c>
      <c r="L252" s="206"/>
      <c r="M252" s="47">
        <f t="shared" si="64"/>
      </c>
      <c r="N252" s="190"/>
      <c r="O252" s="209">
        <f t="shared" si="66"/>
      </c>
      <c r="P252" s="209">
        <f t="shared" si="66"/>
      </c>
      <c r="Q252" s="190"/>
      <c r="R252" s="193">
        <f t="shared" si="59"/>
      </c>
      <c r="S252" s="190"/>
      <c r="T252" s="47">
        <f t="shared" si="60"/>
      </c>
      <c r="U252" s="47">
        <f>IF(E252="","",+T252*tab!H$87)</f>
      </c>
      <c r="V252" s="46">
        <f t="shared" si="52"/>
        <v>0</v>
      </c>
      <c r="W252" s="49"/>
      <c r="X252" s="76">
        <f>IF(P252="",0,M252*12*P252*IF(OR(J252&lt;=8,J252="ID1",J252="ID2",J252="ID3"),1+tab!H$89,1+tab!G$89))</f>
        <v>0</v>
      </c>
      <c r="Y252" s="190"/>
      <c r="Z252" s="158">
        <f t="shared" si="53"/>
        <v>0</v>
      </c>
      <c r="AA252" s="76">
        <f t="shared" si="54"/>
        <v>0</v>
      </c>
      <c r="AB252" s="49"/>
      <c r="AC252" s="47">
        <f t="shared" si="55"/>
        <v>0</v>
      </c>
      <c r="AD252" s="49"/>
      <c r="AE252" s="10"/>
      <c r="AF252" s="10"/>
      <c r="AG252" s="10"/>
      <c r="AH252" s="210"/>
      <c r="AI252" s="10"/>
      <c r="AJ252" s="187"/>
      <c r="AK252" s="194"/>
      <c r="AQ252" s="211"/>
      <c r="AS252" s="187"/>
      <c r="AT252" s="194"/>
    </row>
    <row r="253" spans="2:46" s="185" customFormat="1" ht="12.75" customHeight="1">
      <c r="B253" s="10"/>
      <c r="C253" s="23"/>
      <c r="D253" s="157">
        <f t="shared" si="65"/>
      </c>
      <c r="E253" s="157">
        <f t="shared" si="65"/>
      </c>
      <c r="F253" s="157">
        <f t="shared" si="65"/>
      </c>
      <c r="G253" s="157">
        <f t="shared" si="56"/>
      </c>
      <c r="H253" s="225">
        <f t="shared" si="57"/>
      </c>
      <c r="I253" s="206"/>
      <c r="J253" s="207">
        <f t="shared" si="58"/>
      </c>
      <c r="K253" s="208">
        <f t="shared" si="63"/>
      </c>
      <c r="L253" s="206"/>
      <c r="M253" s="47">
        <f t="shared" si="64"/>
      </c>
      <c r="N253" s="190"/>
      <c r="O253" s="209">
        <f t="shared" si="66"/>
      </c>
      <c r="P253" s="209">
        <f t="shared" si="66"/>
      </c>
      <c r="Q253" s="190"/>
      <c r="R253" s="193">
        <f t="shared" si="59"/>
      </c>
      <c r="S253" s="190"/>
      <c r="T253" s="47">
        <f t="shared" si="60"/>
      </c>
      <c r="U253" s="47">
        <f>IF(E253="","",+T253*tab!H$87)</f>
      </c>
      <c r="V253" s="46">
        <f t="shared" si="52"/>
        <v>0</v>
      </c>
      <c r="W253" s="49"/>
      <c r="X253" s="76">
        <f>IF(P253="",0,M253*12*P253*IF(OR(J253&lt;=8,J253="ID1",J253="ID2",J253="ID3"),1+tab!H$89,1+tab!G$89))</f>
        <v>0</v>
      </c>
      <c r="Y253" s="190"/>
      <c r="Z253" s="158">
        <f t="shared" si="53"/>
        <v>0</v>
      </c>
      <c r="AA253" s="76">
        <f t="shared" si="54"/>
        <v>0</v>
      </c>
      <c r="AB253" s="49"/>
      <c r="AC253" s="47">
        <f t="shared" si="55"/>
        <v>0</v>
      </c>
      <c r="AD253" s="49"/>
      <c r="AE253" s="10"/>
      <c r="AF253" s="10"/>
      <c r="AG253" s="10"/>
      <c r="AH253" s="210"/>
      <c r="AI253" s="10"/>
      <c r="AJ253" s="187"/>
      <c r="AK253" s="194"/>
      <c r="AQ253" s="211"/>
      <c r="AS253" s="187"/>
      <c r="AT253" s="194"/>
    </row>
    <row r="254" spans="2:46" s="185" customFormat="1" ht="12.75" customHeight="1">
      <c r="B254" s="10"/>
      <c r="C254" s="23"/>
      <c r="D254" s="157">
        <f t="shared" si="65"/>
      </c>
      <c r="E254" s="157">
        <f t="shared" si="65"/>
      </c>
      <c r="F254" s="157">
        <f t="shared" si="65"/>
      </c>
      <c r="G254" s="157">
        <f t="shared" si="56"/>
      </c>
      <c r="H254" s="225">
        <f t="shared" si="57"/>
      </c>
      <c r="I254" s="206"/>
      <c r="J254" s="207">
        <f t="shared" si="58"/>
      </c>
      <c r="K254" s="208">
        <f t="shared" si="63"/>
      </c>
      <c r="L254" s="206"/>
      <c r="M254" s="47">
        <f t="shared" si="64"/>
      </c>
      <c r="N254" s="190"/>
      <c r="O254" s="209">
        <f t="shared" si="66"/>
      </c>
      <c r="P254" s="209">
        <f t="shared" si="66"/>
      </c>
      <c r="Q254" s="190"/>
      <c r="R254" s="193">
        <f t="shared" si="59"/>
      </c>
      <c r="S254" s="190"/>
      <c r="T254" s="47">
        <f t="shared" si="60"/>
      </c>
      <c r="U254" s="47">
        <f>IF(E254="","",+T254*tab!H$87)</f>
      </c>
      <c r="V254" s="46">
        <f t="shared" si="52"/>
        <v>0</v>
      </c>
      <c r="W254" s="49"/>
      <c r="X254" s="76">
        <f>IF(P254="",0,M254*12*P254*IF(OR(J254&lt;=8,J254="ID1",J254="ID2",J254="ID3"),1+tab!H$89,1+tab!G$89))</f>
        <v>0</v>
      </c>
      <c r="Y254" s="190"/>
      <c r="Z254" s="158">
        <f t="shared" si="53"/>
        <v>0</v>
      </c>
      <c r="AA254" s="76">
        <f t="shared" si="54"/>
        <v>0</v>
      </c>
      <c r="AB254" s="49"/>
      <c r="AC254" s="47">
        <f t="shared" si="55"/>
        <v>0</v>
      </c>
      <c r="AD254" s="49"/>
      <c r="AE254" s="10"/>
      <c r="AF254" s="10"/>
      <c r="AG254" s="10"/>
      <c r="AH254" s="210"/>
      <c r="AI254" s="10"/>
      <c r="AJ254" s="187"/>
      <c r="AK254" s="194"/>
      <c r="AQ254" s="211"/>
      <c r="AS254" s="187"/>
      <c r="AT254" s="194"/>
    </row>
    <row r="255" spans="2:46" s="185" customFormat="1" ht="12.75" customHeight="1">
      <c r="B255" s="10"/>
      <c r="C255" s="23"/>
      <c r="D255" s="157">
        <f t="shared" si="65"/>
      </c>
      <c r="E255" s="157">
        <f t="shared" si="65"/>
      </c>
      <c r="F255" s="157">
        <f t="shared" si="65"/>
      </c>
      <c r="G255" s="157">
        <f t="shared" si="56"/>
      </c>
      <c r="H255" s="225">
        <f t="shared" si="57"/>
      </c>
      <c r="I255" s="206"/>
      <c r="J255" s="207">
        <f t="shared" si="58"/>
      </c>
      <c r="K255" s="208">
        <f t="shared" si="63"/>
      </c>
      <c r="L255" s="206"/>
      <c r="M255" s="47">
        <f t="shared" si="64"/>
      </c>
      <c r="N255" s="190"/>
      <c r="O255" s="209">
        <f t="shared" si="66"/>
      </c>
      <c r="P255" s="209">
        <f t="shared" si="66"/>
      </c>
      <c r="Q255" s="190"/>
      <c r="R255" s="193">
        <f t="shared" si="59"/>
      </c>
      <c r="S255" s="190"/>
      <c r="T255" s="47">
        <f t="shared" si="60"/>
      </c>
      <c r="U255" s="47">
        <f>IF(E255="","",+T255*tab!H$87)</f>
      </c>
      <c r="V255" s="46">
        <f t="shared" si="52"/>
        <v>0</v>
      </c>
      <c r="W255" s="49"/>
      <c r="X255" s="76">
        <f>IF(P255="",0,M255*12*P255*IF(OR(J255&lt;=8,J255="ID1",J255="ID2",J255="ID3"),1+tab!H$89,1+tab!G$89))</f>
        <v>0</v>
      </c>
      <c r="Y255" s="190"/>
      <c r="Z255" s="158">
        <f t="shared" si="53"/>
        <v>0</v>
      </c>
      <c r="AA255" s="76">
        <f t="shared" si="54"/>
        <v>0</v>
      </c>
      <c r="AB255" s="49"/>
      <c r="AC255" s="47">
        <f t="shared" si="55"/>
        <v>0</v>
      </c>
      <c r="AD255" s="49"/>
      <c r="AE255" s="10"/>
      <c r="AF255" s="10"/>
      <c r="AG255" s="10"/>
      <c r="AH255" s="210"/>
      <c r="AI255" s="10"/>
      <c r="AJ255" s="187"/>
      <c r="AK255" s="194"/>
      <c r="AQ255" s="211"/>
      <c r="AS255" s="187"/>
      <c r="AT255" s="194"/>
    </row>
    <row r="256" spans="2:46" s="185" customFormat="1" ht="12.75" customHeight="1">
      <c r="B256" s="10"/>
      <c r="C256" s="23"/>
      <c r="D256" s="157">
        <f t="shared" si="65"/>
      </c>
      <c r="E256" s="157">
        <f t="shared" si="65"/>
      </c>
      <c r="F256" s="157">
        <f t="shared" si="65"/>
      </c>
      <c r="G256" s="157">
        <f t="shared" si="56"/>
      </c>
      <c r="H256" s="225">
        <f t="shared" si="57"/>
      </c>
      <c r="I256" s="206"/>
      <c r="J256" s="207">
        <f t="shared" si="58"/>
      </c>
      <c r="K256" s="208">
        <f t="shared" si="63"/>
      </c>
      <c r="L256" s="206"/>
      <c r="M256" s="47">
        <f t="shared" si="64"/>
      </c>
      <c r="N256" s="190"/>
      <c r="O256" s="209">
        <f t="shared" si="66"/>
      </c>
      <c r="P256" s="209">
        <f t="shared" si="66"/>
      </c>
      <c r="Q256" s="190"/>
      <c r="R256" s="193">
        <f t="shared" si="59"/>
      </c>
      <c r="S256" s="190"/>
      <c r="T256" s="47">
        <f t="shared" si="60"/>
      </c>
      <c r="U256" s="47">
        <f>IF(E256="","",+T256*tab!H$87)</f>
      </c>
      <c r="V256" s="46">
        <f t="shared" si="52"/>
        <v>0</v>
      </c>
      <c r="W256" s="49"/>
      <c r="X256" s="76">
        <f>IF(P256="",0,M256*12*P256*IF(OR(J256&lt;=8,J256="ID1",J256="ID2",J256="ID3"),1+tab!H$89,1+tab!G$89))</f>
        <v>0</v>
      </c>
      <c r="Y256" s="190"/>
      <c r="Z256" s="158">
        <f t="shared" si="53"/>
        <v>0</v>
      </c>
      <c r="AA256" s="76">
        <f t="shared" si="54"/>
        <v>0</v>
      </c>
      <c r="AB256" s="49"/>
      <c r="AC256" s="47">
        <f t="shared" si="55"/>
        <v>0</v>
      </c>
      <c r="AD256" s="49"/>
      <c r="AE256" s="10"/>
      <c r="AF256" s="10"/>
      <c r="AG256" s="10"/>
      <c r="AH256" s="210"/>
      <c r="AI256" s="10"/>
      <c r="AJ256" s="187"/>
      <c r="AK256" s="194"/>
      <c r="AQ256" s="211"/>
      <c r="AS256" s="187"/>
      <c r="AT256" s="194"/>
    </row>
    <row r="257" spans="2:46" s="185" customFormat="1" ht="12.75" customHeight="1">
      <c r="B257" s="10"/>
      <c r="C257" s="23"/>
      <c r="D257" s="157">
        <f t="shared" si="65"/>
      </c>
      <c r="E257" s="157">
        <f t="shared" si="65"/>
      </c>
      <c r="F257" s="157">
        <f t="shared" si="65"/>
      </c>
      <c r="G257" s="157">
        <f t="shared" si="56"/>
      </c>
      <c r="H257" s="225">
        <f t="shared" si="57"/>
      </c>
      <c r="I257" s="206"/>
      <c r="J257" s="207">
        <f t="shared" si="58"/>
      </c>
      <c r="K257" s="208">
        <f t="shared" si="63"/>
      </c>
      <c r="L257" s="206"/>
      <c r="M257" s="47">
        <f t="shared" si="64"/>
      </c>
      <c r="N257" s="190"/>
      <c r="O257" s="209">
        <f t="shared" si="66"/>
      </c>
      <c r="P257" s="209">
        <f t="shared" si="66"/>
      </c>
      <c r="Q257" s="190"/>
      <c r="R257" s="193">
        <f t="shared" si="59"/>
      </c>
      <c r="S257" s="190"/>
      <c r="T257" s="47">
        <f t="shared" si="60"/>
      </c>
      <c r="U257" s="47">
        <f>IF(E257="","",+T257*tab!H$87)</f>
      </c>
      <c r="V257" s="46">
        <f t="shared" si="52"/>
        <v>0</v>
      </c>
      <c r="W257" s="49"/>
      <c r="X257" s="76">
        <f>IF(P257="",0,M257*12*P257*IF(OR(J257&lt;=8,J257="ID1",J257="ID2",J257="ID3"),1+tab!H$89,1+tab!G$89))</f>
        <v>0</v>
      </c>
      <c r="Y257" s="190"/>
      <c r="Z257" s="158">
        <f t="shared" si="53"/>
        <v>0</v>
      </c>
      <c r="AA257" s="76">
        <f t="shared" si="54"/>
        <v>0</v>
      </c>
      <c r="AB257" s="49"/>
      <c r="AC257" s="47">
        <f t="shared" si="55"/>
        <v>0</v>
      </c>
      <c r="AD257" s="49"/>
      <c r="AE257" s="10"/>
      <c r="AF257" s="10"/>
      <c r="AG257" s="10"/>
      <c r="AH257" s="210"/>
      <c r="AI257" s="10"/>
      <c r="AJ257" s="187"/>
      <c r="AK257" s="194"/>
      <c r="AQ257" s="211"/>
      <c r="AS257" s="187"/>
      <c r="AT257" s="194"/>
    </row>
    <row r="258" spans="2:46" s="185" customFormat="1" ht="12.75" customHeight="1">
      <c r="B258" s="10"/>
      <c r="C258" s="23"/>
      <c r="D258" s="157">
        <f t="shared" si="65"/>
      </c>
      <c r="E258" s="157">
        <f t="shared" si="65"/>
      </c>
      <c r="F258" s="157">
        <f t="shared" si="65"/>
      </c>
      <c r="G258" s="157">
        <f t="shared" si="56"/>
      </c>
      <c r="H258" s="225">
        <f t="shared" si="57"/>
      </c>
      <c r="I258" s="206"/>
      <c r="J258" s="207">
        <f t="shared" si="58"/>
      </c>
      <c r="K258" s="208">
        <f t="shared" si="63"/>
      </c>
      <c r="L258" s="206"/>
      <c r="M258" s="47">
        <f t="shared" si="64"/>
      </c>
      <c r="N258" s="190"/>
      <c r="O258" s="209">
        <f t="shared" si="66"/>
      </c>
      <c r="P258" s="209">
        <f t="shared" si="66"/>
      </c>
      <c r="Q258" s="190"/>
      <c r="R258" s="193">
        <f t="shared" si="59"/>
      </c>
      <c r="S258" s="190"/>
      <c r="T258" s="47">
        <f t="shared" si="60"/>
      </c>
      <c r="U258" s="47">
        <f>IF(E258="","",+T258*tab!H$87)</f>
      </c>
      <c r="V258" s="46">
        <f t="shared" si="52"/>
        <v>0</v>
      </c>
      <c r="W258" s="49"/>
      <c r="X258" s="76">
        <f>IF(P258="",0,M258*12*P258*IF(OR(J258&lt;=8,J258="ID1",J258="ID2",J258="ID3"),1+tab!H$89,1+tab!G$89))</f>
        <v>0</v>
      </c>
      <c r="Y258" s="190"/>
      <c r="Z258" s="158">
        <f t="shared" si="53"/>
        <v>0</v>
      </c>
      <c r="AA258" s="76">
        <f t="shared" si="54"/>
        <v>0</v>
      </c>
      <c r="AB258" s="49"/>
      <c r="AC258" s="47">
        <f t="shared" si="55"/>
        <v>0</v>
      </c>
      <c r="AD258" s="49"/>
      <c r="AE258" s="10"/>
      <c r="AF258" s="10"/>
      <c r="AG258" s="10"/>
      <c r="AH258" s="210"/>
      <c r="AI258" s="10"/>
      <c r="AJ258" s="187"/>
      <c r="AK258" s="194"/>
      <c r="AQ258" s="211"/>
      <c r="AS258" s="187"/>
      <c r="AT258" s="194"/>
    </row>
    <row r="259" spans="2:46" s="185" customFormat="1" ht="12.75" customHeight="1">
      <c r="B259" s="10"/>
      <c r="C259" s="23"/>
      <c r="D259" s="157">
        <f t="shared" si="65"/>
      </c>
      <c r="E259" s="157">
        <f t="shared" si="65"/>
      </c>
      <c r="F259" s="157">
        <f t="shared" si="65"/>
      </c>
      <c r="G259" s="157">
        <f t="shared" si="56"/>
      </c>
      <c r="H259" s="225">
        <f t="shared" si="57"/>
      </c>
      <c r="I259" s="206"/>
      <c r="J259" s="207">
        <f t="shared" si="58"/>
      </c>
      <c r="K259" s="208">
        <f t="shared" si="63"/>
      </c>
      <c r="L259" s="206"/>
      <c r="M259" s="47">
        <f t="shared" si="64"/>
      </c>
      <c r="N259" s="190"/>
      <c r="O259" s="209">
        <f t="shared" si="66"/>
      </c>
      <c r="P259" s="209">
        <f t="shared" si="66"/>
      </c>
      <c r="Q259" s="190"/>
      <c r="R259" s="193">
        <f t="shared" si="59"/>
      </c>
      <c r="S259" s="190"/>
      <c r="T259" s="47">
        <f t="shared" si="60"/>
      </c>
      <c r="U259" s="47">
        <f>IF(E259="","",+T259*tab!H$87)</f>
      </c>
      <c r="V259" s="46">
        <f t="shared" si="52"/>
        <v>0</v>
      </c>
      <c r="W259" s="49"/>
      <c r="X259" s="76">
        <f>IF(P259="",0,M259*12*P259*IF(OR(J259&lt;=8,J259="ID1",J259="ID2",J259="ID3"),1+tab!H$89,1+tab!G$89))</f>
        <v>0</v>
      </c>
      <c r="Y259" s="190"/>
      <c r="Z259" s="158">
        <f t="shared" si="53"/>
        <v>0</v>
      </c>
      <c r="AA259" s="76">
        <f t="shared" si="54"/>
        <v>0</v>
      </c>
      <c r="AB259" s="49"/>
      <c r="AC259" s="47">
        <f t="shared" si="55"/>
        <v>0</v>
      </c>
      <c r="AD259" s="49"/>
      <c r="AE259" s="10"/>
      <c r="AF259" s="10"/>
      <c r="AG259" s="10"/>
      <c r="AH259" s="210"/>
      <c r="AI259" s="10"/>
      <c r="AJ259" s="187"/>
      <c r="AK259" s="194"/>
      <c r="AQ259" s="211"/>
      <c r="AS259" s="187"/>
      <c r="AT259" s="194"/>
    </row>
    <row r="260" spans="3:53" ht="12.75">
      <c r="C260" s="23"/>
      <c r="D260" s="27"/>
      <c r="E260" s="27"/>
      <c r="F260" s="27"/>
      <c r="G260" s="212"/>
      <c r="H260" s="196"/>
      <c r="I260" s="212"/>
      <c r="J260" s="195"/>
      <c r="K260" s="197"/>
      <c r="L260" s="212"/>
      <c r="M260" s="144"/>
      <c r="N260" s="144"/>
      <c r="O260" s="150">
        <f>SUM(O210:O259)</f>
        <v>0</v>
      </c>
      <c r="P260" s="150">
        <f>SUM(P210:P259)</f>
        <v>0</v>
      </c>
      <c r="Q260" s="144"/>
      <c r="R260" s="145"/>
      <c r="S260" s="144"/>
      <c r="T260" s="50">
        <f>SUM(T210:T259)</f>
        <v>0</v>
      </c>
      <c r="U260" s="50">
        <f>SUM(U210:U259)</f>
        <v>0</v>
      </c>
      <c r="V260" s="50">
        <f>SUM(V210:V259)</f>
        <v>0</v>
      </c>
      <c r="W260" s="144"/>
      <c r="X260" s="198">
        <f>SUM(X210:X259)</f>
        <v>0</v>
      </c>
      <c r="Y260" s="144"/>
      <c r="Z260" s="199">
        <f>SUM(Z210:Z259)</f>
        <v>0</v>
      </c>
      <c r="AA260" s="198">
        <f>SUM(AA210:AA259)</f>
        <v>0</v>
      </c>
      <c r="AB260" s="144"/>
      <c r="AC260" s="198">
        <f>SUM(AC210:AC259)</f>
        <v>0</v>
      </c>
      <c r="AD260" s="144"/>
      <c r="BA260" s="185"/>
    </row>
    <row r="261" spans="3:30" ht="12.75">
      <c r="C261" s="23"/>
      <c r="D261" s="35"/>
      <c r="E261" s="35"/>
      <c r="F261" s="35"/>
      <c r="G261" s="36"/>
      <c r="H261" s="143"/>
      <c r="I261" s="35"/>
      <c r="J261" s="36"/>
      <c r="K261" s="144"/>
      <c r="L261" s="36"/>
      <c r="M261" s="144"/>
      <c r="N261" s="144"/>
      <c r="O261" s="145"/>
      <c r="P261" s="145"/>
      <c r="Q261" s="144"/>
      <c r="R261" s="145"/>
      <c r="S261" s="144"/>
      <c r="T261" s="200"/>
      <c r="U261" s="200"/>
      <c r="V261" s="200"/>
      <c r="W261" s="144"/>
      <c r="X261" s="201"/>
      <c r="Y261" s="144"/>
      <c r="Z261" s="202"/>
      <c r="AA261" s="201"/>
      <c r="AB261" s="144"/>
      <c r="AC261" s="144"/>
      <c r="AD261" s="144"/>
    </row>
    <row r="263" spans="4:53" s="42" customFormat="1" ht="12.75">
      <c r="D263" s="81"/>
      <c r="E263" s="81"/>
      <c r="F263" s="81"/>
      <c r="G263" s="88"/>
      <c r="H263" s="394"/>
      <c r="J263" s="395"/>
      <c r="K263" s="395"/>
      <c r="L263" s="396"/>
      <c r="M263" s="396"/>
      <c r="N263" s="396"/>
      <c r="O263" s="390"/>
      <c r="P263" s="395"/>
      <c r="Q263" s="395"/>
      <c r="R263" s="397"/>
      <c r="V263" s="58"/>
      <c r="W263" s="58"/>
      <c r="X263" s="377"/>
      <c r="Z263" s="398"/>
      <c r="AA263" s="377"/>
      <c r="AJ263" s="88"/>
      <c r="AK263" s="378"/>
      <c r="AS263" s="88"/>
      <c r="AT263" s="378"/>
      <c r="BA263" s="10"/>
    </row>
    <row r="264" ht="12.75">
      <c r="BA264" s="42"/>
    </row>
    <row r="266" spans="3:5" ht="12.75">
      <c r="C266" s="10" t="s">
        <v>310</v>
      </c>
      <c r="D266" s="186"/>
      <c r="E266" s="134" t="str">
        <f>tab!K11</f>
        <v>2011/12</v>
      </c>
    </row>
    <row r="267" spans="3:5" ht="12.75">
      <c r="C267" s="10" t="s">
        <v>311</v>
      </c>
      <c r="D267" s="186"/>
      <c r="E267" s="134">
        <f>tab!L13</f>
        <v>40817</v>
      </c>
    </row>
    <row r="268" spans="4:53" s="42" customFormat="1" ht="12.75">
      <c r="D268" s="81"/>
      <c r="E268" s="81"/>
      <c r="F268" s="81"/>
      <c r="G268" s="88"/>
      <c r="H268" s="394"/>
      <c r="J268" s="395"/>
      <c r="K268" s="395"/>
      <c r="L268" s="396"/>
      <c r="M268" s="396"/>
      <c r="N268" s="396"/>
      <c r="O268" s="390"/>
      <c r="P268" s="395"/>
      <c r="Q268" s="395"/>
      <c r="R268" s="397"/>
      <c r="V268" s="58"/>
      <c r="W268" s="58"/>
      <c r="X268" s="377"/>
      <c r="Z268" s="398"/>
      <c r="AA268" s="377"/>
      <c r="AJ268" s="88"/>
      <c r="AK268" s="378"/>
      <c r="AS268" s="88"/>
      <c r="AT268" s="378"/>
      <c r="BA268" s="10"/>
    </row>
    <row r="269" spans="3:53" ht="12.75" customHeight="1">
      <c r="C269" s="23"/>
      <c r="D269" s="35"/>
      <c r="E269" s="39"/>
      <c r="F269" s="35"/>
      <c r="G269" s="36"/>
      <c r="H269" s="143"/>
      <c r="I269" s="23"/>
      <c r="J269" s="144"/>
      <c r="K269" s="144"/>
      <c r="L269" s="45"/>
      <c r="M269" s="45"/>
      <c r="N269" s="45"/>
      <c r="O269" s="145"/>
      <c r="P269" s="144"/>
      <c r="Q269" s="144"/>
      <c r="R269" s="146"/>
      <c r="S269" s="23"/>
      <c r="T269" s="23"/>
      <c r="U269" s="23"/>
      <c r="V269" s="55"/>
      <c r="W269" s="55"/>
      <c r="X269" s="31"/>
      <c r="Y269" s="23"/>
      <c r="Z269" s="147"/>
      <c r="AA269" s="31"/>
      <c r="AB269" s="23"/>
      <c r="AC269" s="23"/>
      <c r="AD269" s="23"/>
      <c r="AJ269" s="137"/>
      <c r="AK269" s="138"/>
      <c r="AL269" s="137"/>
      <c r="AM269" s="137"/>
      <c r="AN269" s="137"/>
      <c r="AO269" s="91"/>
      <c r="AP269" s="139"/>
      <c r="AQ269" s="140"/>
      <c r="AR269" s="141"/>
      <c r="AS269" s="142"/>
      <c r="AT269" s="139"/>
      <c r="BA269" s="42"/>
    </row>
    <row r="270" spans="3:48" ht="12.75" customHeight="1">
      <c r="C270" s="23"/>
      <c r="D270" s="598" t="s">
        <v>312</v>
      </c>
      <c r="E270" s="599"/>
      <c r="F270" s="599"/>
      <c r="G270" s="599"/>
      <c r="H270" s="599"/>
      <c r="I270" s="149"/>
      <c r="J270" s="598" t="s">
        <v>313</v>
      </c>
      <c r="K270" s="599"/>
      <c r="L270" s="599"/>
      <c r="M270" s="599"/>
      <c r="N270" s="36"/>
      <c r="O270" s="600" t="s">
        <v>314</v>
      </c>
      <c r="P270" s="599"/>
      <c r="Q270" s="599"/>
      <c r="R270" s="599"/>
      <c r="S270" s="151"/>
      <c r="T270" s="598" t="s">
        <v>315</v>
      </c>
      <c r="U270" s="598"/>
      <c r="V270" s="598"/>
      <c r="W270" s="36"/>
      <c r="X270" s="77" t="s">
        <v>316</v>
      </c>
      <c r="Y270" s="36"/>
      <c r="Z270" s="152"/>
      <c r="AA270" s="148" t="s">
        <v>317</v>
      </c>
      <c r="AB270" s="144"/>
      <c r="AC270" s="153" t="s">
        <v>315</v>
      </c>
      <c r="AD270" s="144"/>
      <c r="AE270" s="155"/>
      <c r="AF270" s="155"/>
      <c r="AG270" s="92"/>
      <c r="AH270" s="156"/>
      <c r="AI270" s="92"/>
      <c r="AJ270" s="10"/>
      <c r="AK270" s="10"/>
      <c r="AS270" s="10"/>
      <c r="AT270" s="10"/>
      <c r="AU270" s="155"/>
      <c r="AV270" s="155"/>
    </row>
    <row r="271" spans="3:48" ht="12.75" customHeight="1">
      <c r="C271" s="23"/>
      <c r="D271" s="159" t="s">
        <v>338</v>
      </c>
      <c r="E271" s="159" t="s">
        <v>319</v>
      </c>
      <c r="F271" s="159" t="s">
        <v>320</v>
      </c>
      <c r="G271" s="160" t="s">
        <v>321</v>
      </c>
      <c r="H271" s="161" t="s">
        <v>322</v>
      </c>
      <c r="I271" s="30"/>
      <c r="J271" s="160" t="s">
        <v>208</v>
      </c>
      <c r="K271" s="160" t="s">
        <v>323</v>
      </c>
      <c r="L271" s="162"/>
      <c r="M271" s="163" t="s">
        <v>324</v>
      </c>
      <c r="N271" s="164"/>
      <c r="O271" s="165" t="s">
        <v>325</v>
      </c>
      <c r="P271" s="166" t="s">
        <v>326</v>
      </c>
      <c r="Q271" s="166"/>
      <c r="R271" s="165" t="s">
        <v>325</v>
      </c>
      <c r="S271" s="30"/>
      <c r="T271" s="167" t="s">
        <v>327</v>
      </c>
      <c r="U271" s="167" t="s">
        <v>328</v>
      </c>
      <c r="V271" s="167" t="s">
        <v>329</v>
      </c>
      <c r="W271" s="164"/>
      <c r="X271" s="168" t="s">
        <v>330</v>
      </c>
      <c r="Y271" s="35"/>
      <c r="Z271" s="169" t="s">
        <v>339</v>
      </c>
      <c r="AA271" s="168" t="s">
        <v>330</v>
      </c>
      <c r="AB271" s="170"/>
      <c r="AC271" s="160" t="s">
        <v>332</v>
      </c>
      <c r="AD271" s="170"/>
      <c r="AE271" s="172"/>
      <c r="AF271" s="172"/>
      <c r="AG271" s="173"/>
      <c r="AH271" s="174"/>
      <c r="AI271" s="173"/>
      <c r="AJ271" s="10"/>
      <c r="AK271" s="10"/>
      <c r="AS271" s="10"/>
      <c r="AT271" s="10"/>
      <c r="AU271" s="155"/>
      <c r="AV271" s="172"/>
    </row>
    <row r="272" spans="3:48" ht="12.75" customHeight="1">
      <c r="C272" s="23"/>
      <c r="D272" s="157"/>
      <c r="E272" s="159"/>
      <c r="F272" s="175"/>
      <c r="G272" s="160" t="s">
        <v>333</v>
      </c>
      <c r="H272" s="161" t="s">
        <v>334</v>
      </c>
      <c r="I272" s="30"/>
      <c r="J272" s="160"/>
      <c r="K272" s="160"/>
      <c r="L272" s="162"/>
      <c r="M272" s="163" t="s">
        <v>335</v>
      </c>
      <c r="N272" s="164"/>
      <c r="O272" s="165" t="s">
        <v>336</v>
      </c>
      <c r="P272" s="166"/>
      <c r="Q272" s="166"/>
      <c r="R272" s="165" t="s">
        <v>337</v>
      </c>
      <c r="S272" s="30"/>
      <c r="T272" s="167"/>
      <c r="U272" s="227"/>
      <c r="V272" s="167"/>
      <c r="W272" s="164"/>
      <c r="X272" s="168"/>
      <c r="Y272" s="23"/>
      <c r="Z272" s="169"/>
      <c r="AA272" s="168"/>
      <c r="AB272" s="23"/>
      <c r="AC272" s="69"/>
      <c r="AD272" s="23"/>
      <c r="AJ272" s="10"/>
      <c r="AK272" s="10"/>
      <c r="AS272" s="10"/>
      <c r="AT272" s="10"/>
      <c r="AV272" s="177"/>
    </row>
    <row r="273" spans="3:48" ht="12.75" customHeight="1">
      <c r="C273" s="23"/>
      <c r="D273" s="35"/>
      <c r="E273" s="35"/>
      <c r="F273" s="35"/>
      <c r="G273" s="36"/>
      <c r="H273" s="143"/>
      <c r="I273" s="23"/>
      <c r="J273" s="170"/>
      <c r="K273" s="170"/>
      <c r="L273" s="178"/>
      <c r="M273" s="179"/>
      <c r="N273" s="164"/>
      <c r="O273" s="180"/>
      <c r="P273" s="181"/>
      <c r="Q273" s="164"/>
      <c r="R273" s="180"/>
      <c r="S273" s="164"/>
      <c r="T273" s="182"/>
      <c r="U273" s="182"/>
      <c r="V273" s="182"/>
      <c r="W273" s="164"/>
      <c r="X273" s="183"/>
      <c r="Y273" s="164"/>
      <c r="Z273" s="184"/>
      <c r="AA273" s="183"/>
      <c r="AB273" s="164"/>
      <c r="AC273" s="164"/>
      <c r="AD273" s="164"/>
      <c r="AJ273" s="10"/>
      <c r="AK273" s="10"/>
      <c r="AS273" s="10"/>
      <c r="AT273" s="10"/>
      <c r="AV273" s="177"/>
    </row>
    <row r="274" spans="2:53" s="185" customFormat="1" ht="12.75" customHeight="1">
      <c r="B274" s="10"/>
      <c r="C274" s="23"/>
      <c r="D274" s="157">
        <f aca="true" t="shared" si="67" ref="D274:F293">IF(D210=0,"",D210)</f>
      </c>
      <c r="E274" s="157">
        <f t="shared" si="67"/>
      </c>
      <c r="F274" s="157">
        <f t="shared" si="67"/>
      </c>
      <c r="G274" s="157">
        <f>IF(G210="","",G210+1)</f>
      </c>
      <c r="H274" s="225">
        <f>IF(H210=0,"",H210)</f>
      </c>
      <c r="I274" s="206"/>
      <c r="J274" s="207">
        <f>IF(J210=0,"",J210)</f>
      </c>
      <c r="K274" s="208">
        <f aca="true" t="shared" si="68" ref="K274:K305">IF(E274="","",(IF((K210+1)&gt;VLOOKUP(J274,tabelsalaris,22,FALSE),K210,K210+1)))</f>
      </c>
      <c r="L274" s="206"/>
      <c r="M274" s="47">
        <f aca="true" t="shared" si="69" ref="M274:M305">IF(J274="","",ROUND(1.022*VLOOKUP(J274,tabelsalaris,K274+1,FALSE),0))</f>
      </c>
      <c r="N274" s="190"/>
      <c r="O274" s="209">
        <f aca="true" t="shared" si="70" ref="O274:P293">IF(O210="","",O210)</f>
      </c>
      <c r="P274" s="209">
        <f t="shared" si="70"/>
      </c>
      <c r="Q274" s="190"/>
      <c r="R274" s="193">
        <f>IF(P274="",O274,O274-P274)</f>
      </c>
      <c r="S274" s="190"/>
      <c r="T274" s="47">
        <f>IF(E274="","",(M274*R274*12))</f>
      </c>
      <c r="U274" s="47">
        <f>IF(E274="","",+T274*tab!H$87)</f>
      </c>
      <c r="V274" s="46">
        <f aca="true" t="shared" si="71" ref="V274:V323">IF(E274="",0,(T274+U274))</f>
        <v>0</v>
      </c>
      <c r="W274" s="49"/>
      <c r="X274" s="76">
        <f>IF(P274="",0,M274*12*P274*IF(OR(J274&lt;=8,J274="ID1",J274="ID2",J274="ID3"),1+tab!H$89,1+tab!G$89))</f>
        <v>0</v>
      </c>
      <c r="Y274" s="190"/>
      <c r="Z274" s="158">
        <f aca="true" t="shared" si="72" ref="Z274:Z323">IF(G274&lt;25,0,IF(G274=25,25,IF(G274&lt;40,0,IF(G274=40,40,IF(G274&gt;=40,0)))))</f>
        <v>0</v>
      </c>
      <c r="AA274" s="76">
        <f aca="true" t="shared" si="73" ref="AA274:AA323">IF(E274="",0,IF(Z274=25,(M274*1.08*(O274)/2),IF(Z274=40,(M274*1.08*(O274)),IF(Z274=0,0))))</f>
        <v>0</v>
      </c>
      <c r="AB274" s="49"/>
      <c r="AC274" s="47">
        <f aca="true" t="shared" si="74" ref="AC274:AC323">IF(E274="",0,(V274+X274+AA274))</f>
        <v>0</v>
      </c>
      <c r="AD274" s="49"/>
      <c r="AE274" s="10"/>
      <c r="AF274" s="10"/>
      <c r="AG274" s="10"/>
      <c r="AH274" s="210"/>
      <c r="AI274" s="10"/>
      <c r="AJ274" s="187"/>
      <c r="AK274" s="194"/>
      <c r="AQ274" s="211"/>
      <c r="AS274" s="187"/>
      <c r="AT274" s="194"/>
      <c r="BA274" s="10"/>
    </row>
    <row r="275" spans="2:46" s="185" customFormat="1" ht="12.75" customHeight="1">
      <c r="B275" s="10"/>
      <c r="C275" s="23"/>
      <c r="D275" s="157">
        <f t="shared" si="67"/>
      </c>
      <c r="E275" s="157">
        <f t="shared" si="67"/>
      </c>
      <c r="F275" s="157">
        <f t="shared" si="67"/>
      </c>
      <c r="G275" s="157">
        <f aca="true" t="shared" si="75" ref="G275:G323">IF(G211="","",G211+1)</f>
      </c>
      <c r="H275" s="225">
        <f aca="true" t="shared" si="76" ref="H275:H323">IF(H211=0,"",H211)</f>
      </c>
      <c r="I275" s="206"/>
      <c r="J275" s="207">
        <f aca="true" t="shared" si="77" ref="J275:J323">IF(J211=0,"",J211)</f>
      </c>
      <c r="K275" s="208">
        <f t="shared" si="68"/>
      </c>
      <c r="L275" s="206"/>
      <c r="M275" s="47">
        <f t="shared" si="69"/>
      </c>
      <c r="N275" s="190"/>
      <c r="O275" s="209">
        <f t="shared" si="70"/>
      </c>
      <c r="P275" s="209">
        <f t="shared" si="70"/>
      </c>
      <c r="Q275" s="190"/>
      <c r="R275" s="193">
        <f aca="true" t="shared" si="78" ref="R275:R323">IF(P275="",O275,O275-P275)</f>
      </c>
      <c r="S275" s="190"/>
      <c r="T275" s="47">
        <f aca="true" t="shared" si="79" ref="T275:T323">IF(E275="","",(M275*R275*12))</f>
      </c>
      <c r="U275" s="47">
        <f>IF(E275="","",+T275*tab!H$87)</f>
      </c>
      <c r="V275" s="46">
        <f t="shared" si="71"/>
        <v>0</v>
      </c>
      <c r="W275" s="49"/>
      <c r="X275" s="76">
        <f>IF(P275="",0,M275*12*P275*IF(OR(J275&lt;=8,J275="ID1",J275="ID2",J275="ID3"),1+tab!H$89,1+tab!G$89))</f>
        <v>0</v>
      </c>
      <c r="Y275" s="190"/>
      <c r="Z275" s="158">
        <f t="shared" si="72"/>
        <v>0</v>
      </c>
      <c r="AA275" s="76">
        <f t="shared" si="73"/>
        <v>0</v>
      </c>
      <c r="AB275" s="49"/>
      <c r="AC275" s="47">
        <f t="shared" si="74"/>
        <v>0</v>
      </c>
      <c r="AD275" s="49"/>
      <c r="AE275" s="10"/>
      <c r="AF275" s="10"/>
      <c r="AG275" s="10"/>
      <c r="AH275" s="210"/>
      <c r="AI275" s="10"/>
      <c r="AJ275" s="187"/>
      <c r="AK275" s="194"/>
      <c r="AQ275" s="211"/>
      <c r="AS275" s="187"/>
      <c r="AT275" s="194"/>
    </row>
    <row r="276" spans="2:46" s="185" customFormat="1" ht="12.75" customHeight="1">
      <c r="B276" s="10"/>
      <c r="C276" s="23"/>
      <c r="D276" s="157">
        <f t="shared" si="67"/>
      </c>
      <c r="E276" s="157">
        <f t="shared" si="67"/>
      </c>
      <c r="F276" s="157">
        <f t="shared" si="67"/>
      </c>
      <c r="G276" s="157">
        <f t="shared" si="75"/>
      </c>
      <c r="H276" s="225">
        <f t="shared" si="76"/>
      </c>
      <c r="I276" s="206"/>
      <c r="J276" s="207">
        <f t="shared" si="77"/>
      </c>
      <c r="K276" s="208">
        <f t="shared" si="68"/>
      </c>
      <c r="L276" s="206"/>
      <c r="M276" s="47">
        <f t="shared" si="69"/>
      </c>
      <c r="N276" s="190"/>
      <c r="O276" s="209">
        <f t="shared" si="70"/>
      </c>
      <c r="P276" s="209">
        <f t="shared" si="70"/>
      </c>
      <c r="Q276" s="190"/>
      <c r="R276" s="193">
        <f t="shared" si="78"/>
      </c>
      <c r="S276" s="190"/>
      <c r="T276" s="47">
        <f t="shared" si="79"/>
      </c>
      <c r="U276" s="47">
        <f>IF(E276="","",+T276*tab!H$87)</f>
      </c>
      <c r="V276" s="46">
        <f t="shared" si="71"/>
        <v>0</v>
      </c>
      <c r="W276" s="49"/>
      <c r="X276" s="76">
        <f>IF(P276="",0,M276*12*P276*IF(OR(J276&lt;=8,J276="ID1",J276="ID2",J276="ID3"),1+tab!H$89,1+tab!G$89))</f>
        <v>0</v>
      </c>
      <c r="Y276" s="190"/>
      <c r="Z276" s="158">
        <f t="shared" si="72"/>
        <v>0</v>
      </c>
      <c r="AA276" s="76">
        <f t="shared" si="73"/>
        <v>0</v>
      </c>
      <c r="AB276" s="49"/>
      <c r="AC276" s="47">
        <f t="shared" si="74"/>
        <v>0</v>
      </c>
      <c r="AD276" s="49"/>
      <c r="AE276" s="10"/>
      <c r="AF276" s="10"/>
      <c r="AG276" s="10"/>
      <c r="AH276" s="210"/>
      <c r="AI276" s="10"/>
      <c r="AJ276" s="187"/>
      <c r="AK276" s="194"/>
      <c r="AQ276" s="211"/>
      <c r="AS276" s="187"/>
      <c r="AT276" s="194"/>
    </row>
    <row r="277" spans="2:46" s="185" customFormat="1" ht="12.75" customHeight="1">
      <c r="B277" s="10"/>
      <c r="C277" s="23"/>
      <c r="D277" s="157">
        <f t="shared" si="67"/>
      </c>
      <c r="E277" s="157">
        <f t="shared" si="67"/>
      </c>
      <c r="F277" s="157">
        <f t="shared" si="67"/>
      </c>
      <c r="G277" s="157">
        <f t="shared" si="75"/>
      </c>
      <c r="H277" s="225">
        <f t="shared" si="76"/>
      </c>
      <c r="I277" s="206"/>
      <c r="J277" s="207">
        <f t="shared" si="77"/>
      </c>
      <c r="K277" s="208">
        <f t="shared" si="68"/>
      </c>
      <c r="L277" s="206"/>
      <c r="M277" s="47">
        <f t="shared" si="69"/>
      </c>
      <c r="N277" s="190"/>
      <c r="O277" s="209">
        <f t="shared" si="70"/>
      </c>
      <c r="P277" s="209">
        <f t="shared" si="70"/>
      </c>
      <c r="Q277" s="190"/>
      <c r="R277" s="193">
        <f t="shared" si="78"/>
      </c>
      <c r="S277" s="190"/>
      <c r="T277" s="47">
        <f t="shared" si="79"/>
      </c>
      <c r="U277" s="47">
        <f>IF(E277="","",+T277*tab!H$87)</f>
      </c>
      <c r="V277" s="46">
        <f t="shared" si="71"/>
        <v>0</v>
      </c>
      <c r="W277" s="49"/>
      <c r="X277" s="76">
        <f>IF(P277="",0,M277*12*P277*IF(OR(J277&lt;=8,J277="ID1",J277="ID2",J277="ID3"),1+tab!H$89,1+tab!G$89))</f>
        <v>0</v>
      </c>
      <c r="Y277" s="190"/>
      <c r="Z277" s="158">
        <f t="shared" si="72"/>
        <v>0</v>
      </c>
      <c r="AA277" s="76">
        <f t="shared" si="73"/>
        <v>0</v>
      </c>
      <c r="AB277" s="49"/>
      <c r="AC277" s="47">
        <f t="shared" si="74"/>
        <v>0</v>
      </c>
      <c r="AD277" s="49"/>
      <c r="AE277" s="10"/>
      <c r="AF277" s="10"/>
      <c r="AG277" s="10"/>
      <c r="AH277" s="210"/>
      <c r="AI277" s="10"/>
      <c r="AJ277" s="187"/>
      <c r="AK277" s="194"/>
      <c r="AQ277" s="211"/>
      <c r="AS277" s="187"/>
      <c r="AT277" s="194"/>
    </row>
    <row r="278" spans="2:46" s="185" customFormat="1" ht="12.75" customHeight="1">
      <c r="B278" s="10"/>
      <c r="C278" s="23"/>
      <c r="D278" s="157">
        <f t="shared" si="67"/>
      </c>
      <c r="E278" s="157">
        <f t="shared" si="67"/>
      </c>
      <c r="F278" s="157">
        <f t="shared" si="67"/>
      </c>
      <c r="G278" s="157">
        <f t="shared" si="75"/>
      </c>
      <c r="H278" s="225">
        <f t="shared" si="76"/>
      </c>
      <c r="I278" s="206"/>
      <c r="J278" s="207">
        <f t="shared" si="77"/>
      </c>
      <c r="K278" s="208">
        <f t="shared" si="68"/>
      </c>
      <c r="L278" s="206"/>
      <c r="M278" s="47">
        <f t="shared" si="69"/>
      </c>
      <c r="N278" s="190"/>
      <c r="O278" s="209">
        <f t="shared" si="70"/>
      </c>
      <c r="P278" s="209">
        <f t="shared" si="70"/>
      </c>
      <c r="Q278" s="190"/>
      <c r="R278" s="193">
        <f t="shared" si="78"/>
      </c>
      <c r="S278" s="190"/>
      <c r="T278" s="47">
        <f t="shared" si="79"/>
      </c>
      <c r="U278" s="47">
        <f>IF(E278="","",+T278*tab!H$87)</f>
      </c>
      <c r="V278" s="46">
        <f t="shared" si="71"/>
        <v>0</v>
      </c>
      <c r="W278" s="49"/>
      <c r="X278" s="76">
        <f>IF(P278="",0,M278*12*P278*IF(OR(J278&lt;=8,J278="ID1",J278="ID2",J278="ID3"),1+tab!H$89,1+tab!G$89))</f>
        <v>0</v>
      </c>
      <c r="Y278" s="190"/>
      <c r="Z278" s="158">
        <f t="shared" si="72"/>
        <v>0</v>
      </c>
      <c r="AA278" s="76">
        <f t="shared" si="73"/>
        <v>0</v>
      </c>
      <c r="AB278" s="49"/>
      <c r="AC278" s="47">
        <f t="shared" si="74"/>
        <v>0</v>
      </c>
      <c r="AD278" s="49"/>
      <c r="AE278" s="10"/>
      <c r="AF278" s="10"/>
      <c r="AG278" s="10"/>
      <c r="AH278" s="210"/>
      <c r="AI278" s="10"/>
      <c r="AJ278" s="187"/>
      <c r="AK278" s="194"/>
      <c r="AQ278" s="211"/>
      <c r="AS278" s="187"/>
      <c r="AT278" s="194"/>
    </row>
    <row r="279" spans="2:46" s="185" customFormat="1" ht="12.75" customHeight="1">
      <c r="B279" s="10"/>
      <c r="C279" s="23"/>
      <c r="D279" s="157">
        <f t="shared" si="67"/>
      </c>
      <c r="E279" s="157">
        <f t="shared" si="67"/>
      </c>
      <c r="F279" s="157">
        <f t="shared" si="67"/>
      </c>
      <c r="G279" s="157">
        <f t="shared" si="75"/>
      </c>
      <c r="H279" s="225">
        <f t="shared" si="76"/>
      </c>
      <c r="I279" s="206"/>
      <c r="J279" s="207">
        <f t="shared" si="77"/>
      </c>
      <c r="K279" s="208">
        <f t="shared" si="68"/>
      </c>
      <c r="L279" s="206"/>
      <c r="M279" s="47">
        <f t="shared" si="69"/>
      </c>
      <c r="N279" s="190"/>
      <c r="O279" s="209">
        <f t="shared" si="70"/>
      </c>
      <c r="P279" s="209">
        <f t="shared" si="70"/>
      </c>
      <c r="Q279" s="190"/>
      <c r="R279" s="193">
        <f t="shared" si="78"/>
      </c>
      <c r="S279" s="190"/>
      <c r="T279" s="47">
        <f t="shared" si="79"/>
      </c>
      <c r="U279" s="47">
        <f>IF(E279="","",+T279*tab!H$87)</f>
      </c>
      <c r="V279" s="46">
        <f t="shared" si="71"/>
        <v>0</v>
      </c>
      <c r="W279" s="49"/>
      <c r="X279" s="76">
        <f>IF(P279="",0,M279*12*P279*IF(OR(J279&lt;=8,J279="ID1",J279="ID2",J279="ID3"),1+tab!H$89,1+tab!G$89))</f>
        <v>0</v>
      </c>
      <c r="Y279" s="190"/>
      <c r="Z279" s="158">
        <f t="shared" si="72"/>
        <v>0</v>
      </c>
      <c r="AA279" s="76">
        <f t="shared" si="73"/>
        <v>0</v>
      </c>
      <c r="AB279" s="49"/>
      <c r="AC279" s="47">
        <f t="shared" si="74"/>
        <v>0</v>
      </c>
      <c r="AD279" s="49"/>
      <c r="AE279" s="10"/>
      <c r="AF279" s="10"/>
      <c r="AG279" s="10"/>
      <c r="AH279" s="210"/>
      <c r="AI279" s="10"/>
      <c r="AJ279" s="187"/>
      <c r="AK279" s="194"/>
      <c r="AQ279" s="211"/>
      <c r="AS279" s="187"/>
      <c r="AT279" s="194"/>
    </row>
    <row r="280" spans="2:46" s="185" customFormat="1" ht="12.75" customHeight="1">
      <c r="B280" s="10"/>
      <c r="C280" s="23"/>
      <c r="D280" s="157">
        <f t="shared" si="67"/>
      </c>
      <c r="E280" s="157">
        <f t="shared" si="67"/>
      </c>
      <c r="F280" s="157">
        <f t="shared" si="67"/>
      </c>
      <c r="G280" s="157">
        <f t="shared" si="75"/>
      </c>
      <c r="H280" s="225">
        <f t="shared" si="76"/>
      </c>
      <c r="I280" s="206"/>
      <c r="J280" s="207">
        <f t="shared" si="77"/>
      </c>
      <c r="K280" s="208">
        <f t="shared" si="68"/>
      </c>
      <c r="L280" s="206"/>
      <c r="M280" s="47">
        <f t="shared" si="69"/>
      </c>
      <c r="N280" s="190"/>
      <c r="O280" s="209">
        <f t="shared" si="70"/>
      </c>
      <c r="P280" s="209">
        <f t="shared" si="70"/>
      </c>
      <c r="Q280" s="190"/>
      <c r="R280" s="193">
        <f t="shared" si="78"/>
      </c>
      <c r="S280" s="190"/>
      <c r="T280" s="47">
        <f t="shared" si="79"/>
      </c>
      <c r="U280" s="47">
        <f>IF(E280="","",+T280*tab!H$87)</f>
      </c>
      <c r="V280" s="46">
        <f t="shared" si="71"/>
        <v>0</v>
      </c>
      <c r="W280" s="49"/>
      <c r="X280" s="76">
        <f>IF(P280="",0,M280*12*P280*IF(OR(J280&lt;=8,J280="ID1",J280="ID2",J280="ID3"),1+tab!H$89,1+tab!G$89))</f>
        <v>0</v>
      </c>
      <c r="Y280" s="190"/>
      <c r="Z280" s="158">
        <f t="shared" si="72"/>
        <v>0</v>
      </c>
      <c r="AA280" s="76">
        <f t="shared" si="73"/>
        <v>0</v>
      </c>
      <c r="AB280" s="49"/>
      <c r="AC280" s="47">
        <f t="shared" si="74"/>
        <v>0</v>
      </c>
      <c r="AD280" s="49"/>
      <c r="AE280" s="10"/>
      <c r="AF280" s="10"/>
      <c r="AG280" s="10"/>
      <c r="AH280" s="210"/>
      <c r="AI280" s="10"/>
      <c r="AJ280" s="187"/>
      <c r="AK280" s="194"/>
      <c r="AQ280" s="211"/>
      <c r="AS280" s="187"/>
      <c r="AT280" s="194"/>
    </row>
    <row r="281" spans="2:46" s="185" customFormat="1" ht="12.75" customHeight="1">
      <c r="B281" s="10"/>
      <c r="C281" s="23"/>
      <c r="D281" s="157">
        <f t="shared" si="67"/>
      </c>
      <c r="E281" s="157">
        <f t="shared" si="67"/>
      </c>
      <c r="F281" s="157">
        <f t="shared" si="67"/>
      </c>
      <c r="G281" s="157">
        <f t="shared" si="75"/>
      </c>
      <c r="H281" s="225">
        <f t="shared" si="76"/>
      </c>
      <c r="I281" s="206"/>
      <c r="J281" s="207">
        <f t="shared" si="77"/>
      </c>
      <c r="K281" s="208">
        <f t="shared" si="68"/>
      </c>
      <c r="L281" s="206"/>
      <c r="M281" s="47">
        <f t="shared" si="69"/>
      </c>
      <c r="N281" s="190"/>
      <c r="O281" s="209">
        <f t="shared" si="70"/>
      </c>
      <c r="P281" s="209">
        <f t="shared" si="70"/>
      </c>
      <c r="Q281" s="190"/>
      <c r="R281" s="193">
        <f t="shared" si="78"/>
      </c>
      <c r="S281" s="190"/>
      <c r="T281" s="47">
        <f t="shared" si="79"/>
      </c>
      <c r="U281" s="47">
        <f>IF(E281="","",+T281*tab!H$87)</f>
      </c>
      <c r="V281" s="46">
        <f t="shared" si="71"/>
        <v>0</v>
      </c>
      <c r="W281" s="49"/>
      <c r="X281" s="76">
        <f>IF(P281="",0,M281*12*P281*IF(OR(J281&lt;=8,J281="ID1",J281="ID2",J281="ID3"),1+tab!H$89,1+tab!G$89))</f>
        <v>0</v>
      </c>
      <c r="Y281" s="190"/>
      <c r="Z281" s="158">
        <f t="shared" si="72"/>
        <v>0</v>
      </c>
      <c r="AA281" s="76">
        <f t="shared" si="73"/>
        <v>0</v>
      </c>
      <c r="AB281" s="49"/>
      <c r="AC281" s="47">
        <f t="shared" si="74"/>
        <v>0</v>
      </c>
      <c r="AD281" s="49"/>
      <c r="AE281" s="10"/>
      <c r="AF281" s="10"/>
      <c r="AG281" s="10"/>
      <c r="AH281" s="210"/>
      <c r="AI281" s="10"/>
      <c r="AJ281" s="187"/>
      <c r="AK281" s="194"/>
      <c r="AQ281" s="211"/>
      <c r="AS281" s="187"/>
      <c r="AT281" s="194"/>
    </row>
    <row r="282" spans="2:46" s="185" customFormat="1" ht="12.75" customHeight="1">
      <c r="B282" s="10"/>
      <c r="C282" s="23"/>
      <c r="D282" s="157">
        <f t="shared" si="67"/>
      </c>
      <c r="E282" s="157">
        <f t="shared" si="67"/>
      </c>
      <c r="F282" s="157">
        <f t="shared" si="67"/>
      </c>
      <c r="G282" s="157">
        <f t="shared" si="75"/>
      </c>
      <c r="H282" s="225">
        <f t="shared" si="76"/>
      </c>
      <c r="I282" s="206"/>
      <c r="J282" s="207">
        <f t="shared" si="77"/>
      </c>
      <c r="K282" s="208">
        <f t="shared" si="68"/>
      </c>
      <c r="L282" s="206"/>
      <c r="M282" s="47">
        <f t="shared" si="69"/>
      </c>
      <c r="N282" s="190"/>
      <c r="O282" s="209">
        <f t="shared" si="70"/>
      </c>
      <c r="P282" s="209">
        <f t="shared" si="70"/>
      </c>
      <c r="Q282" s="190"/>
      <c r="R282" s="193">
        <f t="shared" si="78"/>
      </c>
      <c r="S282" s="190"/>
      <c r="T282" s="47">
        <f t="shared" si="79"/>
      </c>
      <c r="U282" s="47">
        <f>IF(E282="","",+T282*tab!H$87)</f>
      </c>
      <c r="V282" s="46">
        <f t="shared" si="71"/>
        <v>0</v>
      </c>
      <c r="W282" s="49"/>
      <c r="X282" s="76">
        <f>IF(P282="",0,M282*12*P282*IF(OR(J282&lt;=8,J282="ID1",J282="ID2",J282="ID3"),1+tab!H$89,1+tab!G$89))</f>
        <v>0</v>
      </c>
      <c r="Y282" s="190"/>
      <c r="Z282" s="158">
        <f t="shared" si="72"/>
        <v>0</v>
      </c>
      <c r="AA282" s="76">
        <f t="shared" si="73"/>
        <v>0</v>
      </c>
      <c r="AB282" s="49"/>
      <c r="AC282" s="47">
        <f t="shared" si="74"/>
        <v>0</v>
      </c>
      <c r="AD282" s="49"/>
      <c r="AE282" s="10"/>
      <c r="AF282" s="10"/>
      <c r="AG282" s="10"/>
      <c r="AH282" s="210"/>
      <c r="AI282" s="10"/>
      <c r="AJ282" s="187"/>
      <c r="AK282" s="194"/>
      <c r="AQ282" s="211"/>
      <c r="AS282" s="187"/>
      <c r="AT282" s="194"/>
    </row>
    <row r="283" spans="2:46" s="185" customFormat="1" ht="12.75" customHeight="1">
      <c r="B283" s="10"/>
      <c r="C283" s="23"/>
      <c r="D283" s="157">
        <f t="shared" si="67"/>
      </c>
      <c r="E283" s="157">
        <f t="shared" si="67"/>
      </c>
      <c r="F283" s="157">
        <f t="shared" si="67"/>
      </c>
      <c r="G283" s="157">
        <f t="shared" si="75"/>
      </c>
      <c r="H283" s="225">
        <f t="shared" si="76"/>
      </c>
      <c r="I283" s="206"/>
      <c r="J283" s="207">
        <f t="shared" si="77"/>
      </c>
      <c r="K283" s="208">
        <f t="shared" si="68"/>
      </c>
      <c r="L283" s="206"/>
      <c r="M283" s="47">
        <f t="shared" si="69"/>
      </c>
      <c r="N283" s="190"/>
      <c r="O283" s="209">
        <f t="shared" si="70"/>
      </c>
      <c r="P283" s="209">
        <f t="shared" si="70"/>
      </c>
      <c r="Q283" s="190"/>
      <c r="R283" s="193">
        <f t="shared" si="78"/>
      </c>
      <c r="S283" s="190"/>
      <c r="T283" s="47">
        <f t="shared" si="79"/>
      </c>
      <c r="U283" s="47">
        <f>IF(E283="","",+T283*tab!H$87)</f>
      </c>
      <c r="V283" s="46">
        <f t="shared" si="71"/>
        <v>0</v>
      </c>
      <c r="W283" s="49"/>
      <c r="X283" s="76">
        <f>IF(P283="",0,M283*12*P283*IF(OR(J283&lt;=8,J283="ID1",J283="ID2",J283="ID3"),1+tab!H$89,1+tab!G$89))</f>
        <v>0</v>
      </c>
      <c r="Y283" s="190"/>
      <c r="Z283" s="158">
        <f t="shared" si="72"/>
        <v>0</v>
      </c>
      <c r="AA283" s="76">
        <f t="shared" si="73"/>
        <v>0</v>
      </c>
      <c r="AB283" s="49"/>
      <c r="AC283" s="47">
        <f t="shared" si="74"/>
        <v>0</v>
      </c>
      <c r="AD283" s="49"/>
      <c r="AE283" s="10"/>
      <c r="AF283" s="10"/>
      <c r="AG283" s="10"/>
      <c r="AH283" s="210"/>
      <c r="AI283" s="10"/>
      <c r="AJ283" s="187"/>
      <c r="AK283" s="194"/>
      <c r="AQ283" s="211"/>
      <c r="AS283" s="187"/>
      <c r="AT283" s="194"/>
    </row>
    <row r="284" spans="2:46" s="185" customFormat="1" ht="12.75" customHeight="1">
      <c r="B284" s="10"/>
      <c r="C284" s="23"/>
      <c r="D284" s="157">
        <f t="shared" si="67"/>
      </c>
      <c r="E284" s="157">
        <f t="shared" si="67"/>
      </c>
      <c r="F284" s="157">
        <f t="shared" si="67"/>
      </c>
      <c r="G284" s="157">
        <f t="shared" si="75"/>
      </c>
      <c r="H284" s="225">
        <f t="shared" si="76"/>
      </c>
      <c r="I284" s="206"/>
      <c r="J284" s="207">
        <f t="shared" si="77"/>
      </c>
      <c r="K284" s="208">
        <f t="shared" si="68"/>
      </c>
      <c r="L284" s="206"/>
      <c r="M284" s="47">
        <f t="shared" si="69"/>
      </c>
      <c r="N284" s="190"/>
      <c r="O284" s="209">
        <f t="shared" si="70"/>
      </c>
      <c r="P284" s="209">
        <f t="shared" si="70"/>
      </c>
      <c r="Q284" s="190"/>
      <c r="R284" s="193">
        <f t="shared" si="78"/>
      </c>
      <c r="S284" s="190"/>
      <c r="T284" s="47">
        <f t="shared" si="79"/>
      </c>
      <c r="U284" s="47">
        <f>IF(E284="","",+T284*tab!H$87)</f>
      </c>
      <c r="V284" s="46">
        <f t="shared" si="71"/>
        <v>0</v>
      </c>
      <c r="W284" s="49"/>
      <c r="X284" s="76">
        <f>IF(P284="",0,M284*12*P284*IF(OR(J284&lt;=8,J284="ID1",J284="ID2",J284="ID3"),1+tab!H$89,1+tab!G$89))</f>
        <v>0</v>
      </c>
      <c r="Y284" s="190"/>
      <c r="Z284" s="158">
        <f t="shared" si="72"/>
        <v>0</v>
      </c>
      <c r="AA284" s="76">
        <f t="shared" si="73"/>
        <v>0</v>
      </c>
      <c r="AB284" s="49"/>
      <c r="AC284" s="47">
        <f t="shared" si="74"/>
        <v>0</v>
      </c>
      <c r="AD284" s="49"/>
      <c r="AE284" s="10"/>
      <c r="AF284" s="10"/>
      <c r="AG284" s="10"/>
      <c r="AH284" s="210"/>
      <c r="AI284" s="10"/>
      <c r="AJ284" s="187"/>
      <c r="AK284" s="194"/>
      <c r="AQ284" s="211"/>
      <c r="AS284" s="187"/>
      <c r="AT284" s="194"/>
    </row>
    <row r="285" spans="2:46" s="185" customFormat="1" ht="12.75" customHeight="1">
      <c r="B285" s="10"/>
      <c r="C285" s="23"/>
      <c r="D285" s="157">
        <f t="shared" si="67"/>
      </c>
      <c r="E285" s="157">
        <f t="shared" si="67"/>
      </c>
      <c r="F285" s="157">
        <f t="shared" si="67"/>
      </c>
      <c r="G285" s="157">
        <f t="shared" si="75"/>
      </c>
      <c r="H285" s="225">
        <f t="shared" si="76"/>
      </c>
      <c r="I285" s="206"/>
      <c r="J285" s="207">
        <f t="shared" si="77"/>
      </c>
      <c r="K285" s="208">
        <f t="shared" si="68"/>
      </c>
      <c r="L285" s="206"/>
      <c r="M285" s="47">
        <f t="shared" si="69"/>
      </c>
      <c r="N285" s="190"/>
      <c r="O285" s="209">
        <f t="shared" si="70"/>
      </c>
      <c r="P285" s="209">
        <f t="shared" si="70"/>
      </c>
      <c r="Q285" s="190"/>
      <c r="R285" s="193">
        <f t="shared" si="78"/>
      </c>
      <c r="S285" s="190"/>
      <c r="T285" s="47">
        <f t="shared" si="79"/>
      </c>
      <c r="U285" s="47">
        <f>IF(E285="","",+T285*tab!H$87)</f>
      </c>
      <c r="V285" s="46">
        <f t="shared" si="71"/>
        <v>0</v>
      </c>
      <c r="W285" s="49"/>
      <c r="X285" s="76">
        <f>IF(P285="",0,M285*12*P285*IF(OR(J285&lt;=8,J285="ID1",J285="ID2",J285="ID3"),1+tab!H$89,1+tab!G$89))</f>
        <v>0</v>
      </c>
      <c r="Y285" s="190"/>
      <c r="Z285" s="158">
        <f t="shared" si="72"/>
        <v>0</v>
      </c>
      <c r="AA285" s="76">
        <f t="shared" si="73"/>
        <v>0</v>
      </c>
      <c r="AB285" s="49"/>
      <c r="AC285" s="47">
        <f t="shared" si="74"/>
        <v>0</v>
      </c>
      <c r="AD285" s="49"/>
      <c r="AE285" s="10"/>
      <c r="AF285" s="10"/>
      <c r="AG285" s="10"/>
      <c r="AH285" s="210"/>
      <c r="AI285" s="10"/>
      <c r="AJ285" s="187"/>
      <c r="AK285" s="194"/>
      <c r="AQ285" s="211"/>
      <c r="AS285" s="187"/>
      <c r="AT285" s="194"/>
    </row>
    <row r="286" spans="2:46" s="185" customFormat="1" ht="12.75" customHeight="1">
      <c r="B286" s="10"/>
      <c r="C286" s="23"/>
      <c r="D286" s="157">
        <f t="shared" si="67"/>
      </c>
      <c r="E286" s="157">
        <f t="shared" si="67"/>
      </c>
      <c r="F286" s="157">
        <f t="shared" si="67"/>
      </c>
      <c r="G286" s="157">
        <f t="shared" si="75"/>
      </c>
      <c r="H286" s="225">
        <f t="shared" si="76"/>
      </c>
      <c r="I286" s="206"/>
      <c r="J286" s="207">
        <f t="shared" si="77"/>
      </c>
      <c r="K286" s="208">
        <f t="shared" si="68"/>
      </c>
      <c r="L286" s="206"/>
      <c r="M286" s="47">
        <f t="shared" si="69"/>
      </c>
      <c r="N286" s="190"/>
      <c r="O286" s="209">
        <f t="shared" si="70"/>
      </c>
      <c r="P286" s="209">
        <f t="shared" si="70"/>
      </c>
      <c r="Q286" s="190"/>
      <c r="R286" s="193">
        <f t="shared" si="78"/>
      </c>
      <c r="S286" s="190"/>
      <c r="T286" s="47">
        <f t="shared" si="79"/>
      </c>
      <c r="U286" s="47">
        <f>IF(E286="","",+T286*tab!H$87)</f>
      </c>
      <c r="V286" s="46">
        <f t="shared" si="71"/>
        <v>0</v>
      </c>
      <c r="W286" s="49"/>
      <c r="X286" s="76">
        <f>IF(P286="",0,M286*12*P286*IF(OR(J286&lt;=8,J286="ID1",J286="ID2",J286="ID3"),1+tab!H$89,1+tab!G$89))</f>
        <v>0</v>
      </c>
      <c r="Y286" s="190"/>
      <c r="Z286" s="158">
        <f t="shared" si="72"/>
        <v>0</v>
      </c>
      <c r="AA286" s="76">
        <f t="shared" si="73"/>
        <v>0</v>
      </c>
      <c r="AB286" s="49"/>
      <c r="AC286" s="47">
        <f t="shared" si="74"/>
        <v>0</v>
      </c>
      <c r="AD286" s="49"/>
      <c r="AE286" s="10"/>
      <c r="AF286" s="10"/>
      <c r="AG286" s="10"/>
      <c r="AH286" s="210"/>
      <c r="AI286" s="10"/>
      <c r="AJ286" s="187"/>
      <c r="AK286" s="194"/>
      <c r="AQ286" s="211"/>
      <c r="AS286" s="187"/>
      <c r="AT286" s="194"/>
    </row>
    <row r="287" spans="2:46" s="185" customFormat="1" ht="12.75" customHeight="1">
      <c r="B287" s="10"/>
      <c r="C287" s="23"/>
      <c r="D287" s="157">
        <f t="shared" si="67"/>
      </c>
      <c r="E287" s="157">
        <f t="shared" si="67"/>
      </c>
      <c r="F287" s="157">
        <f t="shared" si="67"/>
      </c>
      <c r="G287" s="157">
        <f t="shared" si="75"/>
      </c>
      <c r="H287" s="225">
        <f t="shared" si="76"/>
      </c>
      <c r="I287" s="206"/>
      <c r="J287" s="207">
        <f t="shared" si="77"/>
      </c>
      <c r="K287" s="208">
        <f t="shared" si="68"/>
      </c>
      <c r="L287" s="206"/>
      <c r="M287" s="47">
        <f t="shared" si="69"/>
      </c>
      <c r="N287" s="190"/>
      <c r="O287" s="209">
        <f t="shared" si="70"/>
      </c>
      <c r="P287" s="209">
        <f t="shared" si="70"/>
      </c>
      <c r="Q287" s="190"/>
      <c r="R287" s="193">
        <f t="shared" si="78"/>
      </c>
      <c r="S287" s="190"/>
      <c r="T287" s="47">
        <f t="shared" si="79"/>
      </c>
      <c r="U287" s="47">
        <f>IF(E287="","",+T287*tab!H$87)</f>
      </c>
      <c r="V287" s="46">
        <f t="shared" si="71"/>
        <v>0</v>
      </c>
      <c r="W287" s="49"/>
      <c r="X287" s="76">
        <f>IF(P287="",0,M287*12*P287*IF(OR(J287&lt;=8,J287="ID1",J287="ID2",J287="ID3"),1+tab!H$89,1+tab!G$89))</f>
        <v>0</v>
      </c>
      <c r="Y287" s="190"/>
      <c r="Z287" s="158">
        <f t="shared" si="72"/>
        <v>0</v>
      </c>
      <c r="AA287" s="76">
        <f t="shared" si="73"/>
        <v>0</v>
      </c>
      <c r="AB287" s="49"/>
      <c r="AC287" s="47">
        <f t="shared" si="74"/>
        <v>0</v>
      </c>
      <c r="AD287" s="49"/>
      <c r="AE287" s="10"/>
      <c r="AF287" s="10"/>
      <c r="AG287" s="10"/>
      <c r="AH287" s="210"/>
      <c r="AI287" s="10"/>
      <c r="AJ287" s="187"/>
      <c r="AK287" s="194"/>
      <c r="AQ287" s="211"/>
      <c r="AS287" s="187"/>
      <c r="AT287" s="194"/>
    </row>
    <row r="288" spans="2:46" s="185" customFormat="1" ht="12.75" customHeight="1">
      <c r="B288" s="10"/>
      <c r="C288" s="23"/>
      <c r="D288" s="157">
        <f t="shared" si="67"/>
      </c>
      <c r="E288" s="157">
        <f t="shared" si="67"/>
      </c>
      <c r="F288" s="157">
        <f t="shared" si="67"/>
      </c>
      <c r="G288" s="157">
        <f t="shared" si="75"/>
      </c>
      <c r="H288" s="225">
        <f t="shared" si="76"/>
      </c>
      <c r="I288" s="206"/>
      <c r="J288" s="207">
        <f t="shared" si="77"/>
      </c>
      <c r="K288" s="208">
        <f t="shared" si="68"/>
      </c>
      <c r="L288" s="206"/>
      <c r="M288" s="47">
        <f t="shared" si="69"/>
      </c>
      <c r="N288" s="190"/>
      <c r="O288" s="209">
        <f t="shared" si="70"/>
      </c>
      <c r="P288" s="209">
        <f t="shared" si="70"/>
      </c>
      <c r="Q288" s="190"/>
      <c r="R288" s="193">
        <f t="shared" si="78"/>
      </c>
      <c r="S288" s="190"/>
      <c r="T288" s="47">
        <f t="shared" si="79"/>
      </c>
      <c r="U288" s="47">
        <f>IF(E288="","",+T288*tab!H$87)</f>
      </c>
      <c r="V288" s="46">
        <f t="shared" si="71"/>
        <v>0</v>
      </c>
      <c r="W288" s="49"/>
      <c r="X288" s="76">
        <f>IF(P288="",0,M288*12*P288*IF(OR(J288&lt;=8,J288="ID1",J288="ID2",J288="ID3"),1+tab!H$89,1+tab!G$89))</f>
        <v>0</v>
      </c>
      <c r="Y288" s="190"/>
      <c r="Z288" s="158">
        <f t="shared" si="72"/>
        <v>0</v>
      </c>
      <c r="AA288" s="76">
        <f t="shared" si="73"/>
        <v>0</v>
      </c>
      <c r="AB288" s="49"/>
      <c r="AC288" s="47">
        <f t="shared" si="74"/>
        <v>0</v>
      </c>
      <c r="AD288" s="49"/>
      <c r="AE288" s="10"/>
      <c r="AF288" s="10"/>
      <c r="AG288" s="10"/>
      <c r="AH288" s="210"/>
      <c r="AI288" s="10"/>
      <c r="AJ288" s="187"/>
      <c r="AK288" s="194"/>
      <c r="AQ288" s="211"/>
      <c r="AS288" s="187"/>
      <c r="AT288" s="194"/>
    </row>
    <row r="289" spans="2:46" s="185" customFormat="1" ht="12.75" customHeight="1">
      <c r="B289" s="10"/>
      <c r="C289" s="23"/>
      <c r="D289" s="157">
        <f t="shared" si="67"/>
      </c>
      <c r="E289" s="157">
        <f t="shared" si="67"/>
      </c>
      <c r="F289" s="157">
        <f t="shared" si="67"/>
      </c>
      <c r="G289" s="157">
        <f t="shared" si="75"/>
      </c>
      <c r="H289" s="225">
        <f t="shared" si="76"/>
      </c>
      <c r="I289" s="206"/>
      <c r="J289" s="207">
        <f t="shared" si="77"/>
      </c>
      <c r="K289" s="208">
        <f t="shared" si="68"/>
      </c>
      <c r="L289" s="206"/>
      <c r="M289" s="47">
        <f t="shared" si="69"/>
      </c>
      <c r="N289" s="190"/>
      <c r="O289" s="209">
        <f t="shared" si="70"/>
      </c>
      <c r="P289" s="209">
        <f t="shared" si="70"/>
      </c>
      <c r="Q289" s="190"/>
      <c r="R289" s="193">
        <f t="shared" si="78"/>
      </c>
      <c r="S289" s="190"/>
      <c r="T289" s="47">
        <f t="shared" si="79"/>
      </c>
      <c r="U289" s="47">
        <f>IF(E289="","",+T289*tab!H$87)</f>
      </c>
      <c r="V289" s="46">
        <f t="shared" si="71"/>
        <v>0</v>
      </c>
      <c r="W289" s="49"/>
      <c r="X289" s="76">
        <f>IF(P289="",0,M289*12*P289*IF(OR(J289&lt;=8,J289="ID1",J289="ID2",J289="ID3"),1+tab!H$89,1+tab!G$89))</f>
        <v>0</v>
      </c>
      <c r="Y289" s="190"/>
      <c r="Z289" s="158">
        <f t="shared" si="72"/>
        <v>0</v>
      </c>
      <c r="AA289" s="76">
        <f t="shared" si="73"/>
        <v>0</v>
      </c>
      <c r="AB289" s="49"/>
      <c r="AC289" s="47">
        <f t="shared" si="74"/>
        <v>0</v>
      </c>
      <c r="AD289" s="49"/>
      <c r="AE289" s="10"/>
      <c r="AF289" s="10"/>
      <c r="AG289" s="10"/>
      <c r="AH289" s="210"/>
      <c r="AI289" s="10"/>
      <c r="AJ289" s="187"/>
      <c r="AK289" s="194"/>
      <c r="AQ289" s="211"/>
      <c r="AS289" s="187"/>
      <c r="AT289" s="194"/>
    </row>
    <row r="290" spans="2:46" s="185" customFormat="1" ht="12.75" customHeight="1">
      <c r="B290" s="10"/>
      <c r="C290" s="23"/>
      <c r="D290" s="157">
        <f t="shared" si="67"/>
      </c>
      <c r="E290" s="157">
        <f t="shared" si="67"/>
      </c>
      <c r="F290" s="157">
        <f t="shared" si="67"/>
      </c>
      <c r="G290" s="157">
        <f t="shared" si="75"/>
      </c>
      <c r="H290" s="225">
        <f t="shared" si="76"/>
      </c>
      <c r="I290" s="206"/>
      <c r="J290" s="207">
        <f t="shared" si="77"/>
      </c>
      <c r="K290" s="208">
        <f t="shared" si="68"/>
      </c>
      <c r="L290" s="206"/>
      <c r="M290" s="47">
        <f t="shared" si="69"/>
      </c>
      <c r="N290" s="190"/>
      <c r="O290" s="209">
        <f t="shared" si="70"/>
      </c>
      <c r="P290" s="209">
        <f t="shared" si="70"/>
      </c>
      <c r="Q290" s="190"/>
      <c r="R290" s="193">
        <f t="shared" si="78"/>
      </c>
      <c r="S290" s="190"/>
      <c r="T290" s="47">
        <f t="shared" si="79"/>
      </c>
      <c r="U290" s="47">
        <f>IF(E290="","",+T290*tab!H$87)</f>
      </c>
      <c r="V290" s="46">
        <f t="shared" si="71"/>
        <v>0</v>
      </c>
      <c r="W290" s="49"/>
      <c r="X290" s="76">
        <f>IF(P290="",0,M290*12*P290*IF(OR(J290&lt;=8,J290="ID1",J290="ID2",J290="ID3"),1+tab!H$89,1+tab!G$89))</f>
        <v>0</v>
      </c>
      <c r="Y290" s="190"/>
      <c r="Z290" s="158">
        <f t="shared" si="72"/>
        <v>0</v>
      </c>
      <c r="AA290" s="76">
        <f t="shared" si="73"/>
        <v>0</v>
      </c>
      <c r="AB290" s="49"/>
      <c r="AC290" s="47">
        <f t="shared" si="74"/>
        <v>0</v>
      </c>
      <c r="AD290" s="49"/>
      <c r="AE290" s="10"/>
      <c r="AF290" s="10"/>
      <c r="AG290" s="10"/>
      <c r="AH290" s="210"/>
      <c r="AI290" s="10"/>
      <c r="AJ290" s="187"/>
      <c r="AK290" s="194"/>
      <c r="AQ290" s="211"/>
      <c r="AS290" s="187"/>
      <c r="AT290" s="194"/>
    </row>
    <row r="291" spans="2:46" s="185" customFormat="1" ht="12.75" customHeight="1">
      <c r="B291" s="10"/>
      <c r="C291" s="23"/>
      <c r="D291" s="157">
        <f t="shared" si="67"/>
      </c>
      <c r="E291" s="157">
        <f t="shared" si="67"/>
      </c>
      <c r="F291" s="157">
        <f t="shared" si="67"/>
      </c>
      <c r="G291" s="157">
        <f t="shared" si="75"/>
      </c>
      <c r="H291" s="225">
        <f t="shared" si="76"/>
      </c>
      <c r="I291" s="206"/>
      <c r="J291" s="207">
        <f t="shared" si="77"/>
      </c>
      <c r="K291" s="208">
        <f t="shared" si="68"/>
      </c>
      <c r="L291" s="206"/>
      <c r="M291" s="47">
        <f t="shared" si="69"/>
      </c>
      <c r="N291" s="190"/>
      <c r="O291" s="209">
        <f t="shared" si="70"/>
      </c>
      <c r="P291" s="209">
        <f t="shared" si="70"/>
      </c>
      <c r="Q291" s="190"/>
      <c r="R291" s="193">
        <f t="shared" si="78"/>
      </c>
      <c r="S291" s="190"/>
      <c r="T291" s="47">
        <f t="shared" si="79"/>
      </c>
      <c r="U291" s="47">
        <f>IF(E291="","",+T291*tab!H$87)</f>
      </c>
      <c r="V291" s="46">
        <f t="shared" si="71"/>
        <v>0</v>
      </c>
      <c r="W291" s="49"/>
      <c r="X291" s="76">
        <f>IF(P291="",0,M291*12*P291*IF(OR(J291&lt;=8,J291="ID1",J291="ID2",J291="ID3"),1+tab!H$89,1+tab!G$89))</f>
        <v>0</v>
      </c>
      <c r="Y291" s="190"/>
      <c r="Z291" s="158">
        <f t="shared" si="72"/>
        <v>0</v>
      </c>
      <c r="AA291" s="76">
        <f t="shared" si="73"/>
        <v>0</v>
      </c>
      <c r="AB291" s="49"/>
      <c r="AC291" s="47">
        <f t="shared" si="74"/>
        <v>0</v>
      </c>
      <c r="AD291" s="49"/>
      <c r="AE291" s="10"/>
      <c r="AF291" s="10"/>
      <c r="AG291" s="10"/>
      <c r="AH291" s="210"/>
      <c r="AI291" s="10"/>
      <c r="AJ291" s="187"/>
      <c r="AK291" s="194"/>
      <c r="AQ291" s="211"/>
      <c r="AS291" s="187"/>
      <c r="AT291" s="194"/>
    </row>
    <row r="292" spans="2:46" s="185" customFormat="1" ht="12.75" customHeight="1">
      <c r="B292" s="10"/>
      <c r="C292" s="23"/>
      <c r="D292" s="157">
        <f t="shared" si="67"/>
      </c>
      <c r="E292" s="157">
        <f t="shared" si="67"/>
      </c>
      <c r="F292" s="157">
        <f t="shared" si="67"/>
      </c>
      <c r="G292" s="157">
        <f t="shared" si="75"/>
      </c>
      <c r="H292" s="225">
        <f t="shared" si="76"/>
      </c>
      <c r="I292" s="206"/>
      <c r="J292" s="207">
        <f t="shared" si="77"/>
      </c>
      <c r="K292" s="208">
        <f t="shared" si="68"/>
      </c>
      <c r="L292" s="206"/>
      <c r="M292" s="47">
        <f t="shared" si="69"/>
      </c>
      <c r="N292" s="190"/>
      <c r="O292" s="209">
        <f t="shared" si="70"/>
      </c>
      <c r="P292" s="209">
        <f t="shared" si="70"/>
      </c>
      <c r="Q292" s="190"/>
      <c r="R292" s="193">
        <f t="shared" si="78"/>
      </c>
      <c r="S292" s="190"/>
      <c r="T292" s="47">
        <f t="shared" si="79"/>
      </c>
      <c r="U292" s="47">
        <f>IF(E292="","",+T292*tab!H$87)</f>
      </c>
      <c r="V292" s="46">
        <f t="shared" si="71"/>
        <v>0</v>
      </c>
      <c r="W292" s="49"/>
      <c r="X292" s="76">
        <f>IF(P292="",0,M292*12*P292*IF(OR(J292&lt;=8,J292="ID1",J292="ID2",J292="ID3"),1+tab!H$89,1+tab!G$89))</f>
        <v>0</v>
      </c>
      <c r="Y292" s="190"/>
      <c r="Z292" s="158">
        <f t="shared" si="72"/>
        <v>0</v>
      </c>
      <c r="AA292" s="76">
        <f t="shared" si="73"/>
        <v>0</v>
      </c>
      <c r="AB292" s="49"/>
      <c r="AC292" s="47">
        <f t="shared" si="74"/>
        <v>0</v>
      </c>
      <c r="AD292" s="49"/>
      <c r="AE292" s="10"/>
      <c r="AF292" s="10"/>
      <c r="AG292" s="10"/>
      <c r="AH292" s="210"/>
      <c r="AI292" s="10"/>
      <c r="AJ292" s="187"/>
      <c r="AK292" s="194"/>
      <c r="AQ292" s="211"/>
      <c r="AS292" s="187"/>
      <c r="AT292" s="194"/>
    </row>
    <row r="293" spans="2:46" s="185" customFormat="1" ht="12.75" customHeight="1">
      <c r="B293" s="10"/>
      <c r="C293" s="23"/>
      <c r="D293" s="157">
        <f t="shared" si="67"/>
      </c>
      <c r="E293" s="157">
        <f t="shared" si="67"/>
      </c>
      <c r="F293" s="157">
        <f t="shared" si="67"/>
      </c>
      <c r="G293" s="157">
        <f t="shared" si="75"/>
      </c>
      <c r="H293" s="225">
        <f t="shared" si="76"/>
      </c>
      <c r="I293" s="206"/>
      <c r="J293" s="207">
        <f t="shared" si="77"/>
      </c>
      <c r="K293" s="208">
        <f t="shared" si="68"/>
      </c>
      <c r="L293" s="206"/>
      <c r="M293" s="47">
        <f t="shared" si="69"/>
      </c>
      <c r="N293" s="190"/>
      <c r="O293" s="209">
        <f t="shared" si="70"/>
      </c>
      <c r="P293" s="209">
        <f t="shared" si="70"/>
      </c>
      <c r="Q293" s="190"/>
      <c r="R293" s="193">
        <f t="shared" si="78"/>
      </c>
      <c r="S293" s="190"/>
      <c r="T293" s="47">
        <f t="shared" si="79"/>
      </c>
      <c r="U293" s="47">
        <f>IF(E293="","",+T293*tab!H$87)</f>
      </c>
      <c r="V293" s="46">
        <f t="shared" si="71"/>
        <v>0</v>
      </c>
      <c r="W293" s="49"/>
      <c r="X293" s="76">
        <f>IF(P293="",0,M293*12*P293*IF(OR(J293&lt;=8,J293="ID1",J293="ID2",J293="ID3"),1+tab!H$89,1+tab!G$89))</f>
        <v>0</v>
      </c>
      <c r="Y293" s="190"/>
      <c r="Z293" s="158">
        <f t="shared" si="72"/>
        <v>0</v>
      </c>
      <c r="AA293" s="76">
        <f t="shared" si="73"/>
        <v>0</v>
      </c>
      <c r="AB293" s="49"/>
      <c r="AC293" s="47">
        <f t="shared" si="74"/>
        <v>0</v>
      </c>
      <c r="AD293" s="49"/>
      <c r="AE293" s="10"/>
      <c r="AF293" s="10"/>
      <c r="AG293" s="10"/>
      <c r="AH293" s="210"/>
      <c r="AI293" s="10"/>
      <c r="AJ293" s="187"/>
      <c r="AK293" s="194"/>
      <c r="AQ293" s="211"/>
      <c r="AS293" s="187"/>
      <c r="AT293" s="194"/>
    </row>
    <row r="294" spans="2:46" s="185" customFormat="1" ht="12.75" customHeight="1">
      <c r="B294" s="10"/>
      <c r="C294" s="23"/>
      <c r="D294" s="157">
        <f aca="true" t="shared" si="80" ref="D294:F313">IF(D230=0,"",D230)</f>
      </c>
      <c r="E294" s="157">
        <f t="shared" si="80"/>
      </c>
      <c r="F294" s="157">
        <f t="shared" si="80"/>
      </c>
      <c r="G294" s="157">
        <f t="shared" si="75"/>
      </c>
      <c r="H294" s="225">
        <f t="shared" si="76"/>
      </c>
      <c r="I294" s="206"/>
      <c r="J294" s="207">
        <f t="shared" si="77"/>
      </c>
      <c r="K294" s="208">
        <f t="shared" si="68"/>
      </c>
      <c r="L294" s="206"/>
      <c r="M294" s="47">
        <f t="shared" si="69"/>
      </c>
      <c r="N294" s="190"/>
      <c r="O294" s="209">
        <f aca="true" t="shared" si="81" ref="O294:P313">IF(O230="","",O230)</f>
      </c>
      <c r="P294" s="209">
        <f t="shared" si="81"/>
      </c>
      <c r="Q294" s="190"/>
      <c r="R294" s="193">
        <f t="shared" si="78"/>
      </c>
      <c r="S294" s="190"/>
      <c r="T294" s="47">
        <f t="shared" si="79"/>
      </c>
      <c r="U294" s="47">
        <f>IF(E294="","",+T294*tab!H$87)</f>
      </c>
      <c r="V294" s="46">
        <f t="shared" si="71"/>
        <v>0</v>
      </c>
      <c r="W294" s="49"/>
      <c r="X294" s="76">
        <f>IF(P294="",0,M294*12*P294*IF(OR(J294&lt;=8,J294="ID1",J294="ID2",J294="ID3"),1+tab!H$89,1+tab!G$89))</f>
        <v>0</v>
      </c>
      <c r="Y294" s="190"/>
      <c r="Z294" s="158">
        <f t="shared" si="72"/>
        <v>0</v>
      </c>
      <c r="AA294" s="76">
        <f t="shared" si="73"/>
        <v>0</v>
      </c>
      <c r="AB294" s="49"/>
      <c r="AC294" s="47">
        <f t="shared" si="74"/>
        <v>0</v>
      </c>
      <c r="AD294" s="49"/>
      <c r="AE294" s="10"/>
      <c r="AF294" s="10"/>
      <c r="AG294" s="10"/>
      <c r="AH294" s="210"/>
      <c r="AI294" s="10"/>
      <c r="AJ294" s="187"/>
      <c r="AK294" s="194"/>
      <c r="AQ294" s="211"/>
      <c r="AS294" s="187"/>
      <c r="AT294" s="194"/>
    </row>
    <row r="295" spans="2:46" s="185" customFormat="1" ht="12.75" customHeight="1">
      <c r="B295" s="10"/>
      <c r="C295" s="23"/>
      <c r="D295" s="157">
        <f t="shared" si="80"/>
      </c>
      <c r="E295" s="157">
        <f t="shared" si="80"/>
      </c>
      <c r="F295" s="157">
        <f t="shared" si="80"/>
      </c>
      <c r="G295" s="157">
        <f t="shared" si="75"/>
      </c>
      <c r="H295" s="225">
        <f t="shared" si="76"/>
      </c>
      <c r="I295" s="206"/>
      <c r="J295" s="207">
        <f t="shared" si="77"/>
      </c>
      <c r="K295" s="208">
        <f t="shared" si="68"/>
      </c>
      <c r="L295" s="206"/>
      <c r="M295" s="47">
        <f t="shared" si="69"/>
      </c>
      <c r="N295" s="190"/>
      <c r="O295" s="209">
        <f t="shared" si="81"/>
      </c>
      <c r="P295" s="209">
        <f t="shared" si="81"/>
      </c>
      <c r="Q295" s="190"/>
      <c r="R295" s="193">
        <f t="shared" si="78"/>
      </c>
      <c r="S295" s="190"/>
      <c r="T295" s="47">
        <f t="shared" si="79"/>
      </c>
      <c r="U295" s="47">
        <f>IF(E295="","",+T295*tab!H$87)</f>
      </c>
      <c r="V295" s="46">
        <f t="shared" si="71"/>
        <v>0</v>
      </c>
      <c r="W295" s="49"/>
      <c r="X295" s="76">
        <f>IF(P295="",0,M295*12*P295*IF(OR(J295&lt;=8,J295="ID1",J295="ID2",J295="ID3"),1+tab!H$89,1+tab!G$89))</f>
        <v>0</v>
      </c>
      <c r="Y295" s="190"/>
      <c r="Z295" s="158">
        <f t="shared" si="72"/>
        <v>0</v>
      </c>
      <c r="AA295" s="76">
        <f t="shared" si="73"/>
        <v>0</v>
      </c>
      <c r="AB295" s="49"/>
      <c r="AC295" s="47">
        <f t="shared" si="74"/>
        <v>0</v>
      </c>
      <c r="AD295" s="49"/>
      <c r="AE295" s="10"/>
      <c r="AF295" s="10"/>
      <c r="AG295" s="10"/>
      <c r="AH295" s="210"/>
      <c r="AI295" s="10"/>
      <c r="AJ295" s="187"/>
      <c r="AK295" s="194"/>
      <c r="AQ295" s="211"/>
      <c r="AS295" s="187"/>
      <c r="AT295" s="194"/>
    </row>
    <row r="296" spans="2:46" s="185" customFormat="1" ht="12.75" customHeight="1">
      <c r="B296" s="10"/>
      <c r="C296" s="23"/>
      <c r="D296" s="157">
        <f t="shared" si="80"/>
      </c>
      <c r="E296" s="157">
        <f t="shared" si="80"/>
      </c>
      <c r="F296" s="157">
        <f t="shared" si="80"/>
      </c>
      <c r="G296" s="157">
        <f t="shared" si="75"/>
      </c>
      <c r="H296" s="225">
        <f t="shared" si="76"/>
      </c>
      <c r="I296" s="206"/>
      <c r="J296" s="207">
        <f t="shared" si="77"/>
      </c>
      <c r="K296" s="208">
        <f t="shared" si="68"/>
      </c>
      <c r="L296" s="206"/>
      <c r="M296" s="47">
        <f t="shared" si="69"/>
      </c>
      <c r="N296" s="190"/>
      <c r="O296" s="209">
        <f t="shared" si="81"/>
      </c>
      <c r="P296" s="209">
        <f t="shared" si="81"/>
      </c>
      <c r="Q296" s="190"/>
      <c r="R296" s="193">
        <f t="shared" si="78"/>
      </c>
      <c r="S296" s="190"/>
      <c r="T296" s="47">
        <f t="shared" si="79"/>
      </c>
      <c r="U296" s="47">
        <f>IF(E296="","",+T296*tab!H$87)</f>
      </c>
      <c r="V296" s="46">
        <f t="shared" si="71"/>
        <v>0</v>
      </c>
      <c r="W296" s="49"/>
      <c r="X296" s="76">
        <f>IF(P296="",0,M296*12*P296*IF(OR(J296&lt;=8,J296="ID1",J296="ID2",J296="ID3"),1+tab!H$89,1+tab!G$89))</f>
        <v>0</v>
      </c>
      <c r="Y296" s="190"/>
      <c r="Z296" s="158">
        <f t="shared" si="72"/>
        <v>0</v>
      </c>
      <c r="AA296" s="76">
        <f t="shared" si="73"/>
        <v>0</v>
      </c>
      <c r="AB296" s="49"/>
      <c r="AC296" s="47">
        <f t="shared" si="74"/>
        <v>0</v>
      </c>
      <c r="AD296" s="49"/>
      <c r="AE296" s="10"/>
      <c r="AF296" s="10"/>
      <c r="AG296" s="10"/>
      <c r="AH296" s="210"/>
      <c r="AI296" s="10"/>
      <c r="AJ296" s="187"/>
      <c r="AK296" s="194"/>
      <c r="AQ296" s="211"/>
      <c r="AS296" s="187"/>
      <c r="AT296" s="194"/>
    </row>
    <row r="297" spans="2:46" s="185" customFormat="1" ht="12.75" customHeight="1">
      <c r="B297" s="10"/>
      <c r="C297" s="23"/>
      <c r="D297" s="157">
        <f t="shared" si="80"/>
      </c>
      <c r="E297" s="157">
        <f t="shared" si="80"/>
      </c>
      <c r="F297" s="157">
        <f t="shared" si="80"/>
      </c>
      <c r="G297" s="157">
        <f t="shared" si="75"/>
      </c>
      <c r="H297" s="225">
        <f t="shared" si="76"/>
      </c>
      <c r="I297" s="206"/>
      <c r="J297" s="207">
        <f t="shared" si="77"/>
      </c>
      <c r="K297" s="208">
        <f t="shared" si="68"/>
      </c>
      <c r="L297" s="206"/>
      <c r="M297" s="47">
        <f t="shared" si="69"/>
      </c>
      <c r="N297" s="190"/>
      <c r="O297" s="209">
        <f t="shared" si="81"/>
      </c>
      <c r="P297" s="209">
        <f t="shared" si="81"/>
      </c>
      <c r="Q297" s="190"/>
      <c r="R297" s="193">
        <f t="shared" si="78"/>
      </c>
      <c r="S297" s="190"/>
      <c r="T297" s="47">
        <f t="shared" si="79"/>
      </c>
      <c r="U297" s="47">
        <f>IF(E297="","",+T297*tab!H$87)</f>
      </c>
      <c r="V297" s="46">
        <f t="shared" si="71"/>
        <v>0</v>
      </c>
      <c r="W297" s="49"/>
      <c r="X297" s="76">
        <f>IF(P297="",0,M297*12*P297*IF(OR(J297&lt;=8,J297="ID1",J297="ID2",J297="ID3"),1+tab!H$89,1+tab!G$89))</f>
        <v>0</v>
      </c>
      <c r="Y297" s="190"/>
      <c r="Z297" s="158">
        <f t="shared" si="72"/>
        <v>0</v>
      </c>
      <c r="AA297" s="76">
        <f t="shared" si="73"/>
        <v>0</v>
      </c>
      <c r="AB297" s="49"/>
      <c r="AC297" s="47">
        <f t="shared" si="74"/>
        <v>0</v>
      </c>
      <c r="AD297" s="49"/>
      <c r="AE297" s="10"/>
      <c r="AF297" s="10"/>
      <c r="AG297" s="10"/>
      <c r="AH297" s="210"/>
      <c r="AI297" s="10"/>
      <c r="AJ297" s="187"/>
      <c r="AK297" s="194"/>
      <c r="AQ297" s="211"/>
      <c r="AS297" s="187"/>
      <c r="AT297" s="194"/>
    </row>
    <row r="298" spans="2:46" s="185" customFormat="1" ht="12.75" customHeight="1">
      <c r="B298" s="10"/>
      <c r="C298" s="23"/>
      <c r="D298" s="157">
        <f t="shared" si="80"/>
      </c>
      <c r="E298" s="157">
        <f t="shared" si="80"/>
      </c>
      <c r="F298" s="157">
        <f t="shared" si="80"/>
      </c>
      <c r="G298" s="157">
        <f t="shared" si="75"/>
      </c>
      <c r="H298" s="225">
        <f t="shared" si="76"/>
      </c>
      <c r="I298" s="206"/>
      <c r="J298" s="207">
        <f t="shared" si="77"/>
      </c>
      <c r="K298" s="208">
        <f t="shared" si="68"/>
      </c>
      <c r="L298" s="206"/>
      <c r="M298" s="47">
        <f t="shared" si="69"/>
      </c>
      <c r="N298" s="190"/>
      <c r="O298" s="209">
        <f t="shared" si="81"/>
      </c>
      <c r="P298" s="209">
        <f t="shared" si="81"/>
      </c>
      <c r="Q298" s="190"/>
      <c r="R298" s="193">
        <f t="shared" si="78"/>
      </c>
      <c r="S298" s="190"/>
      <c r="T298" s="47">
        <f t="shared" si="79"/>
      </c>
      <c r="U298" s="47">
        <f>IF(E298="","",+T298*tab!H$87)</f>
      </c>
      <c r="V298" s="46">
        <f t="shared" si="71"/>
        <v>0</v>
      </c>
      <c r="W298" s="49"/>
      <c r="X298" s="76">
        <f>IF(P298="",0,M298*12*P298*IF(OR(J298&lt;=8,J298="ID1",J298="ID2",J298="ID3"),1+tab!H$89,1+tab!G$89))</f>
        <v>0</v>
      </c>
      <c r="Y298" s="190"/>
      <c r="Z298" s="158">
        <f t="shared" si="72"/>
        <v>0</v>
      </c>
      <c r="AA298" s="76">
        <f t="shared" si="73"/>
        <v>0</v>
      </c>
      <c r="AB298" s="49"/>
      <c r="AC298" s="47">
        <f t="shared" si="74"/>
        <v>0</v>
      </c>
      <c r="AD298" s="49"/>
      <c r="AE298" s="10"/>
      <c r="AF298" s="10"/>
      <c r="AG298" s="10"/>
      <c r="AH298" s="210"/>
      <c r="AI298" s="10"/>
      <c r="AJ298" s="187"/>
      <c r="AK298" s="194"/>
      <c r="AQ298" s="211"/>
      <c r="AS298" s="187"/>
      <c r="AT298" s="194"/>
    </row>
    <row r="299" spans="2:46" s="185" customFormat="1" ht="12.75" customHeight="1">
      <c r="B299" s="10"/>
      <c r="C299" s="23"/>
      <c r="D299" s="157">
        <f t="shared" si="80"/>
      </c>
      <c r="E299" s="157">
        <f t="shared" si="80"/>
      </c>
      <c r="F299" s="157">
        <f t="shared" si="80"/>
      </c>
      <c r="G299" s="157">
        <f t="shared" si="75"/>
      </c>
      <c r="H299" s="225">
        <f t="shared" si="76"/>
      </c>
      <c r="I299" s="206"/>
      <c r="J299" s="207">
        <f t="shared" si="77"/>
      </c>
      <c r="K299" s="208">
        <f t="shared" si="68"/>
      </c>
      <c r="L299" s="206"/>
      <c r="M299" s="47">
        <f t="shared" si="69"/>
      </c>
      <c r="N299" s="190"/>
      <c r="O299" s="209">
        <f t="shared" si="81"/>
      </c>
      <c r="P299" s="209">
        <f t="shared" si="81"/>
      </c>
      <c r="Q299" s="190"/>
      <c r="R299" s="193">
        <f t="shared" si="78"/>
      </c>
      <c r="S299" s="190"/>
      <c r="T299" s="47">
        <f t="shared" si="79"/>
      </c>
      <c r="U299" s="47">
        <f>IF(E299="","",+T299*tab!H$87)</f>
      </c>
      <c r="V299" s="46">
        <f t="shared" si="71"/>
        <v>0</v>
      </c>
      <c r="W299" s="49"/>
      <c r="X299" s="76">
        <f>IF(P299="",0,M299*12*P299*IF(OR(J299&lt;=8,J299="ID1",J299="ID2",J299="ID3"),1+tab!H$89,1+tab!G$89))</f>
        <v>0</v>
      </c>
      <c r="Y299" s="190"/>
      <c r="Z299" s="158">
        <f t="shared" si="72"/>
        <v>0</v>
      </c>
      <c r="AA299" s="76">
        <f t="shared" si="73"/>
        <v>0</v>
      </c>
      <c r="AB299" s="49"/>
      <c r="AC299" s="47">
        <f t="shared" si="74"/>
        <v>0</v>
      </c>
      <c r="AD299" s="49"/>
      <c r="AE299" s="10"/>
      <c r="AF299" s="10"/>
      <c r="AG299" s="10"/>
      <c r="AH299" s="210"/>
      <c r="AI299" s="10"/>
      <c r="AJ299" s="187"/>
      <c r="AK299" s="194"/>
      <c r="AQ299" s="211"/>
      <c r="AS299" s="187"/>
      <c r="AT299" s="194"/>
    </row>
    <row r="300" spans="2:46" s="185" customFormat="1" ht="12.75" customHeight="1">
      <c r="B300" s="10"/>
      <c r="C300" s="23"/>
      <c r="D300" s="157">
        <f t="shared" si="80"/>
      </c>
      <c r="E300" s="157">
        <f t="shared" si="80"/>
      </c>
      <c r="F300" s="157">
        <f t="shared" si="80"/>
      </c>
      <c r="G300" s="157">
        <f t="shared" si="75"/>
      </c>
      <c r="H300" s="225">
        <f t="shared" si="76"/>
      </c>
      <c r="I300" s="206"/>
      <c r="J300" s="207">
        <f t="shared" si="77"/>
      </c>
      <c r="K300" s="208">
        <f t="shared" si="68"/>
      </c>
      <c r="L300" s="206"/>
      <c r="M300" s="47">
        <f t="shared" si="69"/>
      </c>
      <c r="N300" s="190"/>
      <c r="O300" s="209">
        <f t="shared" si="81"/>
      </c>
      <c r="P300" s="209">
        <f t="shared" si="81"/>
      </c>
      <c r="Q300" s="190"/>
      <c r="R300" s="193">
        <f t="shared" si="78"/>
      </c>
      <c r="S300" s="190"/>
      <c r="T300" s="47">
        <f t="shared" si="79"/>
      </c>
      <c r="U300" s="47">
        <f>IF(E300="","",+T300*tab!H$87)</f>
      </c>
      <c r="V300" s="46">
        <f t="shared" si="71"/>
        <v>0</v>
      </c>
      <c r="W300" s="49"/>
      <c r="X300" s="76">
        <f>IF(P300="",0,M300*12*P300*IF(OR(J300&lt;=8,J300="ID1",J300="ID2",J300="ID3"),1+tab!H$89,1+tab!G$89))</f>
        <v>0</v>
      </c>
      <c r="Y300" s="190"/>
      <c r="Z300" s="158">
        <f t="shared" si="72"/>
        <v>0</v>
      </c>
      <c r="AA300" s="76">
        <f t="shared" si="73"/>
        <v>0</v>
      </c>
      <c r="AB300" s="49"/>
      <c r="AC300" s="47">
        <f t="shared" si="74"/>
        <v>0</v>
      </c>
      <c r="AD300" s="49"/>
      <c r="AE300" s="10"/>
      <c r="AF300" s="10"/>
      <c r="AG300" s="10"/>
      <c r="AH300" s="210"/>
      <c r="AI300" s="10"/>
      <c r="AJ300" s="187"/>
      <c r="AK300" s="194"/>
      <c r="AQ300" s="211"/>
      <c r="AS300" s="187"/>
      <c r="AT300" s="194"/>
    </row>
    <row r="301" spans="2:46" s="185" customFormat="1" ht="12.75" customHeight="1">
      <c r="B301" s="10"/>
      <c r="C301" s="23"/>
      <c r="D301" s="157">
        <f t="shared" si="80"/>
      </c>
      <c r="E301" s="157">
        <f t="shared" si="80"/>
      </c>
      <c r="F301" s="157">
        <f t="shared" si="80"/>
      </c>
      <c r="G301" s="157">
        <f t="shared" si="75"/>
      </c>
      <c r="H301" s="225">
        <f t="shared" si="76"/>
      </c>
      <c r="I301" s="206"/>
      <c r="J301" s="207">
        <f t="shared" si="77"/>
      </c>
      <c r="K301" s="208">
        <f t="shared" si="68"/>
      </c>
      <c r="L301" s="206"/>
      <c r="M301" s="47">
        <f t="shared" si="69"/>
      </c>
      <c r="N301" s="190"/>
      <c r="O301" s="209">
        <f t="shared" si="81"/>
      </c>
      <c r="P301" s="209">
        <f t="shared" si="81"/>
      </c>
      <c r="Q301" s="190"/>
      <c r="R301" s="193">
        <f t="shared" si="78"/>
      </c>
      <c r="S301" s="190"/>
      <c r="T301" s="47">
        <f t="shared" si="79"/>
      </c>
      <c r="U301" s="47">
        <f>IF(E301="","",+T301*tab!H$87)</f>
      </c>
      <c r="V301" s="46">
        <f t="shared" si="71"/>
        <v>0</v>
      </c>
      <c r="W301" s="49"/>
      <c r="X301" s="76">
        <f>IF(P301="",0,M301*12*P301*IF(OR(J301&lt;=8,J301="ID1",J301="ID2",J301="ID3"),1+tab!H$89,1+tab!G$89))</f>
        <v>0</v>
      </c>
      <c r="Y301" s="190"/>
      <c r="Z301" s="158">
        <f t="shared" si="72"/>
        <v>0</v>
      </c>
      <c r="AA301" s="76">
        <f t="shared" si="73"/>
        <v>0</v>
      </c>
      <c r="AB301" s="49"/>
      <c r="AC301" s="47">
        <f t="shared" si="74"/>
        <v>0</v>
      </c>
      <c r="AD301" s="49"/>
      <c r="AE301" s="10"/>
      <c r="AF301" s="10"/>
      <c r="AG301" s="10"/>
      <c r="AH301" s="210"/>
      <c r="AI301" s="10"/>
      <c r="AJ301" s="187"/>
      <c r="AK301" s="194"/>
      <c r="AQ301" s="211"/>
      <c r="AS301" s="187"/>
      <c r="AT301" s="194"/>
    </row>
    <row r="302" spans="2:46" s="185" customFormat="1" ht="12.75" customHeight="1">
      <c r="B302" s="10"/>
      <c r="C302" s="23"/>
      <c r="D302" s="157">
        <f t="shared" si="80"/>
      </c>
      <c r="E302" s="157">
        <f t="shared" si="80"/>
      </c>
      <c r="F302" s="157">
        <f t="shared" si="80"/>
      </c>
      <c r="G302" s="157">
        <f t="shared" si="75"/>
      </c>
      <c r="H302" s="225">
        <f t="shared" si="76"/>
      </c>
      <c r="I302" s="206"/>
      <c r="J302" s="207">
        <f t="shared" si="77"/>
      </c>
      <c r="K302" s="208">
        <f t="shared" si="68"/>
      </c>
      <c r="L302" s="206"/>
      <c r="M302" s="47">
        <f t="shared" si="69"/>
      </c>
      <c r="N302" s="190"/>
      <c r="O302" s="209">
        <f t="shared" si="81"/>
      </c>
      <c r="P302" s="209">
        <f t="shared" si="81"/>
      </c>
      <c r="Q302" s="190"/>
      <c r="R302" s="193">
        <f t="shared" si="78"/>
      </c>
      <c r="S302" s="190"/>
      <c r="T302" s="47">
        <f t="shared" si="79"/>
      </c>
      <c r="U302" s="47">
        <f>IF(E302="","",+T302*tab!H$87)</f>
      </c>
      <c r="V302" s="46">
        <f t="shared" si="71"/>
        <v>0</v>
      </c>
      <c r="W302" s="49"/>
      <c r="X302" s="76">
        <f>IF(P302="",0,M302*12*P302*IF(OR(J302&lt;=8,J302="ID1",J302="ID2",J302="ID3"),1+tab!H$89,1+tab!G$89))</f>
        <v>0</v>
      </c>
      <c r="Y302" s="190"/>
      <c r="Z302" s="158">
        <f t="shared" si="72"/>
        <v>0</v>
      </c>
      <c r="AA302" s="76">
        <f t="shared" si="73"/>
        <v>0</v>
      </c>
      <c r="AB302" s="49"/>
      <c r="AC302" s="47">
        <f t="shared" si="74"/>
        <v>0</v>
      </c>
      <c r="AD302" s="49"/>
      <c r="AE302" s="10"/>
      <c r="AF302" s="10"/>
      <c r="AG302" s="10"/>
      <c r="AH302" s="210"/>
      <c r="AI302" s="10"/>
      <c r="AJ302" s="187"/>
      <c r="AK302" s="194"/>
      <c r="AQ302" s="211"/>
      <c r="AS302" s="187"/>
      <c r="AT302" s="194"/>
    </row>
    <row r="303" spans="2:46" s="185" customFormat="1" ht="12.75" customHeight="1">
      <c r="B303" s="10"/>
      <c r="C303" s="23"/>
      <c r="D303" s="157">
        <f t="shared" si="80"/>
      </c>
      <c r="E303" s="157">
        <f t="shared" si="80"/>
      </c>
      <c r="F303" s="157">
        <f t="shared" si="80"/>
      </c>
      <c r="G303" s="157">
        <f t="shared" si="75"/>
      </c>
      <c r="H303" s="225">
        <f t="shared" si="76"/>
      </c>
      <c r="I303" s="206"/>
      <c r="J303" s="207">
        <f t="shared" si="77"/>
      </c>
      <c r="K303" s="208">
        <f t="shared" si="68"/>
      </c>
      <c r="L303" s="206"/>
      <c r="M303" s="47">
        <f t="shared" si="69"/>
      </c>
      <c r="N303" s="190"/>
      <c r="O303" s="209">
        <f t="shared" si="81"/>
      </c>
      <c r="P303" s="209">
        <f t="shared" si="81"/>
      </c>
      <c r="Q303" s="190"/>
      <c r="R303" s="193">
        <f t="shared" si="78"/>
      </c>
      <c r="S303" s="190"/>
      <c r="T303" s="47">
        <f t="shared" si="79"/>
      </c>
      <c r="U303" s="47">
        <f>IF(E303="","",+T303*tab!H$87)</f>
      </c>
      <c r="V303" s="46">
        <f t="shared" si="71"/>
        <v>0</v>
      </c>
      <c r="W303" s="49"/>
      <c r="X303" s="76">
        <f>IF(P303="",0,M303*12*P303*IF(OR(J303&lt;=8,J303="ID1",J303="ID2",J303="ID3"),1+tab!H$89,1+tab!G$89))</f>
        <v>0</v>
      </c>
      <c r="Y303" s="190"/>
      <c r="Z303" s="158">
        <f t="shared" si="72"/>
        <v>0</v>
      </c>
      <c r="AA303" s="76">
        <f t="shared" si="73"/>
        <v>0</v>
      </c>
      <c r="AB303" s="49"/>
      <c r="AC303" s="47">
        <f t="shared" si="74"/>
        <v>0</v>
      </c>
      <c r="AD303" s="49"/>
      <c r="AE303" s="10"/>
      <c r="AF303" s="10"/>
      <c r="AG303" s="10"/>
      <c r="AH303" s="210"/>
      <c r="AI303" s="10"/>
      <c r="AJ303" s="187"/>
      <c r="AK303" s="194"/>
      <c r="AQ303" s="211"/>
      <c r="AS303" s="187"/>
      <c r="AT303" s="194"/>
    </row>
    <row r="304" spans="2:46" s="185" customFormat="1" ht="12.75" customHeight="1">
      <c r="B304" s="10"/>
      <c r="C304" s="23"/>
      <c r="D304" s="157">
        <f t="shared" si="80"/>
      </c>
      <c r="E304" s="157">
        <f t="shared" si="80"/>
      </c>
      <c r="F304" s="157">
        <f t="shared" si="80"/>
      </c>
      <c r="G304" s="157">
        <f t="shared" si="75"/>
      </c>
      <c r="H304" s="225">
        <f t="shared" si="76"/>
      </c>
      <c r="I304" s="206"/>
      <c r="J304" s="207">
        <f t="shared" si="77"/>
      </c>
      <c r="K304" s="208">
        <f t="shared" si="68"/>
      </c>
      <c r="L304" s="206"/>
      <c r="M304" s="47">
        <f t="shared" si="69"/>
      </c>
      <c r="N304" s="190"/>
      <c r="O304" s="209">
        <f t="shared" si="81"/>
      </c>
      <c r="P304" s="209">
        <f t="shared" si="81"/>
      </c>
      <c r="Q304" s="190"/>
      <c r="R304" s="193">
        <f t="shared" si="78"/>
      </c>
      <c r="S304" s="190"/>
      <c r="T304" s="47">
        <f t="shared" si="79"/>
      </c>
      <c r="U304" s="47">
        <f>IF(E304="","",+T304*tab!H$87)</f>
      </c>
      <c r="V304" s="46">
        <f t="shared" si="71"/>
        <v>0</v>
      </c>
      <c r="W304" s="49"/>
      <c r="X304" s="76">
        <f>IF(P304="",0,M304*12*P304*IF(OR(J304&lt;=8,J304="ID1",J304="ID2",J304="ID3"),1+tab!H$89,1+tab!G$89))</f>
        <v>0</v>
      </c>
      <c r="Y304" s="190"/>
      <c r="Z304" s="158">
        <f t="shared" si="72"/>
        <v>0</v>
      </c>
      <c r="AA304" s="76">
        <f t="shared" si="73"/>
        <v>0</v>
      </c>
      <c r="AB304" s="49"/>
      <c r="AC304" s="47">
        <f t="shared" si="74"/>
        <v>0</v>
      </c>
      <c r="AD304" s="49"/>
      <c r="AE304" s="10"/>
      <c r="AF304" s="10"/>
      <c r="AG304" s="10"/>
      <c r="AH304" s="210"/>
      <c r="AI304" s="10"/>
      <c r="AJ304" s="187"/>
      <c r="AK304" s="194"/>
      <c r="AQ304" s="211"/>
      <c r="AS304" s="187"/>
      <c r="AT304" s="194"/>
    </row>
    <row r="305" spans="2:46" s="185" customFormat="1" ht="12.75" customHeight="1">
      <c r="B305" s="10"/>
      <c r="C305" s="23"/>
      <c r="D305" s="157">
        <f t="shared" si="80"/>
      </c>
      <c r="E305" s="157">
        <f t="shared" si="80"/>
      </c>
      <c r="F305" s="157">
        <f t="shared" si="80"/>
      </c>
      <c r="G305" s="157">
        <f t="shared" si="75"/>
      </c>
      <c r="H305" s="225">
        <f t="shared" si="76"/>
      </c>
      <c r="I305" s="206"/>
      <c r="J305" s="207">
        <f t="shared" si="77"/>
      </c>
      <c r="K305" s="208">
        <f t="shared" si="68"/>
      </c>
      <c r="L305" s="206"/>
      <c r="M305" s="47">
        <f t="shared" si="69"/>
      </c>
      <c r="N305" s="190"/>
      <c r="O305" s="209">
        <f t="shared" si="81"/>
      </c>
      <c r="P305" s="209">
        <f t="shared" si="81"/>
      </c>
      <c r="Q305" s="190"/>
      <c r="R305" s="193">
        <f t="shared" si="78"/>
      </c>
      <c r="S305" s="190"/>
      <c r="T305" s="47">
        <f t="shared" si="79"/>
      </c>
      <c r="U305" s="47">
        <f>IF(E305="","",+T305*tab!H$87)</f>
      </c>
      <c r="V305" s="46">
        <f t="shared" si="71"/>
        <v>0</v>
      </c>
      <c r="W305" s="49"/>
      <c r="X305" s="76">
        <f>IF(P305="",0,M305*12*P305*IF(OR(J305&lt;=8,J305="ID1",J305="ID2",J305="ID3"),1+tab!H$89,1+tab!G$89))</f>
        <v>0</v>
      </c>
      <c r="Y305" s="190"/>
      <c r="Z305" s="158">
        <f t="shared" si="72"/>
        <v>0</v>
      </c>
      <c r="AA305" s="76">
        <f t="shared" si="73"/>
        <v>0</v>
      </c>
      <c r="AB305" s="49"/>
      <c r="AC305" s="47">
        <f t="shared" si="74"/>
        <v>0</v>
      </c>
      <c r="AD305" s="49"/>
      <c r="AE305" s="10"/>
      <c r="AF305" s="10"/>
      <c r="AG305" s="10"/>
      <c r="AH305" s="210"/>
      <c r="AI305" s="10"/>
      <c r="AJ305" s="187"/>
      <c r="AK305" s="194"/>
      <c r="AQ305" s="211"/>
      <c r="AS305" s="187"/>
      <c r="AT305" s="194"/>
    </row>
    <row r="306" spans="2:46" s="185" customFormat="1" ht="12.75" customHeight="1">
      <c r="B306" s="10"/>
      <c r="C306" s="23"/>
      <c r="D306" s="157">
        <f t="shared" si="80"/>
      </c>
      <c r="E306" s="157">
        <f t="shared" si="80"/>
      </c>
      <c r="F306" s="157">
        <f t="shared" si="80"/>
      </c>
      <c r="G306" s="157">
        <f t="shared" si="75"/>
      </c>
      <c r="H306" s="225">
        <f t="shared" si="76"/>
      </c>
      <c r="I306" s="206"/>
      <c r="J306" s="207">
        <f t="shared" si="77"/>
      </c>
      <c r="K306" s="208">
        <f aca="true" t="shared" si="82" ref="K306:K323">IF(E306="","",(IF((K242+1)&gt;VLOOKUP(J306,tabelsalaris,22,FALSE),K242,K242+1)))</f>
      </c>
      <c r="L306" s="206"/>
      <c r="M306" s="47">
        <f aca="true" t="shared" si="83" ref="M306:M323">IF(J306="","",ROUND(1.022*VLOOKUP(J306,tabelsalaris,K306+1,FALSE),0))</f>
      </c>
      <c r="N306" s="190"/>
      <c r="O306" s="209">
        <f t="shared" si="81"/>
      </c>
      <c r="P306" s="209">
        <f t="shared" si="81"/>
      </c>
      <c r="Q306" s="190"/>
      <c r="R306" s="193">
        <f t="shared" si="78"/>
      </c>
      <c r="S306" s="190"/>
      <c r="T306" s="47">
        <f t="shared" si="79"/>
      </c>
      <c r="U306" s="47">
        <f>IF(E306="","",+T306*tab!H$87)</f>
      </c>
      <c r="V306" s="46">
        <f t="shared" si="71"/>
        <v>0</v>
      </c>
      <c r="W306" s="49"/>
      <c r="X306" s="76">
        <f>IF(P306="",0,M306*12*P306*IF(OR(J306&lt;=8,J306="ID1",J306="ID2",J306="ID3"),1+tab!H$89,1+tab!G$89))</f>
        <v>0</v>
      </c>
      <c r="Y306" s="190"/>
      <c r="Z306" s="158">
        <f t="shared" si="72"/>
        <v>0</v>
      </c>
      <c r="AA306" s="76">
        <f t="shared" si="73"/>
        <v>0</v>
      </c>
      <c r="AB306" s="49"/>
      <c r="AC306" s="47">
        <f t="shared" si="74"/>
        <v>0</v>
      </c>
      <c r="AD306" s="49"/>
      <c r="AE306" s="10"/>
      <c r="AF306" s="10"/>
      <c r="AG306" s="10"/>
      <c r="AH306" s="210"/>
      <c r="AI306" s="10"/>
      <c r="AJ306" s="187"/>
      <c r="AK306" s="194"/>
      <c r="AQ306" s="211"/>
      <c r="AS306" s="187"/>
      <c r="AT306" s="194"/>
    </row>
    <row r="307" spans="2:46" s="185" customFormat="1" ht="12.75" customHeight="1">
      <c r="B307" s="10"/>
      <c r="C307" s="23"/>
      <c r="D307" s="157">
        <f t="shared" si="80"/>
      </c>
      <c r="E307" s="157">
        <f t="shared" si="80"/>
      </c>
      <c r="F307" s="157">
        <f t="shared" si="80"/>
      </c>
      <c r="G307" s="157">
        <f t="shared" si="75"/>
      </c>
      <c r="H307" s="225">
        <f t="shared" si="76"/>
      </c>
      <c r="I307" s="206"/>
      <c r="J307" s="207">
        <f t="shared" si="77"/>
      </c>
      <c r="K307" s="208">
        <f t="shared" si="82"/>
      </c>
      <c r="L307" s="206"/>
      <c r="M307" s="47">
        <f t="shared" si="83"/>
      </c>
      <c r="N307" s="190"/>
      <c r="O307" s="209">
        <f t="shared" si="81"/>
      </c>
      <c r="P307" s="209">
        <f t="shared" si="81"/>
      </c>
      <c r="Q307" s="190"/>
      <c r="R307" s="193">
        <f t="shared" si="78"/>
      </c>
      <c r="S307" s="190"/>
      <c r="T307" s="47">
        <f t="shared" si="79"/>
      </c>
      <c r="U307" s="47">
        <f>IF(E307="","",+T307*tab!H$87)</f>
      </c>
      <c r="V307" s="46">
        <f t="shared" si="71"/>
        <v>0</v>
      </c>
      <c r="W307" s="49"/>
      <c r="X307" s="76">
        <f>IF(P307="",0,M307*12*P307*IF(OR(J307&lt;=8,J307="ID1",J307="ID2",J307="ID3"),1+tab!H$89,1+tab!G$89))</f>
        <v>0</v>
      </c>
      <c r="Y307" s="190"/>
      <c r="Z307" s="158">
        <f t="shared" si="72"/>
        <v>0</v>
      </c>
      <c r="AA307" s="76">
        <f t="shared" si="73"/>
        <v>0</v>
      </c>
      <c r="AB307" s="49"/>
      <c r="AC307" s="47">
        <f t="shared" si="74"/>
        <v>0</v>
      </c>
      <c r="AD307" s="49"/>
      <c r="AE307" s="10"/>
      <c r="AF307" s="10"/>
      <c r="AG307" s="10"/>
      <c r="AH307" s="210"/>
      <c r="AI307" s="10"/>
      <c r="AJ307" s="187"/>
      <c r="AK307" s="194"/>
      <c r="AQ307" s="211"/>
      <c r="AS307" s="187"/>
      <c r="AT307" s="194"/>
    </row>
    <row r="308" spans="2:46" s="185" customFormat="1" ht="12.75" customHeight="1">
      <c r="B308" s="10"/>
      <c r="C308" s="23"/>
      <c r="D308" s="157">
        <f t="shared" si="80"/>
      </c>
      <c r="E308" s="157">
        <f t="shared" si="80"/>
      </c>
      <c r="F308" s="157">
        <f t="shared" si="80"/>
      </c>
      <c r="G308" s="157">
        <f t="shared" si="75"/>
      </c>
      <c r="H308" s="225">
        <f t="shared" si="76"/>
      </c>
      <c r="I308" s="206"/>
      <c r="J308" s="207">
        <f t="shared" si="77"/>
      </c>
      <c r="K308" s="208">
        <f t="shared" si="82"/>
      </c>
      <c r="L308" s="206"/>
      <c r="M308" s="47">
        <f t="shared" si="83"/>
      </c>
      <c r="N308" s="190"/>
      <c r="O308" s="209">
        <f t="shared" si="81"/>
      </c>
      <c r="P308" s="209">
        <f t="shared" si="81"/>
      </c>
      <c r="Q308" s="190"/>
      <c r="R308" s="193">
        <f t="shared" si="78"/>
      </c>
      <c r="S308" s="190"/>
      <c r="T308" s="47">
        <f t="shared" si="79"/>
      </c>
      <c r="U308" s="47">
        <f>IF(E308="","",+T308*tab!H$87)</f>
      </c>
      <c r="V308" s="46">
        <f t="shared" si="71"/>
        <v>0</v>
      </c>
      <c r="W308" s="49"/>
      <c r="X308" s="76">
        <f>IF(P308="",0,M308*12*P308*IF(OR(J308&lt;=8,J308="ID1",J308="ID2",J308="ID3"),1+tab!H$89,1+tab!G$89))</f>
        <v>0</v>
      </c>
      <c r="Y308" s="190"/>
      <c r="Z308" s="158">
        <f t="shared" si="72"/>
        <v>0</v>
      </c>
      <c r="AA308" s="76">
        <f t="shared" si="73"/>
        <v>0</v>
      </c>
      <c r="AB308" s="49"/>
      <c r="AC308" s="47">
        <f t="shared" si="74"/>
        <v>0</v>
      </c>
      <c r="AD308" s="49"/>
      <c r="AE308" s="10"/>
      <c r="AF308" s="10"/>
      <c r="AG308" s="10"/>
      <c r="AH308" s="210"/>
      <c r="AI308" s="10"/>
      <c r="AJ308" s="187"/>
      <c r="AK308" s="194"/>
      <c r="AQ308" s="211"/>
      <c r="AS308" s="187"/>
      <c r="AT308" s="194"/>
    </row>
    <row r="309" spans="2:46" s="185" customFormat="1" ht="12.75" customHeight="1">
      <c r="B309" s="10"/>
      <c r="C309" s="23"/>
      <c r="D309" s="157">
        <f t="shared" si="80"/>
      </c>
      <c r="E309" s="157">
        <f t="shared" si="80"/>
      </c>
      <c r="F309" s="157">
        <f t="shared" si="80"/>
      </c>
      <c r="G309" s="157">
        <f t="shared" si="75"/>
      </c>
      <c r="H309" s="225">
        <f t="shared" si="76"/>
      </c>
      <c r="I309" s="206"/>
      <c r="J309" s="207">
        <f t="shared" si="77"/>
      </c>
      <c r="K309" s="208">
        <f t="shared" si="82"/>
      </c>
      <c r="L309" s="206"/>
      <c r="M309" s="47">
        <f t="shared" si="83"/>
      </c>
      <c r="N309" s="190"/>
      <c r="O309" s="209">
        <f t="shared" si="81"/>
      </c>
      <c r="P309" s="209">
        <f t="shared" si="81"/>
      </c>
      <c r="Q309" s="190"/>
      <c r="R309" s="193">
        <f t="shared" si="78"/>
      </c>
      <c r="S309" s="190"/>
      <c r="T309" s="47">
        <f t="shared" si="79"/>
      </c>
      <c r="U309" s="47">
        <f>IF(E309="","",+T309*tab!H$87)</f>
      </c>
      <c r="V309" s="46">
        <f t="shared" si="71"/>
        <v>0</v>
      </c>
      <c r="W309" s="49"/>
      <c r="X309" s="76">
        <f>IF(P309="",0,M309*12*P309*IF(OR(J309&lt;=8,J309="ID1",J309="ID2",J309="ID3"),1+tab!H$89,1+tab!G$89))</f>
        <v>0</v>
      </c>
      <c r="Y309" s="190"/>
      <c r="Z309" s="158">
        <f t="shared" si="72"/>
        <v>0</v>
      </c>
      <c r="AA309" s="76">
        <f t="shared" si="73"/>
        <v>0</v>
      </c>
      <c r="AB309" s="49"/>
      <c r="AC309" s="47">
        <f t="shared" si="74"/>
        <v>0</v>
      </c>
      <c r="AD309" s="49"/>
      <c r="AE309" s="10"/>
      <c r="AF309" s="10"/>
      <c r="AG309" s="10"/>
      <c r="AH309" s="210"/>
      <c r="AI309" s="10"/>
      <c r="AJ309" s="187"/>
      <c r="AK309" s="194"/>
      <c r="AQ309" s="211"/>
      <c r="AS309" s="187"/>
      <c r="AT309" s="194"/>
    </row>
    <row r="310" spans="2:46" s="185" customFormat="1" ht="12.75" customHeight="1">
      <c r="B310" s="10"/>
      <c r="C310" s="23"/>
      <c r="D310" s="157">
        <f t="shared" si="80"/>
      </c>
      <c r="E310" s="157">
        <f t="shared" si="80"/>
      </c>
      <c r="F310" s="157">
        <f t="shared" si="80"/>
      </c>
      <c r="G310" s="157">
        <f t="shared" si="75"/>
      </c>
      <c r="H310" s="225">
        <f t="shared" si="76"/>
      </c>
      <c r="I310" s="206"/>
      <c r="J310" s="207">
        <f t="shared" si="77"/>
      </c>
      <c r="K310" s="208">
        <f t="shared" si="82"/>
      </c>
      <c r="L310" s="206"/>
      <c r="M310" s="47">
        <f t="shared" si="83"/>
      </c>
      <c r="N310" s="190"/>
      <c r="O310" s="209">
        <f t="shared" si="81"/>
      </c>
      <c r="P310" s="209">
        <f t="shared" si="81"/>
      </c>
      <c r="Q310" s="190"/>
      <c r="R310" s="193">
        <f t="shared" si="78"/>
      </c>
      <c r="S310" s="190"/>
      <c r="T310" s="47">
        <f t="shared" si="79"/>
      </c>
      <c r="U310" s="47">
        <f>IF(E310="","",+T310*tab!H$87)</f>
      </c>
      <c r="V310" s="46">
        <f t="shared" si="71"/>
        <v>0</v>
      </c>
      <c r="W310" s="49"/>
      <c r="X310" s="76">
        <f>IF(P310="",0,M310*12*P310*IF(OR(J310&lt;=8,J310="ID1",J310="ID2",J310="ID3"),1+tab!H$89,1+tab!G$89))</f>
        <v>0</v>
      </c>
      <c r="Y310" s="190"/>
      <c r="Z310" s="158">
        <f t="shared" si="72"/>
        <v>0</v>
      </c>
      <c r="AA310" s="76">
        <f t="shared" si="73"/>
        <v>0</v>
      </c>
      <c r="AB310" s="49"/>
      <c r="AC310" s="47">
        <f t="shared" si="74"/>
        <v>0</v>
      </c>
      <c r="AD310" s="49"/>
      <c r="AE310" s="10"/>
      <c r="AF310" s="10"/>
      <c r="AG310" s="10"/>
      <c r="AH310" s="210"/>
      <c r="AI310" s="10"/>
      <c r="AJ310" s="187"/>
      <c r="AK310" s="194"/>
      <c r="AQ310" s="211"/>
      <c r="AS310" s="187"/>
      <c r="AT310" s="194"/>
    </row>
    <row r="311" spans="2:46" s="185" customFormat="1" ht="12.75" customHeight="1">
      <c r="B311" s="10"/>
      <c r="C311" s="23"/>
      <c r="D311" s="157">
        <f t="shared" si="80"/>
      </c>
      <c r="E311" s="157">
        <f t="shared" si="80"/>
      </c>
      <c r="F311" s="157">
        <f t="shared" si="80"/>
      </c>
      <c r="G311" s="157">
        <f t="shared" si="75"/>
      </c>
      <c r="H311" s="225">
        <f t="shared" si="76"/>
      </c>
      <c r="I311" s="206"/>
      <c r="J311" s="207">
        <f t="shared" si="77"/>
      </c>
      <c r="K311" s="208">
        <f t="shared" si="82"/>
      </c>
      <c r="L311" s="206"/>
      <c r="M311" s="47">
        <f t="shared" si="83"/>
      </c>
      <c r="N311" s="190"/>
      <c r="O311" s="209">
        <f t="shared" si="81"/>
      </c>
      <c r="P311" s="209">
        <f t="shared" si="81"/>
      </c>
      <c r="Q311" s="190"/>
      <c r="R311" s="193">
        <f t="shared" si="78"/>
      </c>
      <c r="S311" s="190"/>
      <c r="T311" s="47">
        <f t="shared" si="79"/>
      </c>
      <c r="U311" s="47">
        <f>IF(E311="","",+T311*tab!H$87)</f>
      </c>
      <c r="V311" s="46">
        <f t="shared" si="71"/>
        <v>0</v>
      </c>
      <c r="W311" s="49"/>
      <c r="X311" s="76">
        <f>IF(P311="",0,M311*12*P311*IF(OR(J311&lt;=8,J311="ID1",J311="ID2",J311="ID3"),1+tab!H$89,1+tab!G$89))</f>
        <v>0</v>
      </c>
      <c r="Y311" s="190"/>
      <c r="Z311" s="158">
        <f t="shared" si="72"/>
        <v>0</v>
      </c>
      <c r="AA311" s="76">
        <f t="shared" si="73"/>
        <v>0</v>
      </c>
      <c r="AB311" s="49"/>
      <c r="AC311" s="47">
        <f t="shared" si="74"/>
        <v>0</v>
      </c>
      <c r="AD311" s="49"/>
      <c r="AE311" s="10"/>
      <c r="AF311" s="10"/>
      <c r="AG311" s="10"/>
      <c r="AH311" s="210"/>
      <c r="AI311" s="10"/>
      <c r="AJ311" s="187"/>
      <c r="AK311" s="194"/>
      <c r="AQ311" s="211"/>
      <c r="AS311" s="187"/>
      <c r="AT311" s="194"/>
    </row>
    <row r="312" spans="2:46" s="185" customFormat="1" ht="12.75" customHeight="1">
      <c r="B312" s="10"/>
      <c r="C312" s="23"/>
      <c r="D312" s="157">
        <f t="shared" si="80"/>
      </c>
      <c r="E312" s="157">
        <f t="shared" si="80"/>
      </c>
      <c r="F312" s="157">
        <f t="shared" si="80"/>
      </c>
      <c r="G312" s="157">
        <f t="shared" si="75"/>
      </c>
      <c r="H312" s="225">
        <f t="shared" si="76"/>
      </c>
      <c r="I312" s="206"/>
      <c r="J312" s="207">
        <f t="shared" si="77"/>
      </c>
      <c r="K312" s="208">
        <f t="shared" si="82"/>
      </c>
      <c r="L312" s="206"/>
      <c r="M312" s="47">
        <f t="shared" si="83"/>
      </c>
      <c r="N312" s="190"/>
      <c r="O312" s="209">
        <f t="shared" si="81"/>
      </c>
      <c r="P312" s="209">
        <f t="shared" si="81"/>
      </c>
      <c r="Q312" s="190"/>
      <c r="R312" s="193">
        <f t="shared" si="78"/>
      </c>
      <c r="S312" s="190"/>
      <c r="T312" s="47">
        <f t="shared" si="79"/>
      </c>
      <c r="U312" s="47">
        <f>IF(E312="","",+T312*tab!H$87)</f>
      </c>
      <c r="V312" s="46">
        <f t="shared" si="71"/>
        <v>0</v>
      </c>
      <c r="W312" s="49"/>
      <c r="X312" s="76">
        <f>IF(P312="",0,M312*12*P312*IF(OR(J312&lt;=8,J312="ID1",J312="ID2",J312="ID3"),1+tab!H$89,1+tab!G$89))</f>
        <v>0</v>
      </c>
      <c r="Y312" s="190"/>
      <c r="Z312" s="158">
        <f t="shared" si="72"/>
        <v>0</v>
      </c>
      <c r="AA312" s="76">
        <f t="shared" si="73"/>
        <v>0</v>
      </c>
      <c r="AB312" s="49"/>
      <c r="AC312" s="47">
        <f t="shared" si="74"/>
        <v>0</v>
      </c>
      <c r="AD312" s="49"/>
      <c r="AE312" s="10"/>
      <c r="AF312" s="10"/>
      <c r="AG312" s="10"/>
      <c r="AH312" s="210"/>
      <c r="AI312" s="10"/>
      <c r="AJ312" s="187"/>
      <c r="AK312" s="194"/>
      <c r="AQ312" s="211"/>
      <c r="AS312" s="187"/>
      <c r="AT312" s="194"/>
    </row>
    <row r="313" spans="2:46" s="185" customFormat="1" ht="12.75" customHeight="1">
      <c r="B313" s="10"/>
      <c r="C313" s="23"/>
      <c r="D313" s="157">
        <f t="shared" si="80"/>
      </c>
      <c r="E313" s="157">
        <f t="shared" si="80"/>
      </c>
      <c r="F313" s="157">
        <f t="shared" si="80"/>
      </c>
      <c r="G313" s="157">
        <f t="shared" si="75"/>
      </c>
      <c r="H313" s="225">
        <f t="shared" si="76"/>
      </c>
      <c r="I313" s="206"/>
      <c r="J313" s="207">
        <f t="shared" si="77"/>
      </c>
      <c r="K313" s="208">
        <f t="shared" si="82"/>
      </c>
      <c r="L313" s="206"/>
      <c r="M313" s="47">
        <f t="shared" si="83"/>
      </c>
      <c r="N313" s="190"/>
      <c r="O313" s="209">
        <f t="shared" si="81"/>
      </c>
      <c r="P313" s="209">
        <f t="shared" si="81"/>
      </c>
      <c r="Q313" s="190"/>
      <c r="R313" s="193">
        <f t="shared" si="78"/>
      </c>
      <c r="S313" s="190"/>
      <c r="T313" s="47">
        <f t="shared" si="79"/>
      </c>
      <c r="U313" s="47">
        <f>IF(E313="","",+T313*tab!H$87)</f>
      </c>
      <c r="V313" s="46">
        <f t="shared" si="71"/>
        <v>0</v>
      </c>
      <c r="W313" s="49"/>
      <c r="X313" s="76">
        <f>IF(P313="",0,M313*12*P313*IF(OR(J313&lt;=8,J313="ID1",J313="ID2",J313="ID3"),1+tab!H$89,1+tab!G$89))</f>
        <v>0</v>
      </c>
      <c r="Y313" s="190"/>
      <c r="Z313" s="158">
        <f t="shared" si="72"/>
        <v>0</v>
      </c>
      <c r="AA313" s="76">
        <f t="shared" si="73"/>
        <v>0</v>
      </c>
      <c r="AB313" s="49"/>
      <c r="AC313" s="47">
        <f t="shared" si="74"/>
        <v>0</v>
      </c>
      <c r="AD313" s="49"/>
      <c r="AE313" s="10"/>
      <c r="AF313" s="10"/>
      <c r="AG313" s="10"/>
      <c r="AH313" s="210"/>
      <c r="AI313" s="10"/>
      <c r="AJ313" s="187"/>
      <c r="AK313" s="194"/>
      <c r="AQ313" s="211"/>
      <c r="AS313" s="187"/>
      <c r="AT313" s="194"/>
    </row>
    <row r="314" spans="2:46" s="185" customFormat="1" ht="12.75" customHeight="1">
      <c r="B314" s="10"/>
      <c r="C314" s="23"/>
      <c r="D314" s="157">
        <f aca="true" t="shared" si="84" ref="D314:F323">IF(D250=0,"",D250)</f>
      </c>
      <c r="E314" s="157">
        <f t="shared" si="84"/>
      </c>
      <c r="F314" s="157">
        <f t="shared" si="84"/>
      </c>
      <c r="G314" s="157">
        <f t="shared" si="75"/>
      </c>
      <c r="H314" s="225">
        <f t="shared" si="76"/>
      </c>
      <c r="I314" s="206"/>
      <c r="J314" s="207">
        <f t="shared" si="77"/>
      </c>
      <c r="K314" s="208">
        <f t="shared" si="82"/>
      </c>
      <c r="L314" s="206"/>
      <c r="M314" s="47">
        <f t="shared" si="83"/>
      </c>
      <c r="N314" s="190"/>
      <c r="O314" s="209">
        <f aca="true" t="shared" si="85" ref="O314:P323">IF(O250="","",O250)</f>
      </c>
      <c r="P314" s="209">
        <f t="shared" si="85"/>
      </c>
      <c r="Q314" s="190"/>
      <c r="R314" s="193">
        <f t="shared" si="78"/>
      </c>
      <c r="S314" s="190"/>
      <c r="T314" s="47">
        <f t="shared" si="79"/>
      </c>
      <c r="U314" s="47">
        <f>IF(E314="","",+T314*tab!H$87)</f>
      </c>
      <c r="V314" s="46">
        <f t="shared" si="71"/>
        <v>0</v>
      </c>
      <c r="W314" s="49"/>
      <c r="X314" s="76">
        <f>IF(P314="",0,M314*12*P314*IF(OR(J314&lt;=8,J314="ID1",J314="ID2",J314="ID3"),1+tab!H$89,1+tab!G$89))</f>
        <v>0</v>
      </c>
      <c r="Y314" s="190"/>
      <c r="Z314" s="158">
        <f t="shared" si="72"/>
        <v>0</v>
      </c>
      <c r="AA314" s="76">
        <f t="shared" si="73"/>
        <v>0</v>
      </c>
      <c r="AB314" s="49"/>
      <c r="AC314" s="47">
        <f t="shared" si="74"/>
        <v>0</v>
      </c>
      <c r="AD314" s="49"/>
      <c r="AE314" s="10"/>
      <c r="AF314" s="10"/>
      <c r="AG314" s="10"/>
      <c r="AH314" s="210"/>
      <c r="AI314" s="10"/>
      <c r="AJ314" s="187"/>
      <c r="AK314" s="194"/>
      <c r="AQ314" s="211"/>
      <c r="AS314" s="187"/>
      <c r="AT314" s="194"/>
    </row>
    <row r="315" spans="2:46" s="185" customFormat="1" ht="12.75" customHeight="1">
      <c r="B315" s="10"/>
      <c r="C315" s="23"/>
      <c r="D315" s="157">
        <f t="shared" si="84"/>
      </c>
      <c r="E315" s="157">
        <f t="shared" si="84"/>
      </c>
      <c r="F315" s="157">
        <f t="shared" si="84"/>
      </c>
      <c r="G315" s="157">
        <f t="shared" si="75"/>
      </c>
      <c r="H315" s="225">
        <f t="shared" si="76"/>
      </c>
      <c r="I315" s="206"/>
      <c r="J315" s="207">
        <f t="shared" si="77"/>
      </c>
      <c r="K315" s="208">
        <f t="shared" si="82"/>
      </c>
      <c r="L315" s="206"/>
      <c r="M315" s="47">
        <f t="shared" si="83"/>
      </c>
      <c r="N315" s="190"/>
      <c r="O315" s="209">
        <f t="shared" si="85"/>
      </c>
      <c r="P315" s="209">
        <f t="shared" si="85"/>
      </c>
      <c r="Q315" s="190"/>
      <c r="R315" s="193">
        <f t="shared" si="78"/>
      </c>
      <c r="S315" s="190"/>
      <c r="T315" s="47">
        <f t="shared" si="79"/>
      </c>
      <c r="U315" s="47">
        <f>IF(E315="","",+T315*tab!H$87)</f>
      </c>
      <c r="V315" s="46">
        <f t="shared" si="71"/>
        <v>0</v>
      </c>
      <c r="W315" s="49"/>
      <c r="X315" s="76">
        <f>IF(P315="",0,M315*12*P315*IF(OR(J315&lt;=8,J315="ID1",J315="ID2",J315="ID3"),1+tab!H$89,1+tab!G$89))</f>
        <v>0</v>
      </c>
      <c r="Y315" s="190"/>
      <c r="Z315" s="158">
        <f t="shared" si="72"/>
        <v>0</v>
      </c>
      <c r="AA315" s="76">
        <f t="shared" si="73"/>
        <v>0</v>
      </c>
      <c r="AB315" s="49"/>
      <c r="AC315" s="47">
        <f t="shared" si="74"/>
        <v>0</v>
      </c>
      <c r="AD315" s="49"/>
      <c r="AE315" s="10"/>
      <c r="AF315" s="10"/>
      <c r="AG315" s="10"/>
      <c r="AH315" s="210"/>
      <c r="AI315" s="10"/>
      <c r="AJ315" s="187"/>
      <c r="AK315" s="194"/>
      <c r="AQ315" s="211"/>
      <c r="AS315" s="187"/>
      <c r="AT315" s="194"/>
    </row>
    <row r="316" spans="2:46" s="185" customFormat="1" ht="12.75" customHeight="1">
      <c r="B316" s="10"/>
      <c r="C316" s="23"/>
      <c r="D316" s="157">
        <f t="shared" si="84"/>
      </c>
      <c r="E316" s="157">
        <f t="shared" si="84"/>
      </c>
      <c r="F316" s="157">
        <f t="shared" si="84"/>
      </c>
      <c r="G316" s="157">
        <f t="shared" si="75"/>
      </c>
      <c r="H316" s="225">
        <f t="shared" si="76"/>
      </c>
      <c r="I316" s="206"/>
      <c r="J316" s="207">
        <f t="shared" si="77"/>
      </c>
      <c r="K316" s="208">
        <f t="shared" si="82"/>
      </c>
      <c r="L316" s="206"/>
      <c r="M316" s="47">
        <f t="shared" si="83"/>
      </c>
      <c r="N316" s="190"/>
      <c r="O316" s="209">
        <f t="shared" si="85"/>
      </c>
      <c r="P316" s="209">
        <f t="shared" si="85"/>
      </c>
      <c r="Q316" s="190"/>
      <c r="R316" s="193">
        <f t="shared" si="78"/>
      </c>
      <c r="S316" s="190"/>
      <c r="T316" s="47">
        <f t="shared" si="79"/>
      </c>
      <c r="U316" s="47">
        <f>IF(E316="","",+T316*tab!H$87)</f>
      </c>
      <c r="V316" s="46">
        <f t="shared" si="71"/>
        <v>0</v>
      </c>
      <c r="W316" s="49"/>
      <c r="X316" s="76">
        <f>IF(P316="",0,M316*12*P316*IF(OR(J316&lt;=8,J316="ID1",J316="ID2",J316="ID3"),1+tab!H$89,1+tab!G$89))</f>
        <v>0</v>
      </c>
      <c r="Y316" s="190"/>
      <c r="Z316" s="158">
        <f t="shared" si="72"/>
        <v>0</v>
      </c>
      <c r="AA316" s="76">
        <f t="shared" si="73"/>
        <v>0</v>
      </c>
      <c r="AB316" s="49"/>
      <c r="AC316" s="47">
        <f t="shared" si="74"/>
        <v>0</v>
      </c>
      <c r="AD316" s="49"/>
      <c r="AE316" s="10"/>
      <c r="AF316" s="10"/>
      <c r="AG316" s="10"/>
      <c r="AH316" s="210"/>
      <c r="AI316" s="10"/>
      <c r="AJ316" s="187"/>
      <c r="AK316" s="194"/>
      <c r="AQ316" s="211"/>
      <c r="AS316" s="187"/>
      <c r="AT316" s="194"/>
    </row>
    <row r="317" spans="2:46" s="185" customFormat="1" ht="12.75" customHeight="1">
      <c r="B317" s="10"/>
      <c r="C317" s="23"/>
      <c r="D317" s="157">
        <f t="shared" si="84"/>
      </c>
      <c r="E317" s="157">
        <f t="shared" si="84"/>
      </c>
      <c r="F317" s="157">
        <f t="shared" si="84"/>
      </c>
      <c r="G317" s="157">
        <f t="shared" si="75"/>
      </c>
      <c r="H317" s="225">
        <f t="shared" si="76"/>
      </c>
      <c r="I317" s="206"/>
      <c r="J317" s="207">
        <f t="shared" si="77"/>
      </c>
      <c r="K317" s="208">
        <f t="shared" si="82"/>
      </c>
      <c r="L317" s="206"/>
      <c r="M317" s="47">
        <f t="shared" si="83"/>
      </c>
      <c r="N317" s="190"/>
      <c r="O317" s="209">
        <f t="shared" si="85"/>
      </c>
      <c r="P317" s="209">
        <f t="shared" si="85"/>
      </c>
      <c r="Q317" s="190"/>
      <c r="R317" s="193">
        <f t="shared" si="78"/>
      </c>
      <c r="S317" s="190"/>
      <c r="T317" s="47">
        <f t="shared" si="79"/>
      </c>
      <c r="U317" s="47">
        <f>IF(E317="","",+T317*tab!H$87)</f>
      </c>
      <c r="V317" s="46">
        <f t="shared" si="71"/>
        <v>0</v>
      </c>
      <c r="W317" s="49"/>
      <c r="X317" s="76">
        <f>IF(P317="",0,M317*12*P317*IF(OR(J317&lt;=8,J317="ID1",J317="ID2",J317="ID3"),1+tab!H$89,1+tab!G$89))</f>
        <v>0</v>
      </c>
      <c r="Y317" s="190"/>
      <c r="Z317" s="158">
        <f t="shared" si="72"/>
        <v>0</v>
      </c>
      <c r="AA317" s="76">
        <f t="shared" si="73"/>
        <v>0</v>
      </c>
      <c r="AB317" s="49"/>
      <c r="AC317" s="47">
        <f t="shared" si="74"/>
        <v>0</v>
      </c>
      <c r="AD317" s="49"/>
      <c r="AE317" s="10"/>
      <c r="AF317" s="10"/>
      <c r="AG317" s="10"/>
      <c r="AH317" s="210"/>
      <c r="AI317" s="10"/>
      <c r="AJ317" s="187"/>
      <c r="AK317" s="194"/>
      <c r="AQ317" s="211"/>
      <c r="AS317" s="187"/>
      <c r="AT317" s="194"/>
    </row>
    <row r="318" spans="2:46" s="185" customFormat="1" ht="12.75" customHeight="1">
      <c r="B318" s="10"/>
      <c r="C318" s="23"/>
      <c r="D318" s="157">
        <f t="shared" si="84"/>
      </c>
      <c r="E318" s="157">
        <f t="shared" si="84"/>
      </c>
      <c r="F318" s="157">
        <f t="shared" si="84"/>
      </c>
      <c r="G318" s="157">
        <f t="shared" si="75"/>
      </c>
      <c r="H318" s="225">
        <f t="shared" si="76"/>
      </c>
      <c r="I318" s="206"/>
      <c r="J318" s="207">
        <f t="shared" si="77"/>
      </c>
      <c r="K318" s="208">
        <f t="shared" si="82"/>
      </c>
      <c r="L318" s="206"/>
      <c r="M318" s="47">
        <f t="shared" si="83"/>
      </c>
      <c r="N318" s="190"/>
      <c r="O318" s="209">
        <f t="shared" si="85"/>
      </c>
      <c r="P318" s="209">
        <f t="shared" si="85"/>
      </c>
      <c r="Q318" s="190"/>
      <c r="R318" s="193">
        <f t="shared" si="78"/>
      </c>
      <c r="S318" s="190"/>
      <c r="T318" s="47">
        <f t="shared" si="79"/>
      </c>
      <c r="U318" s="47">
        <f>IF(E318="","",+T318*tab!H$87)</f>
      </c>
      <c r="V318" s="46">
        <f t="shared" si="71"/>
        <v>0</v>
      </c>
      <c r="W318" s="49"/>
      <c r="X318" s="76">
        <f>IF(P318="",0,M318*12*P318*IF(OR(J318&lt;=8,J318="ID1",J318="ID2",J318="ID3"),1+tab!H$89,1+tab!G$89))</f>
        <v>0</v>
      </c>
      <c r="Y318" s="190"/>
      <c r="Z318" s="158">
        <f t="shared" si="72"/>
        <v>0</v>
      </c>
      <c r="AA318" s="76">
        <f t="shared" si="73"/>
        <v>0</v>
      </c>
      <c r="AB318" s="49"/>
      <c r="AC318" s="47">
        <f t="shared" si="74"/>
        <v>0</v>
      </c>
      <c r="AD318" s="49"/>
      <c r="AE318" s="10"/>
      <c r="AF318" s="10"/>
      <c r="AG318" s="10"/>
      <c r="AH318" s="210"/>
      <c r="AI318" s="10"/>
      <c r="AJ318" s="187"/>
      <c r="AK318" s="194"/>
      <c r="AQ318" s="211"/>
      <c r="AS318" s="187"/>
      <c r="AT318" s="194"/>
    </row>
    <row r="319" spans="2:46" s="185" customFormat="1" ht="12.75" customHeight="1">
      <c r="B319" s="10"/>
      <c r="C319" s="23"/>
      <c r="D319" s="157">
        <f t="shared" si="84"/>
      </c>
      <c r="E319" s="157">
        <f t="shared" si="84"/>
      </c>
      <c r="F319" s="157">
        <f t="shared" si="84"/>
      </c>
      <c r="G319" s="157">
        <f t="shared" si="75"/>
      </c>
      <c r="H319" s="225">
        <f t="shared" si="76"/>
      </c>
      <c r="I319" s="206"/>
      <c r="J319" s="207">
        <f t="shared" si="77"/>
      </c>
      <c r="K319" s="208">
        <f t="shared" si="82"/>
      </c>
      <c r="L319" s="206"/>
      <c r="M319" s="47">
        <f t="shared" si="83"/>
      </c>
      <c r="N319" s="190"/>
      <c r="O319" s="209">
        <f t="shared" si="85"/>
      </c>
      <c r="P319" s="209">
        <f t="shared" si="85"/>
      </c>
      <c r="Q319" s="190"/>
      <c r="R319" s="193">
        <f t="shared" si="78"/>
      </c>
      <c r="S319" s="190"/>
      <c r="T319" s="47">
        <f t="shared" si="79"/>
      </c>
      <c r="U319" s="47">
        <f>IF(E319="","",+T319*tab!H$87)</f>
      </c>
      <c r="V319" s="46">
        <f t="shared" si="71"/>
        <v>0</v>
      </c>
      <c r="W319" s="49"/>
      <c r="X319" s="76">
        <f>IF(P319="",0,M319*12*P319*IF(OR(J319&lt;=8,J319="ID1",J319="ID2",J319="ID3"),1+tab!H$89,1+tab!G$89))</f>
        <v>0</v>
      </c>
      <c r="Y319" s="190"/>
      <c r="Z319" s="158">
        <f t="shared" si="72"/>
        <v>0</v>
      </c>
      <c r="AA319" s="76">
        <f t="shared" si="73"/>
        <v>0</v>
      </c>
      <c r="AB319" s="49"/>
      <c r="AC319" s="47">
        <f t="shared" si="74"/>
        <v>0</v>
      </c>
      <c r="AD319" s="49"/>
      <c r="AE319" s="10"/>
      <c r="AF319" s="10"/>
      <c r="AG319" s="10"/>
      <c r="AH319" s="210"/>
      <c r="AI319" s="10"/>
      <c r="AJ319" s="187"/>
      <c r="AK319" s="194"/>
      <c r="AQ319" s="211"/>
      <c r="AS319" s="187"/>
      <c r="AT319" s="194"/>
    </row>
    <row r="320" spans="2:46" s="185" customFormat="1" ht="12.75" customHeight="1">
      <c r="B320" s="10"/>
      <c r="C320" s="23"/>
      <c r="D320" s="157">
        <f t="shared" si="84"/>
      </c>
      <c r="E320" s="157">
        <f t="shared" si="84"/>
      </c>
      <c r="F320" s="157">
        <f t="shared" si="84"/>
      </c>
      <c r="G320" s="157">
        <f t="shared" si="75"/>
      </c>
      <c r="H320" s="225">
        <f t="shared" si="76"/>
      </c>
      <c r="I320" s="206"/>
      <c r="J320" s="207">
        <f t="shared" si="77"/>
      </c>
      <c r="K320" s="208">
        <f t="shared" si="82"/>
      </c>
      <c r="L320" s="206"/>
      <c r="M320" s="47">
        <f t="shared" si="83"/>
      </c>
      <c r="N320" s="190"/>
      <c r="O320" s="209">
        <f t="shared" si="85"/>
      </c>
      <c r="P320" s="209">
        <f t="shared" si="85"/>
      </c>
      <c r="Q320" s="190"/>
      <c r="R320" s="193">
        <f t="shared" si="78"/>
      </c>
      <c r="S320" s="190"/>
      <c r="T320" s="47">
        <f t="shared" si="79"/>
      </c>
      <c r="U320" s="47">
        <f>IF(E320="","",+T320*tab!H$87)</f>
      </c>
      <c r="V320" s="46">
        <f t="shared" si="71"/>
        <v>0</v>
      </c>
      <c r="W320" s="49"/>
      <c r="X320" s="76">
        <f>IF(P320="",0,M320*12*P320*IF(OR(J320&lt;=8,J320="ID1",J320="ID2",J320="ID3"),1+tab!H$89,1+tab!G$89))</f>
        <v>0</v>
      </c>
      <c r="Y320" s="190"/>
      <c r="Z320" s="158">
        <f t="shared" si="72"/>
        <v>0</v>
      </c>
      <c r="AA320" s="76">
        <f t="shared" si="73"/>
        <v>0</v>
      </c>
      <c r="AB320" s="49"/>
      <c r="AC320" s="47">
        <f t="shared" si="74"/>
        <v>0</v>
      </c>
      <c r="AD320" s="49"/>
      <c r="AE320" s="10"/>
      <c r="AF320" s="10"/>
      <c r="AG320" s="10"/>
      <c r="AH320" s="210"/>
      <c r="AI320" s="10"/>
      <c r="AJ320" s="187"/>
      <c r="AK320" s="194"/>
      <c r="AQ320" s="211"/>
      <c r="AS320" s="187"/>
      <c r="AT320" s="194"/>
    </row>
    <row r="321" spans="2:46" s="185" customFormat="1" ht="12.75" customHeight="1">
      <c r="B321" s="10"/>
      <c r="C321" s="23"/>
      <c r="D321" s="157">
        <f t="shared" si="84"/>
      </c>
      <c r="E321" s="157">
        <f t="shared" si="84"/>
      </c>
      <c r="F321" s="157">
        <f t="shared" si="84"/>
      </c>
      <c r="G321" s="157">
        <f t="shared" si="75"/>
      </c>
      <c r="H321" s="225">
        <f t="shared" si="76"/>
      </c>
      <c r="I321" s="206"/>
      <c r="J321" s="207">
        <f t="shared" si="77"/>
      </c>
      <c r="K321" s="208">
        <f t="shared" si="82"/>
      </c>
      <c r="L321" s="206"/>
      <c r="M321" s="47">
        <f t="shared" si="83"/>
      </c>
      <c r="N321" s="190"/>
      <c r="O321" s="209">
        <f t="shared" si="85"/>
      </c>
      <c r="P321" s="209">
        <f t="shared" si="85"/>
      </c>
      <c r="Q321" s="190"/>
      <c r="R321" s="193">
        <f t="shared" si="78"/>
      </c>
      <c r="S321" s="190"/>
      <c r="T321" s="47">
        <f t="shared" si="79"/>
      </c>
      <c r="U321" s="47">
        <f>IF(E321="","",+T321*tab!H$87)</f>
      </c>
      <c r="V321" s="46">
        <f t="shared" si="71"/>
        <v>0</v>
      </c>
      <c r="W321" s="49"/>
      <c r="X321" s="76">
        <f>IF(P321="",0,M321*12*P321*IF(OR(J321&lt;=8,J321="ID1",J321="ID2",J321="ID3"),1+tab!H$89,1+tab!G$89))</f>
        <v>0</v>
      </c>
      <c r="Y321" s="190"/>
      <c r="Z321" s="158">
        <f t="shared" si="72"/>
        <v>0</v>
      </c>
      <c r="AA321" s="76">
        <f t="shared" si="73"/>
        <v>0</v>
      </c>
      <c r="AB321" s="49"/>
      <c r="AC321" s="47">
        <f t="shared" si="74"/>
        <v>0</v>
      </c>
      <c r="AD321" s="49"/>
      <c r="AE321" s="10"/>
      <c r="AF321" s="10"/>
      <c r="AG321" s="10"/>
      <c r="AH321" s="210"/>
      <c r="AI321" s="10"/>
      <c r="AJ321" s="187"/>
      <c r="AK321" s="194"/>
      <c r="AQ321" s="211"/>
      <c r="AS321" s="187"/>
      <c r="AT321" s="194"/>
    </row>
    <row r="322" spans="2:46" s="185" customFormat="1" ht="12.75" customHeight="1">
      <c r="B322" s="10"/>
      <c r="C322" s="23"/>
      <c r="D322" s="157">
        <f t="shared" si="84"/>
      </c>
      <c r="E322" s="157">
        <f t="shared" si="84"/>
      </c>
      <c r="F322" s="157">
        <f t="shared" si="84"/>
      </c>
      <c r="G322" s="157">
        <f t="shared" si="75"/>
      </c>
      <c r="H322" s="225">
        <f t="shared" si="76"/>
      </c>
      <c r="I322" s="206"/>
      <c r="J322" s="207">
        <f t="shared" si="77"/>
      </c>
      <c r="K322" s="208">
        <f t="shared" si="82"/>
      </c>
      <c r="L322" s="206"/>
      <c r="M322" s="47">
        <f t="shared" si="83"/>
      </c>
      <c r="N322" s="190"/>
      <c r="O322" s="209">
        <f t="shared" si="85"/>
      </c>
      <c r="P322" s="209">
        <f t="shared" si="85"/>
      </c>
      <c r="Q322" s="190"/>
      <c r="R322" s="193">
        <f t="shared" si="78"/>
      </c>
      <c r="S322" s="190"/>
      <c r="T322" s="47">
        <f t="shared" si="79"/>
      </c>
      <c r="U322" s="47">
        <f>IF(E322="","",+T322*tab!H$87)</f>
      </c>
      <c r="V322" s="46">
        <f t="shared" si="71"/>
        <v>0</v>
      </c>
      <c r="W322" s="49"/>
      <c r="X322" s="76">
        <f>IF(P322="",0,M322*12*P322*IF(OR(J322&lt;=8,J322="ID1",J322="ID2",J322="ID3"),1+tab!H$89,1+tab!G$89))</f>
        <v>0</v>
      </c>
      <c r="Y322" s="190"/>
      <c r="Z322" s="158">
        <f t="shared" si="72"/>
        <v>0</v>
      </c>
      <c r="AA322" s="76">
        <f t="shared" si="73"/>
        <v>0</v>
      </c>
      <c r="AB322" s="49"/>
      <c r="AC322" s="47">
        <f t="shared" si="74"/>
        <v>0</v>
      </c>
      <c r="AD322" s="49"/>
      <c r="AE322" s="10"/>
      <c r="AF322" s="10"/>
      <c r="AG322" s="10"/>
      <c r="AH322" s="210"/>
      <c r="AI322" s="10"/>
      <c r="AJ322" s="187"/>
      <c r="AK322" s="194"/>
      <c r="AQ322" s="211"/>
      <c r="AS322" s="187"/>
      <c r="AT322" s="194"/>
    </row>
    <row r="323" spans="2:46" s="185" customFormat="1" ht="12.75" customHeight="1">
      <c r="B323" s="10"/>
      <c r="C323" s="23"/>
      <c r="D323" s="157">
        <f t="shared" si="84"/>
      </c>
      <c r="E323" s="157">
        <f t="shared" si="84"/>
      </c>
      <c r="F323" s="157">
        <f t="shared" si="84"/>
      </c>
      <c r="G323" s="157">
        <f t="shared" si="75"/>
      </c>
      <c r="H323" s="225">
        <f t="shared" si="76"/>
      </c>
      <c r="I323" s="206"/>
      <c r="J323" s="207">
        <f t="shared" si="77"/>
      </c>
      <c r="K323" s="208">
        <f t="shared" si="82"/>
      </c>
      <c r="L323" s="206"/>
      <c r="M323" s="47">
        <f t="shared" si="83"/>
      </c>
      <c r="N323" s="190"/>
      <c r="O323" s="209">
        <f t="shared" si="85"/>
      </c>
      <c r="P323" s="209">
        <f t="shared" si="85"/>
      </c>
      <c r="Q323" s="190"/>
      <c r="R323" s="193">
        <f t="shared" si="78"/>
      </c>
      <c r="S323" s="190"/>
      <c r="T323" s="47">
        <f t="shared" si="79"/>
      </c>
      <c r="U323" s="47">
        <f>IF(E323="","",+T323*tab!H$87)</f>
      </c>
      <c r="V323" s="46">
        <f t="shared" si="71"/>
        <v>0</v>
      </c>
      <c r="W323" s="49"/>
      <c r="X323" s="76">
        <f>IF(P323="",0,M323*12*P323*IF(OR(J323&lt;=8,J323="ID1",J323="ID2",J323="ID3"),1+tab!H$89,1+tab!G$89))</f>
        <v>0</v>
      </c>
      <c r="Y323" s="190"/>
      <c r="Z323" s="158">
        <f t="shared" si="72"/>
        <v>0</v>
      </c>
      <c r="AA323" s="76">
        <f t="shared" si="73"/>
        <v>0</v>
      </c>
      <c r="AB323" s="49"/>
      <c r="AC323" s="47">
        <f t="shared" si="74"/>
        <v>0</v>
      </c>
      <c r="AD323" s="49"/>
      <c r="AE323" s="10"/>
      <c r="AF323" s="10"/>
      <c r="AG323" s="10"/>
      <c r="AH323" s="210"/>
      <c r="AI323" s="10"/>
      <c r="AJ323" s="187"/>
      <c r="AK323" s="194"/>
      <c r="AQ323" s="211"/>
      <c r="AS323" s="187"/>
      <c r="AT323" s="194"/>
    </row>
    <row r="324" spans="3:53" ht="12.75">
      <c r="C324" s="23"/>
      <c r="D324" s="27"/>
      <c r="E324" s="27"/>
      <c r="F324" s="27"/>
      <c r="G324" s="212"/>
      <c r="H324" s="196"/>
      <c r="I324" s="212"/>
      <c r="J324" s="195"/>
      <c r="K324" s="197"/>
      <c r="L324" s="212"/>
      <c r="M324" s="144"/>
      <c r="N324" s="144"/>
      <c r="O324" s="150">
        <f>SUM(O274:O323)</f>
        <v>0</v>
      </c>
      <c r="P324" s="150">
        <f>SUM(P274:P323)</f>
        <v>0</v>
      </c>
      <c r="Q324" s="144"/>
      <c r="R324" s="145"/>
      <c r="S324" s="144"/>
      <c r="T324" s="50">
        <f>SUM(T274:T323)</f>
        <v>0</v>
      </c>
      <c r="U324" s="50">
        <f>SUM(U274:U323)</f>
        <v>0</v>
      </c>
      <c r="V324" s="50">
        <f>SUM(V274:V323)</f>
        <v>0</v>
      </c>
      <c r="W324" s="144"/>
      <c r="X324" s="198">
        <f>SUM(X274:X323)</f>
        <v>0</v>
      </c>
      <c r="Y324" s="144"/>
      <c r="Z324" s="199">
        <f>SUM(Z274:Z323)</f>
        <v>0</v>
      </c>
      <c r="AA324" s="198">
        <f>SUM(AA274:AA323)</f>
        <v>0</v>
      </c>
      <c r="AB324" s="144"/>
      <c r="AC324" s="198">
        <f>SUM(AC274:AC323)</f>
        <v>0</v>
      </c>
      <c r="AD324" s="144"/>
      <c r="BA324" s="185"/>
    </row>
    <row r="325" spans="3:30" ht="12.75">
      <c r="C325" s="23"/>
      <c r="D325" s="35"/>
      <c r="E325" s="35"/>
      <c r="F325" s="35"/>
      <c r="G325" s="36"/>
      <c r="H325" s="143"/>
      <c r="I325" s="35"/>
      <c r="J325" s="36"/>
      <c r="K325" s="144"/>
      <c r="L325" s="36"/>
      <c r="M325" s="144"/>
      <c r="N325" s="144"/>
      <c r="O325" s="145"/>
      <c r="P325" s="145"/>
      <c r="Q325" s="144"/>
      <c r="R325" s="145"/>
      <c r="S325" s="144"/>
      <c r="T325" s="200"/>
      <c r="U325" s="200"/>
      <c r="V325" s="200"/>
      <c r="W325" s="144"/>
      <c r="X325" s="201"/>
      <c r="Y325" s="144"/>
      <c r="Z325" s="202"/>
      <c r="AA325" s="201"/>
      <c r="AB325" s="144"/>
      <c r="AC325" s="144"/>
      <c r="AD325" s="144"/>
    </row>
  </sheetData>
  <sheetProtection password="DE55" sheet="1" objects="1" scenarios="1"/>
  <mergeCells count="20">
    <mergeCell ref="D270:H270"/>
    <mergeCell ref="J270:M270"/>
    <mergeCell ref="O270:R270"/>
    <mergeCell ref="T270:V270"/>
    <mergeCell ref="D206:H206"/>
    <mergeCell ref="J206:M206"/>
    <mergeCell ref="O206:R206"/>
    <mergeCell ref="T206:V206"/>
    <mergeCell ref="D142:H142"/>
    <mergeCell ref="J142:M142"/>
    <mergeCell ref="O142:R142"/>
    <mergeCell ref="T142:V142"/>
    <mergeCell ref="D78:H78"/>
    <mergeCell ref="J78:M78"/>
    <mergeCell ref="O78:R78"/>
    <mergeCell ref="T78:V78"/>
    <mergeCell ref="D13:H13"/>
    <mergeCell ref="J13:M13"/>
    <mergeCell ref="O13:R13"/>
    <mergeCell ref="T13:V13"/>
  </mergeCells>
  <dataValidations count="4">
    <dataValidation type="list" allowBlank="1" showInputMessage="1" showErrorMessage="1" sqref="L198:L204 J82:J131 J146:J195 J198:J204 J210:J259 J274:J323">
      <formula1>"LIOa,LIOb,J1,J2,J3,J4,J5,J6,1,2,3,4,5,6,7,8,9,10,11,12,13,14,15,LA,LB,LC,LD,LE,ID1,ID2,ID3"</formula1>
    </dataValidation>
    <dataValidation type="list" allowBlank="1" showInputMessage="1" showErrorMessage="1" sqref="J69:J76 J134:J140 L69:L76 L134:L140">
      <formula1>"LA,LB,LC,LD,LE"</formula1>
    </dataValidation>
    <dataValidation type="list" allowBlank="1" showInputMessage="1" showErrorMessage="1" sqref="J18:J66">
      <formula1>$BA$16:$BA$50</formula1>
    </dataValidation>
    <dataValidation type="list" allowBlank="1" showInputMessage="1" showErrorMessage="1" sqref="J17">
      <formula1>$BA$16:$BA$53</formula1>
    </dataValidation>
  </dataValidations>
  <printOptions/>
  <pageMargins left="0.75" right="0.75" top="1" bottom="1" header="0.5" footer="0.5"/>
  <pageSetup horizontalDpi="600" verticalDpi="600" orientation="landscape" paperSize="9" scale="50" r:id="rId3"/>
  <headerFooter alignWithMargins="0">
    <oddHeader>&amp;L&amp;"Arial,Vet"&amp;F&amp;R&amp;"Arial,Vet"&amp;A</oddHeader>
    <oddFooter>&amp;L&amp;"Arial,Vet"vos/abb&amp;C&amp;"Arial,Vet"&amp;P&amp;R&amp;"Arial,Vet"&amp;D</oddFooter>
  </headerFooter>
  <rowBreaks count="1" manualBreakCount="1">
    <brk id="70" min="1" max="30" man="1"/>
  </rowBreaks>
  <colBreaks count="1" manualBreakCount="1">
    <brk id="31" min="1" max="178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O92"/>
  <sheetViews>
    <sheetView showGridLines="0" zoomScale="85" zoomScaleNormal="85" workbookViewId="0" topLeftCell="A1">
      <pane ySplit="12" topLeftCell="BM1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7109375" style="238" customWidth="1"/>
    <col min="2" max="3" width="2.7109375" style="238" customWidth="1"/>
    <col min="4" max="5" width="25.7109375" style="436" customWidth="1"/>
    <col min="6" max="6" width="10.7109375" style="240" customWidth="1"/>
    <col min="7" max="9" width="11.8515625" style="240" customWidth="1"/>
    <col min="10" max="10" width="2.7109375" style="238" customWidth="1"/>
    <col min="11" max="11" width="12.7109375" style="238" hidden="1" customWidth="1"/>
    <col min="12" max="15" width="13.7109375" style="238" customWidth="1"/>
    <col min="16" max="16" width="2.7109375" style="238" customWidth="1"/>
    <col min="17" max="26" width="12.7109375" style="238" customWidth="1"/>
    <col min="27" max="28" width="2.7109375" style="238" customWidth="1"/>
    <col min="29" max="29" width="5.7109375" style="238" customWidth="1"/>
    <col min="30" max="30" width="2.7109375" style="238" customWidth="1"/>
    <col min="31" max="31" width="12.7109375" style="437" customWidth="1"/>
    <col min="32" max="33" width="12.7109375" style="438" customWidth="1"/>
    <col min="34" max="40" width="10.7109375" style="438" customWidth="1"/>
    <col min="41" max="41" width="2.7109375" style="238" customWidth="1"/>
    <col min="42" max="16384" width="9.140625" style="238" customWidth="1"/>
  </cols>
  <sheetData>
    <row r="1" ht="13.5" thickBot="1"/>
    <row r="2" spans="2:28" ht="12.75">
      <c r="B2" s="233"/>
      <c r="C2" s="234"/>
      <c r="D2" s="451"/>
      <c r="E2" s="451"/>
      <c r="F2" s="235"/>
      <c r="G2" s="235"/>
      <c r="H2" s="235"/>
      <c r="I2" s="235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6"/>
    </row>
    <row r="3" spans="2:28" ht="12.75">
      <c r="B3" s="237"/>
      <c r="AB3" s="241"/>
    </row>
    <row r="4" spans="2:40" s="14" customFormat="1" ht="18" customHeight="1">
      <c r="B4" s="13"/>
      <c r="C4" s="14" t="s">
        <v>393</v>
      </c>
      <c r="D4" s="106"/>
      <c r="E4" s="106"/>
      <c r="F4" s="433"/>
      <c r="G4" s="433"/>
      <c r="H4" s="433"/>
      <c r="I4" s="433"/>
      <c r="AB4" s="452"/>
      <c r="AE4" s="434"/>
      <c r="AF4" s="435"/>
      <c r="AG4" s="435"/>
      <c r="AH4" s="435"/>
      <c r="AI4" s="435"/>
      <c r="AJ4" s="435"/>
      <c r="AK4" s="435"/>
      <c r="AL4" s="435"/>
      <c r="AM4" s="435"/>
      <c r="AN4" s="435"/>
    </row>
    <row r="5" spans="2:34" ht="12.75">
      <c r="B5" s="237"/>
      <c r="C5" s="53" t="s">
        <v>412</v>
      </c>
      <c r="J5" s="494"/>
      <c r="L5" s="81"/>
      <c r="M5" s="41"/>
      <c r="N5" s="81"/>
      <c r="Q5" s="441"/>
      <c r="R5" s="441"/>
      <c r="S5" s="441"/>
      <c r="T5" s="441"/>
      <c r="U5" s="441"/>
      <c r="V5" s="441"/>
      <c r="W5" s="441"/>
      <c r="X5" s="441"/>
      <c r="Y5" s="441"/>
      <c r="Z5" s="441"/>
      <c r="AB5" s="241"/>
      <c r="AE5" s="441"/>
      <c r="AF5" s="441"/>
      <c r="AG5" s="441"/>
      <c r="AH5" s="441"/>
    </row>
    <row r="6" spans="2:28" ht="12.75">
      <c r="B6" s="237"/>
      <c r="L6" s="10"/>
      <c r="M6" s="41"/>
      <c r="N6" s="81"/>
      <c r="Q6" s="439"/>
      <c r="R6" s="439"/>
      <c r="S6" s="439"/>
      <c r="T6" s="439"/>
      <c r="U6" s="439"/>
      <c r="V6" s="439"/>
      <c r="W6" s="439"/>
      <c r="X6" s="439"/>
      <c r="Y6" s="439"/>
      <c r="Z6" s="439"/>
      <c r="AB6" s="241"/>
    </row>
    <row r="7" spans="2:34" ht="12.75">
      <c r="B7" s="237"/>
      <c r="L7" s="65"/>
      <c r="M7" s="65"/>
      <c r="N7" s="65"/>
      <c r="O7" s="65"/>
      <c r="AB7" s="241"/>
      <c r="AE7" s="238"/>
      <c r="AF7" s="238"/>
      <c r="AG7" s="238"/>
      <c r="AH7" s="238"/>
    </row>
    <row r="8" spans="2:40" ht="12.75">
      <c r="B8" s="237"/>
      <c r="Q8" s="440">
        <f aca="true" t="shared" si="0" ref="Q8:Z8">Q89</f>
        <v>0</v>
      </c>
      <c r="R8" s="440">
        <f t="shared" si="0"/>
        <v>0</v>
      </c>
      <c r="S8" s="440">
        <f t="shared" si="0"/>
        <v>0</v>
      </c>
      <c r="T8" s="440">
        <f t="shared" si="0"/>
        <v>0</v>
      </c>
      <c r="U8" s="440">
        <f t="shared" si="0"/>
        <v>0</v>
      </c>
      <c r="V8" s="440">
        <f t="shared" si="0"/>
        <v>0</v>
      </c>
      <c r="W8" s="440">
        <f t="shared" si="0"/>
        <v>0</v>
      </c>
      <c r="X8" s="440">
        <f t="shared" si="0"/>
        <v>0</v>
      </c>
      <c r="Y8" s="440">
        <f t="shared" si="0"/>
        <v>0</v>
      </c>
      <c r="Z8" s="440">
        <f t="shared" si="0"/>
        <v>0</v>
      </c>
      <c r="AB8" s="241"/>
      <c r="AE8" s="460">
        <f aca="true" t="shared" si="1" ref="AE8:AN8">AE89</f>
        <v>0</v>
      </c>
      <c r="AF8" s="460">
        <f t="shared" si="1"/>
        <v>0</v>
      </c>
      <c r="AG8" s="460">
        <f t="shared" si="1"/>
        <v>0</v>
      </c>
      <c r="AH8" s="460">
        <f t="shared" si="1"/>
        <v>0</v>
      </c>
      <c r="AI8" s="460">
        <f t="shared" si="1"/>
        <v>0</v>
      </c>
      <c r="AJ8" s="460">
        <f t="shared" si="1"/>
        <v>0</v>
      </c>
      <c r="AK8" s="460">
        <f t="shared" si="1"/>
        <v>0</v>
      </c>
      <c r="AL8" s="460">
        <f t="shared" si="1"/>
        <v>0</v>
      </c>
      <c r="AM8" s="460">
        <f t="shared" si="1"/>
        <v>0</v>
      </c>
      <c r="AN8" s="460">
        <f t="shared" si="1"/>
        <v>0</v>
      </c>
    </row>
    <row r="9" spans="2:28" ht="12.75">
      <c r="B9" s="237"/>
      <c r="AB9" s="241"/>
    </row>
    <row r="10" spans="2:41" s="441" customFormat="1" ht="12.75">
      <c r="B10" s="453"/>
      <c r="C10" s="30"/>
      <c r="D10" s="29" t="s">
        <v>394</v>
      </c>
      <c r="E10" s="29" t="s">
        <v>395</v>
      </c>
      <c r="F10" s="30" t="s">
        <v>396</v>
      </c>
      <c r="G10" s="30" t="s">
        <v>397</v>
      </c>
      <c r="H10" s="30" t="s">
        <v>398</v>
      </c>
      <c r="I10" s="30" t="s">
        <v>399</v>
      </c>
      <c r="J10" s="30"/>
      <c r="K10" s="30" t="s">
        <v>400</v>
      </c>
      <c r="L10" s="30" t="s">
        <v>401</v>
      </c>
      <c r="M10" s="30" t="s">
        <v>402</v>
      </c>
      <c r="N10" s="170" t="s">
        <v>403</v>
      </c>
      <c r="O10" s="30" t="s">
        <v>404</v>
      </c>
      <c r="P10" s="30"/>
      <c r="Q10" s="30">
        <f>O11</f>
        <v>2007</v>
      </c>
      <c r="R10" s="443">
        <f>Q10+1</f>
        <v>2008</v>
      </c>
      <c r="S10" s="443">
        <f>Q10+2</f>
        <v>2009</v>
      </c>
      <c r="T10" s="181">
        <f aca="true" t="shared" si="2" ref="T10:Z10">Q10+3</f>
        <v>2010</v>
      </c>
      <c r="U10" s="181">
        <f t="shared" si="2"/>
        <v>2011</v>
      </c>
      <c r="V10" s="181">
        <f t="shared" si="2"/>
        <v>2012</v>
      </c>
      <c r="W10" s="181">
        <f t="shared" si="2"/>
        <v>2013</v>
      </c>
      <c r="X10" s="181">
        <f t="shared" si="2"/>
        <v>2014</v>
      </c>
      <c r="Y10" s="181">
        <f t="shared" si="2"/>
        <v>2015</v>
      </c>
      <c r="Z10" s="181">
        <f t="shared" si="2"/>
        <v>2016</v>
      </c>
      <c r="AA10" s="30"/>
      <c r="AB10" s="454"/>
      <c r="AD10" s="30"/>
      <c r="AE10" s="442">
        <f aca="true" t="shared" si="3" ref="AE10:AN10">Q10</f>
        <v>2007</v>
      </c>
      <c r="AF10" s="442">
        <f t="shared" si="3"/>
        <v>2008</v>
      </c>
      <c r="AG10" s="442">
        <f t="shared" si="3"/>
        <v>2009</v>
      </c>
      <c r="AH10" s="442">
        <f t="shared" si="3"/>
        <v>2010</v>
      </c>
      <c r="AI10" s="442">
        <f t="shared" si="3"/>
        <v>2011</v>
      </c>
      <c r="AJ10" s="442">
        <f t="shared" si="3"/>
        <v>2012</v>
      </c>
      <c r="AK10" s="442">
        <f t="shared" si="3"/>
        <v>2013</v>
      </c>
      <c r="AL10" s="442">
        <f t="shared" si="3"/>
        <v>2014</v>
      </c>
      <c r="AM10" s="442">
        <f t="shared" si="3"/>
        <v>2015</v>
      </c>
      <c r="AN10" s="442">
        <f t="shared" si="3"/>
        <v>2016</v>
      </c>
      <c r="AO10" s="30"/>
    </row>
    <row r="11" spans="2:41" s="441" customFormat="1" ht="12.75">
      <c r="B11" s="453"/>
      <c r="C11" s="30"/>
      <c r="D11" s="29"/>
      <c r="E11" s="29"/>
      <c r="F11" s="30" t="s">
        <v>405</v>
      </c>
      <c r="G11" s="30" t="s">
        <v>406</v>
      </c>
      <c r="H11" s="30" t="s">
        <v>407</v>
      </c>
      <c r="I11" s="30" t="s">
        <v>408</v>
      </c>
      <c r="J11" s="30"/>
      <c r="K11" s="30"/>
      <c r="L11" s="30" t="s">
        <v>409</v>
      </c>
      <c r="M11" s="30" t="s">
        <v>410</v>
      </c>
      <c r="N11" s="170" t="s">
        <v>402</v>
      </c>
      <c r="O11" s="170">
        <f>tab!G12</f>
        <v>2007</v>
      </c>
      <c r="P11" s="30"/>
      <c r="Q11" s="30" t="s">
        <v>402</v>
      </c>
      <c r="R11" s="30" t="s">
        <v>402</v>
      </c>
      <c r="S11" s="30" t="s">
        <v>402</v>
      </c>
      <c r="T11" s="30" t="s">
        <v>402</v>
      </c>
      <c r="U11" s="30" t="s">
        <v>402</v>
      </c>
      <c r="V11" s="30" t="s">
        <v>402</v>
      </c>
      <c r="W11" s="30" t="s">
        <v>402</v>
      </c>
      <c r="X11" s="30" t="s">
        <v>402</v>
      </c>
      <c r="Y11" s="30" t="s">
        <v>402</v>
      </c>
      <c r="Z11" s="30" t="s">
        <v>402</v>
      </c>
      <c r="AA11" s="30"/>
      <c r="AB11" s="454"/>
      <c r="AD11" s="30"/>
      <c r="AE11" s="442" t="s">
        <v>411</v>
      </c>
      <c r="AF11" s="442" t="s">
        <v>411</v>
      </c>
      <c r="AG11" s="442" t="s">
        <v>411</v>
      </c>
      <c r="AH11" s="442" t="s">
        <v>411</v>
      </c>
      <c r="AI11" s="442" t="s">
        <v>411</v>
      </c>
      <c r="AJ11" s="442" t="s">
        <v>411</v>
      </c>
      <c r="AK11" s="442" t="s">
        <v>411</v>
      </c>
      <c r="AL11" s="442" t="s">
        <v>411</v>
      </c>
      <c r="AM11" s="442" t="s">
        <v>411</v>
      </c>
      <c r="AN11" s="442" t="s">
        <v>411</v>
      </c>
      <c r="AO11" s="30"/>
    </row>
    <row r="12" spans="2:41" s="441" customFormat="1" ht="12.75">
      <c r="B12" s="453"/>
      <c r="C12" s="30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170"/>
      <c r="O12" s="17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454"/>
      <c r="AD12" s="30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30"/>
    </row>
    <row r="13" spans="2:41" ht="12.75">
      <c r="B13" s="237"/>
      <c r="C13" s="246"/>
      <c r="D13" s="412"/>
      <c r="E13" s="412"/>
      <c r="F13" s="239"/>
      <c r="G13" s="444"/>
      <c r="H13" s="239"/>
      <c r="I13" s="239"/>
      <c r="J13" s="246"/>
      <c r="K13" s="248">
        <f aca="true" t="shared" si="4" ref="K13:K19">IF(I13="geen",9999999999,I13)</f>
        <v>0</v>
      </c>
      <c r="L13" s="256">
        <f aca="true" t="shared" si="5" ref="L13:L86">F13*G13</f>
        <v>0</v>
      </c>
      <c r="M13" s="76">
        <f aca="true" t="shared" si="6" ref="M13:M86">IF(F13=0,0,(F13*G13)/K13)</f>
        <v>0</v>
      </c>
      <c r="N13" s="445" t="str">
        <f aca="true" t="shared" si="7" ref="N13:N86">IF(K13=0,"-",(IF(K13&gt;3000,"-",H13+K13-1)))</f>
        <v>-</v>
      </c>
      <c r="O13" s="76">
        <f aca="true" t="shared" si="8" ref="O13:O51">IF(I13="geen",IF(H13&lt;$Q$10,F13*G13,0),IF(H13&gt;=$Q$10,0,IF((G13*F13-(Q$10-H13)*M13)&lt;0,0,G13*F13-(Q$10-H13)*M13)))</f>
        <v>0</v>
      </c>
      <c r="P13" s="246"/>
      <c r="Q13" s="76">
        <f aca="true" t="shared" si="9" ref="Q13:Q18">(IF(Q$10&lt;$H13,0,IF($N13&lt;=Q$10-1,0,$M13)))</f>
        <v>0</v>
      </c>
      <c r="R13" s="76">
        <f aca="true" t="shared" si="10" ref="R13:R18">(IF(R$10&lt;$H13,0,IF($N13&lt;=R$10-1,0,$M13)))</f>
        <v>0</v>
      </c>
      <c r="S13" s="76">
        <f aca="true" t="shared" si="11" ref="S13:S18">(IF(S$10&lt;$H13,0,IF($N13&lt;=S$10-1,0,$M13)))</f>
        <v>0</v>
      </c>
      <c r="T13" s="76">
        <f aca="true" t="shared" si="12" ref="T13:Z50">(IF(T$10&lt;$H13,0,IF($N13&lt;=T$10-1,0,$M13)))</f>
        <v>0</v>
      </c>
      <c r="U13" s="76">
        <f t="shared" si="12"/>
        <v>0</v>
      </c>
      <c r="V13" s="76">
        <f t="shared" si="12"/>
        <v>0</v>
      </c>
      <c r="W13" s="76">
        <f t="shared" si="12"/>
        <v>0</v>
      </c>
      <c r="X13" s="76">
        <f t="shared" si="12"/>
        <v>0</v>
      </c>
      <c r="Y13" s="76">
        <f t="shared" si="12"/>
        <v>0</v>
      </c>
      <c r="Z13" s="76">
        <f t="shared" si="12"/>
        <v>0</v>
      </c>
      <c r="AA13" s="246"/>
      <c r="AB13" s="241"/>
      <c r="AD13" s="246"/>
      <c r="AE13" s="446">
        <f aca="true" t="shared" si="13" ref="AE13:AN22">IF(AE$10=$H13,($F13*$G13),0)</f>
        <v>0</v>
      </c>
      <c r="AF13" s="447">
        <f t="shared" si="13"/>
        <v>0</v>
      </c>
      <c r="AG13" s="447">
        <f t="shared" si="13"/>
        <v>0</v>
      </c>
      <c r="AH13" s="447">
        <f t="shared" si="13"/>
        <v>0</v>
      </c>
      <c r="AI13" s="447">
        <f t="shared" si="13"/>
        <v>0</v>
      </c>
      <c r="AJ13" s="447">
        <f t="shared" si="13"/>
        <v>0</v>
      </c>
      <c r="AK13" s="447">
        <f t="shared" si="13"/>
        <v>0</v>
      </c>
      <c r="AL13" s="447">
        <f t="shared" si="13"/>
        <v>0</v>
      </c>
      <c r="AM13" s="447">
        <f t="shared" si="13"/>
        <v>0</v>
      </c>
      <c r="AN13" s="447">
        <f t="shared" si="13"/>
        <v>0</v>
      </c>
      <c r="AO13" s="246"/>
    </row>
    <row r="14" spans="2:41" ht="12.75">
      <c r="B14" s="237"/>
      <c r="C14" s="246"/>
      <c r="D14" s="412"/>
      <c r="E14" s="412"/>
      <c r="F14" s="239"/>
      <c r="G14" s="444"/>
      <c r="H14" s="239"/>
      <c r="I14" s="239"/>
      <c r="J14" s="246"/>
      <c r="K14" s="248">
        <f t="shared" si="4"/>
        <v>0</v>
      </c>
      <c r="L14" s="256">
        <f t="shared" si="5"/>
        <v>0</v>
      </c>
      <c r="M14" s="76">
        <f t="shared" si="6"/>
        <v>0</v>
      </c>
      <c r="N14" s="445" t="str">
        <f t="shared" si="7"/>
        <v>-</v>
      </c>
      <c r="O14" s="76">
        <f t="shared" si="8"/>
        <v>0</v>
      </c>
      <c r="P14" s="246"/>
      <c r="Q14" s="76">
        <f t="shared" si="9"/>
        <v>0</v>
      </c>
      <c r="R14" s="76">
        <f t="shared" si="10"/>
        <v>0</v>
      </c>
      <c r="S14" s="76">
        <f t="shared" si="11"/>
        <v>0</v>
      </c>
      <c r="T14" s="76">
        <f t="shared" si="12"/>
        <v>0</v>
      </c>
      <c r="U14" s="76">
        <f t="shared" si="12"/>
        <v>0</v>
      </c>
      <c r="V14" s="76">
        <f t="shared" si="12"/>
        <v>0</v>
      </c>
      <c r="W14" s="76">
        <f t="shared" si="12"/>
        <v>0</v>
      </c>
      <c r="X14" s="76">
        <f t="shared" si="12"/>
        <v>0</v>
      </c>
      <c r="Y14" s="76">
        <f t="shared" si="12"/>
        <v>0</v>
      </c>
      <c r="Z14" s="76">
        <f t="shared" si="12"/>
        <v>0</v>
      </c>
      <c r="AA14" s="246"/>
      <c r="AB14" s="241"/>
      <c r="AD14" s="246"/>
      <c r="AE14" s="446">
        <f t="shared" si="13"/>
        <v>0</v>
      </c>
      <c r="AF14" s="447">
        <f t="shared" si="13"/>
        <v>0</v>
      </c>
      <c r="AG14" s="447">
        <f t="shared" si="13"/>
        <v>0</v>
      </c>
      <c r="AH14" s="447">
        <f t="shared" si="13"/>
        <v>0</v>
      </c>
      <c r="AI14" s="447">
        <f t="shared" si="13"/>
        <v>0</v>
      </c>
      <c r="AJ14" s="447">
        <f t="shared" si="13"/>
        <v>0</v>
      </c>
      <c r="AK14" s="447">
        <f t="shared" si="13"/>
        <v>0</v>
      </c>
      <c r="AL14" s="447">
        <f t="shared" si="13"/>
        <v>0</v>
      </c>
      <c r="AM14" s="447">
        <f t="shared" si="13"/>
        <v>0</v>
      </c>
      <c r="AN14" s="447">
        <f t="shared" si="13"/>
        <v>0</v>
      </c>
      <c r="AO14" s="246"/>
    </row>
    <row r="15" spans="2:41" ht="12.75">
      <c r="B15" s="237"/>
      <c r="C15" s="246"/>
      <c r="D15" s="412"/>
      <c r="E15" s="412"/>
      <c r="F15" s="239"/>
      <c r="G15" s="444"/>
      <c r="H15" s="239"/>
      <c r="I15" s="239"/>
      <c r="J15" s="246"/>
      <c r="K15" s="248">
        <f t="shared" si="4"/>
        <v>0</v>
      </c>
      <c r="L15" s="256">
        <f t="shared" si="5"/>
        <v>0</v>
      </c>
      <c r="M15" s="76">
        <f t="shared" si="6"/>
        <v>0</v>
      </c>
      <c r="N15" s="445" t="str">
        <f t="shared" si="7"/>
        <v>-</v>
      </c>
      <c r="O15" s="76">
        <f t="shared" si="8"/>
        <v>0</v>
      </c>
      <c r="P15" s="246"/>
      <c r="Q15" s="76">
        <f t="shared" si="9"/>
        <v>0</v>
      </c>
      <c r="R15" s="76">
        <f t="shared" si="10"/>
        <v>0</v>
      </c>
      <c r="S15" s="76">
        <f t="shared" si="11"/>
        <v>0</v>
      </c>
      <c r="T15" s="76">
        <f t="shared" si="12"/>
        <v>0</v>
      </c>
      <c r="U15" s="76">
        <f t="shared" si="12"/>
        <v>0</v>
      </c>
      <c r="V15" s="76">
        <f t="shared" si="12"/>
        <v>0</v>
      </c>
      <c r="W15" s="76">
        <f t="shared" si="12"/>
        <v>0</v>
      </c>
      <c r="X15" s="76">
        <f t="shared" si="12"/>
        <v>0</v>
      </c>
      <c r="Y15" s="76">
        <f t="shared" si="12"/>
        <v>0</v>
      </c>
      <c r="Z15" s="76">
        <f t="shared" si="12"/>
        <v>0</v>
      </c>
      <c r="AA15" s="246"/>
      <c r="AB15" s="241"/>
      <c r="AD15" s="246"/>
      <c r="AE15" s="446">
        <f t="shared" si="13"/>
        <v>0</v>
      </c>
      <c r="AF15" s="447">
        <f t="shared" si="13"/>
        <v>0</v>
      </c>
      <c r="AG15" s="447">
        <f t="shared" si="13"/>
        <v>0</v>
      </c>
      <c r="AH15" s="447">
        <f t="shared" si="13"/>
        <v>0</v>
      </c>
      <c r="AI15" s="447">
        <f t="shared" si="13"/>
        <v>0</v>
      </c>
      <c r="AJ15" s="447">
        <f t="shared" si="13"/>
        <v>0</v>
      </c>
      <c r="AK15" s="447">
        <f t="shared" si="13"/>
        <v>0</v>
      </c>
      <c r="AL15" s="447">
        <f t="shared" si="13"/>
        <v>0</v>
      </c>
      <c r="AM15" s="447">
        <f t="shared" si="13"/>
        <v>0</v>
      </c>
      <c r="AN15" s="447">
        <f t="shared" si="13"/>
        <v>0</v>
      </c>
      <c r="AO15" s="246"/>
    </row>
    <row r="16" spans="2:41" ht="12.75">
      <c r="B16" s="237"/>
      <c r="C16" s="246"/>
      <c r="D16" s="412"/>
      <c r="E16" s="412"/>
      <c r="F16" s="239"/>
      <c r="G16" s="444"/>
      <c r="H16" s="239"/>
      <c r="I16" s="239"/>
      <c r="J16" s="246"/>
      <c r="K16" s="248">
        <f t="shared" si="4"/>
        <v>0</v>
      </c>
      <c r="L16" s="256">
        <f t="shared" si="5"/>
        <v>0</v>
      </c>
      <c r="M16" s="76">
        <f t="shared" si="6"/>
        <v>0</v>
      </c>
      <c r="N16" s="445" t="str">
        <f t="shared" si="7"/>
        <v>-</v>
      </c>
      <c r="O16" s="76">
        <f t="shared" si="8"/>
        <v>0</v>
      </c>
      <c r="P16" s="246"/>
      <c r="Q16" s="76">
        <f t="shared" si="9"/>
        <v>0</v>
      </c>
      <c r="R16" s="76">
        <f t="shared" si="10"/>
        <v>0</v>
      </c>
      <c r="S16" s="76">
        <f t="shared" si="11"/>
        <v>0</v>
      </c>
      <c r="T16" s="76">
        <f t="shared" si="12"/>
        <v>0</v>
      </c>
      <c r="U16" s="76">
        <f t="shared" si="12"/>
        <v>0</v>
      </c>
      <c r="V16" s="76">
        <f t="shared" si="12"/>
        <v>0</v>
      </c>
      <c r="W16" s="76">
        <f t="shared" si="12"/>
        <v>0</v>
      </c>
      <c r="X16" s="76">
        <f t="shared" si="12"/>
        <v>0</v>
      </c>
      <c r="Y16" s="76">
        <f t="shared" si="12"/>
        <v>0</v>
      </c>
      <c r="Z16" s="76">
        <f t="shared" si="12"/>
        <v>0</v>
      </c>
      <c r="AA16" s="246"/>
      <c r="AB16" s="241"/>
      <c r="AD16" s="246"/>
      <c r="AE16" s="446">
        <f t="shared" si="13"/>
        <v>0</v>
      </c>
      <c r="AF16" s="447">
        <f t="shared" si="13"/>
        <v>0</v>
      </c>
      <c r="AG16" s="447">
        <f t="shared" si="13"/>
        <v>0</v>
      </c>
      <c r="AH16" s="447">
        <f t="shared" si="13"/>
        <v>0</v>
      </c>
      <c r="AI16" s="447">
        <f t="shared" si="13"/>
        <v>0</v>
      </c>
      <c r="AJ16" s="447">
        <f t="shared" si="13"/>
        <v>0</v>
      </c>
      <c r="AK16" s="447">
        <f t="shared" si="13"/>
        <v>0</v>
      </c>
      <c r="AL16" s="447">
        <f t="shared" si="13"/>
        <v>0</v>
      </c>
      <c r="AM16" s="447">
        <f t="shared" si="13"/>
        <v>0</v>
      </c>
      <c r="AN16" s="447">
        <f t="shared" si="13"/>
        <v>0</v>
      </c>
      <c r="AO16" s="246"/>
    </row>
    <row r="17" spans="2:41" ht="12.75">
      <c r="B17" s="237"/>
      <c r="C17" s="246"/>
      <c r="D17" s="412"/>
      <c r="E17" s="412"/>
      <c r="F17" s="239"/>
      <c r="G17" s="444"/>
      <c r="H17" s="239"/>
      <c r="I17" s="239"/>
      <c r="J17" s="246"/>
      <c r="K17" s="248">
        <f t="shared" si="4"/>
        <v>0</v>
      </c>
      <c r="L17" s="256">
        <f t="shared" si="5"/>
        <v>0</v>
      </c>
      <c r="M17" s="76">
        <f t="shared" si="6"/>
        <v>0</v>
      </c>
      <c r="N17" s="445" t="str">
        <f t="shared" si="7"/>
        <v>-</v>
      </c>
      <c r="O17" s="76">
        <f t="shared" si="8"/>
        <v>0</v>
      </c>
      <c r="P17" s="246"/>
      <c r="Q17" s="76">
        <f t="shared" si="9"/>
        <v>0</v>
      </c>
      <c r="R17" s="76">
        <f t="shared" si="10"/>
        <v>0</v>
      </c>
      <c r="S17" s="76">
        <f t="shared" si="11"/>
        <v>0</v>
      </c>
      <c r="T17" s="76">
        <f t="shared" si="12"/>
        <v>0</v>
      </c>
      <c r="U17" s="76">
        <f t="shared" si="12"/>
        <v>0</v>
      </c>
      <c r="V17" s="76">
        <f t="shared" si="12"/>
        <v>0</v>
      </c>
      <c r="W17" s="76">
        <f t="shared" si="12"/>
        <v>0</v>
      </c>
      <c r="X17" s="76">
        <f t="shared" si="12"/>
        <v>0</v>
      </c>
      <c r="Y17" s="76">
        <f t="shared" si="12"/>
        <v>0</v>
      </c>
      <c r="Z17" s="76">
        <f t="shared" si="12"/>
        <v>0</v>
      </c>
      <c r="AA17" s="246"/>
      <c r="AB17" s="241"/>
      <c r="AD17" s="246"/>
      <c r="AE17" s="446">
        <f t="shared" si="13"/>
        <v>0</v>
      </c>
      <c r="AF17" s="447">
        <f t="shared" si="13"/>
        <v>0</v>
      </c>
      <c r="AG17" s="447">
        <f t="shared" si="13"/>
        <v>0</v>
      </c>
      <c r="AH17" s="447">
        <f t="shared" si="13"/>
        <v>0</v>
      </c>
      <c r="AI17" s="447">
        <f t="shared" si="13"/>
        <v>0</v>
      </c>
      <c r="AJ17" s="447">
        <f t="shared" si="13"/>
        <v>0</v>
      </c>
      <c r="AK17" s="447">
        <f t="shared" si="13"/>
        <v>0</v>
      </c>
      <c r="AL17" s="447">
        <f t="shared" si="13"/>
        <v>0</v>
      </c>
      <c r="AM17" s="447">
        <f t="shared" si="13"/>
        <v>0</v>
      </c>
      <c r="AN17" s="447">
        <f t="shared" si="13"/>
        <v>0</v>
      </c>
      <c r="AO17" s="246"/>
    </row>
    <row r="18" spans="2:41" ht="12.75">
      <c r="B18" s="237"/>
      <c r="C18" s="246"/>
      <c r="D18" s="412"/>
      <c r="E18" s="412"/>
      <c r="F18" s="239"/>
      <c r="G18" s="444"/>
      <c r="H18" s="239"/>
      <c r="I18" s="239"/>
      <c r="J18" s="246"/>
      <c r="K18" s="248">
        <f t="shared" si="4"/>
        <v>0</v>
      </c>
      <c r="L18" s="256">
        <f t="shared" si="5"/>
        <v>0</v>
      </c>
      <c r="M18" s="76">
        <f t="shared" si="6"/>
        <v>0</v>
      </c>
      <c r="N18" s="445" t="str">
        <f t="shared" si="7"/>
        <v>-</v>
      </c>
      <c r="O18" s="76">
        <f t="shared" si="8"/>
        <v>0</v>
      </c>
      <c r="P18" s="246"/>
      <c r="Q18" s="76">
        <f t="shared" si="9"/>
        <v>0</v>
      </c>
      <c r="R18" s="76">
        <f t="shared" si="10"/>
        <v>0</v>
      </c>
      <c r="S18" s="76">
        <f t="shared" si="11"/>
        <v>0</v>
      </c>
      <c r="T18" s="76">
        <f t="shared" si="12"/>
        <v>0</v>
      </c>
      <c r="U18" s="76">
        <f t="shared" si="12"/>
        <v>0</v>
      </c>
      <c r="V18" s="76">
        <f t="shared" si="12"/>
        <v>0</v>
      </c>
      <c r="W18" s="76">
        <f t="shared" si="12"/>
        <v>0</v>
      </c>
      <c r="X18" s="76">
        <f t="shared" si="12"/>
        <v>0</v>
      </c>
      <c r="Y18" s="76">
        <f t="shared" si="12"/>
        <v>0</v>
      </c>
      <c r="Z18" s="76">
        <f t="shared" si="12"/>
        <v>0</v>
      </c>
      <c r="AA18" s="246"/>
      <c r="AB18" s="241"/>
      <c r="AD18" s="246"/>
      <c r="AE18" s="446">
        <f t="shared" si="13"/>
        <v>0</v>
      </c>
      <c r="AF18" s="447">
        <f t="shared" si="13"/>
        <v>0</v>
      </c>
      <c r="AG18" s="447">
        <f t="shared" si="13"/>
        <v>0</v>
      </c>
      <c r="AH18" s="447">
        <f t="shared" si="13"/>
        <v>0</v>
      </c>
      <c r="AI18" s="447">
        <f t="shared" si="13"/>
        <v>0</v>
      </c>
      <c r="AJ18" s="447">
        <f t="shared" si="13"/>
        <v>0</v>
      </c>
      <c r="AK18" s="447">
        <f t="shared" si="13"/>
        <v>0</v>
      </c>
      <c r="AL18" s="447">
        <f t="shared" si="13"/>
        <v>0</v>
      </c>
      <c r="AM18" s="447">
        <f t="shared" si="13"/>
        <v>0</v>
      </c>
      <c r="AN18" s="447">
        <f t="shared" si="13"/>
        <v>0</v>
      </c>
      <c r="AO18" s="246"/>
    </row>
    <row r="19" spans="2:41" ht="12.75">
      <c r="B19" s="237"/>
      <c r="C19" s="246"/>
      <c r="D19" s="412"/>
      <c r="E19" s="412"/>
      <c r="F19" s="239"/>
      <c r="G19" s="444"/>
      <c r="H19" s="239"/>
      <c r="I19" s="239"/>
      <c r="J19" s="246"/>
      <c r="K19" s="248">
        <f t="shared" si="4"/>
        <v>0</v>
      </c>
      <c r="L19" s="256">
        <f t="shared" si="5"/>
        <v>0</v>
      </c>
      <c r="M19" s="76">
        <f t="shared" si="6"/>
        <v>0</v>
      </c>
      <c r="N19" s="445" t="str">
        <f t="shared" si="7"/>
        <v>-</v>
      </c>
      <c r="O19" s="76">
        <f t="shared" si="8"/>
        <v>0</v>
      </c>
      <c r="P19" s="246"/>
      <c r="Q19" s="76">
        <f aca="true" t="shared" si="14" ref="Q19:Q86">(IF(Q$10&lt;$H19,0,IF($N19&lt;=Q$10-1,0,$M19)))</f>
        <v>0</v>
      </c>
      <c r="R19" s="76">
        <f aca="true" t="shared" si="15" ref="R19:R86">(IF(R$10&lt;$H19,0,IF($N19&lt;=R$10-1,0,$M19)))</f>
        <v>0</v>
      </c>
      <c r="S19" s="76">
        <f aca="true" t="shared" si="16" ref="S19:S86">(IF(S$10&lt;$H19,0,IF($N19&lt;=S$10-1,0,$M19)))</f>
        <v>0</v>
      </c>
      <c r="T19" s="76">
        <f t="shared" si="12"/>
        <v>0</v>
      </c>
      <c r="U19" s="76">
        <f t="shared" si="12"/>
        <v>0</v>
      </c>
      <c r="V19" s="76">
        <f t="shared" si="12"/>
        <v>0</v>
      </c>
      <c r="W19" s="76">
        <f t="shared" si="12"/>
        <v>0</v>
      </c>
      <c r="X19" s="76">
        <f t="shared" si="12"/>
        <v>0</v>
      </c>
      <c r="Y19" s="76">
        <f t="shared" si="12"/>
        <v>0</v>
      </c>
      <c r="Z19" s="76">
        <f t="shared" si="12"/>
        <v>0</v>
      </c>
      <c r="AA19" s="246"/>
      <c r="AB19" s="241"/>
      <c r="AD19" s="246"/>
      <c r="AE19" s="446">
        <f t="shared" si="13"/>
        <v>0</v>
      </c>
      <c r="AF19" s="447">
        <f t="shared" si="13"/>
        <v>0</v>
      </c>
      <c r="AG19" s="447">
        <f t="shared" si="13"/>
        <v>0</v>
      </c>
      <c r="AH19" s="447">
        <f t="shared" si="13"/>
        <v>0</v>
      </c>
      <c r="AI19" s="447">
        <f t="shared" si="13"/>
        <v>0</v>
      </c>
      <c r="AJ19" s="447">
        <f t="shared" si="13"/>
        <v>0</v>
      </c>
      <c r="AK19" s="447">
        <f t="shared" si="13"/>
        <v>0</v>
      </c>
      <c r="AL19" s="447">
        <f t="shared" si="13"/>
        <v>0</v>
      </c>
      <c r="AM19" s="447">
        <f t="shared" si="13"/>
        <v>0</v>
      </c>
      <c r="AN19" s="447">
        <f t="shared" si="13"/>
        <v>0</v>
      </c>
      <c r="AO19" s="246"/>
    </row>
    <row r="20" spans="2:41" ht="12.75">
      <c r="B20" s="237"/>
      <c r="C20" s="246"/>
      <c r="D20" s="412"/>
      <c r="E20" s="412"/>
      <c r="F20" s="239"/>
      <c r="G20" s="444"/>
      <c r="H20" s="239"/>
      <c r="I20" s="239"/>
      <c r="J20" s="246"/>
      <c r="K20" s="248">
        <f aca="true" t="shared" si="17" ref="K20:K86">IF(I20="geen",9999999999,I20)</f>
        <v>0</v>
      </c>
      <c r="L20" s="256">
        <f t="shared" si="5"/>
        <v>0</v>
      </c>
      <c r="M20" s="76">
        <f t="shared" si="6"/>
        <v>0</v>
      </c>
      <c r="N20" s="445" t="str">
        <f t="shared" si="7"/>
        <v>-</v>
      </c>
      <c r="O20" s="76">
        <f t="shared" si="8"/>
        <v>0</v>
      </c>
      <c r="P20" s="246"/>
      <c r="Q20" s="76">
        <f t="shared" si="14"/>
        <v>0</v>
      </c>
      <c r="R20" s="76">
        <f t="shared" si="15"/>
        <v>0</v>
      </c>
      <c r="S20" s="76">
        <f t="shared" si="16"/>
        <v>0</v>
      </c>
      <c r="T20" s="76">
        <f t="shared" si="12"/>
        <v>0</v>
      </c>
      <c r="U20" s="76">
        <f t="shared" si="12"/>
        <v>0</v>
      </c>
      <c r="V20" s="76">
        <f t="shared" si="12"/>
        <v>0</v>
      </c>
      <c r="W20" s="76">
        <f t="shared" si="12"/>
        <v>0</v>
      </c>
      <c r="X20" s="76">
        <f t="shared" si="12"/>
        <v>0</v>
      </c>
      <c r="Y20" s="76">
        <f t="shared" si="12"/>
        <v>0</v>
      </c>
      <c r="Z20" s="76">
        <f t="shared" si="12"/>
        <v>0</v>
      </c>
      <c r="AA20" s="246"/>
      <c r="AB20" s="241"/>
      <c r="AD20" s="246"/>
      <c r="AE20" s="446">
        <f t="shared" si="13"/>
        <v>0</v>
      </c>
      <c r="AF20" s="447">
        <f t="shared" si="13"/>
        <v>0</v>
      </c>
      <c r="AG20" s="447">
        <f t="shared" si="13"/>
        <v>0</v>
      </c>
      <c r="AH20" s="447">
        <f t="shared" si="13"/>
        <v>0</v>
      </c>
      <c r="AI20" s="447">
        <f t="shared" si="13"/>
        <v>0</v>
      </c>
      <c r="AJ20" s="447">
        <f t="shared" si="13"/>
        <v>0</v>
      </c>
      <c r="AK20" s="447">
        <f t="shared" si="13"/>
        <v>0</v>
      </c>
      <c r="AL20" s="447">
        <f t="shared" si="13"/>
        <v>0</v>
      </c>
      <c r="AM20" s="447">
        <f t="shared" si="13"/>
        <v>0</v>
      </c>
      <c r="AN20" s="447">
        <f t="shared" si="13"/>
        <v>0</v>
      </c>
      <c r="AO20" s="246"/>
    </row>
    <row r="21" spans="2:41" ht="12.75">
      <c r="B21" s="237"/>
      <c r="C21" s="246"/>
      <c r="D21" s="412"/>
      <c r="E21" s="412"/>
      <c r="F21" s="239"/>
      <c r="G21" s="444"/>
      <c r="H21" s="239"/>
      <c r="I21" s="239"/>
      <c r="J21" s="246"/>
      <c r="K21" s="248">
        <f t="shared" si="17"/>
        <v>0</v>
      </c>
      <c r="L21" s="256">
        <f t="shared" si="5"/>
        <v>0</v>
      </c>
      <c r="M21" s="76">
        <f t="shared" si="6"/>
        <v>0</v>
      </c>
      <c r="N21" s="445" t="str">
        <f t="shared" si="7"/>
        <v>-</v>
      </c>
      <c r="O21" s="76">
        <f t="shared" si="8"/>
        <v>0</v>
      </c>
      <c r="P21" s="246"/>
      <c r="Q21" s="76">
        <f t="shared" si="14"/>
        <v>0</v>
      </c>
      <c r="R21" s="76">
        <f t="shared" si="15"/>
        <v>0</v>
      </c>
      <c r="S21" s="76">
        <f t="shared" si="16"/>
        <v>0</v>
      </c>
      <c r="T21" s="76">
        <f t="shared" si="12"/>
        <v>0</v>
      </c>
      <c r="U21" s="76">
        <f t="shared" si="12"/>
        <v>0</v>
      </c>
      <c r="V21" s="76">
        <f t="shared" si="12"/>
        <v>0</v>
      </c>
      <c r="W21" s="76">
        <f t="shared" si="12"/>
        <v>0</v>
      </c>
      <c r="X21" s="76">
        <f t="shared" si="12"/>
        <v>0</v>
      </c>
      <c r="Y21" s="76">
        <f t="shared" si="12"/>
        <v>0</v>
      </c>
      <c r="Z21" s="76">
        <f t="shared" si="12"/>
        <v>0</v>
      </c>
      <c r="AA21" s="246"/>
      <c r="AB21" s="241"/>
      <c r="AD21" s="246"/>
      <c r="AE21" s="446">
        <f t="shared" si="13"/>
        <v>0</v>
      </c>
      <c r="AF21" s="447">
        <f t="shared" si="13"/>
        <v>0</v>
      </c>
      <c r="AG21" s="447">
        <f t="shared" si="13"/>
        <v>0</v>
      </c>
      <c r="AH21" s="447">
        <f t="shared" si="13"/>
        <v>0</v>
      </c>
      <c r="AI21" s="447">
        <f t="shared" si="13"/>
        <v>0</v>
      </c>
      <c r="AJ21" s="447">
        <f t="shared" si="13"/>
        <v>0</v>
      </c>
      <c r="AK21" s="447">
        <f t="shared" si="13"/>
        <v>0</v>
      </c>
      <c r="AL21" s="447">
        <f t="shared" si="13"/>
        <v>0</v>
      </c>
      <c r="AM21" s="447">
        <f t="shared" si="13"/>
        <v>0</v>
      </c>
      <c r="AN21" s="447">
        <f t="shared" si="13"/>
        <v>0</v>
      </c>
      <c r="AO21" s="246"/>
    </row>
    <row r="22" spans="2:41" ht="12.75">
      <c r="B22" s="237"/>
      <c r="C22" s="246"/>
      <c r="D22" s="412"/>
      <c r="E22" s="412"/>
      <c r="F22" s="239"/>
      <c r="G22" s="444"/>
      <c r="H22" s="239"/>
      <c r="I22" s="239"/>
      <c r="J22" s="246"/>
      <c r="K22" s="248">
        <f t="shared" si="17"/>
        <v>0</v>
      </c>
      <c r="L22" s="256">
        <f t="shared" si="5"/>
        <v>0</v>
      </c>
      <c r="M22" s="76">
        <f t="shared" si="6"/>
        <v>0</v>
      </c>
      <c r="N22" s="445" t="str">
        <f t="shared" si="7"/>
        <v>-</v>
      </c>
      <c r="O22" s="76">
        <f t="shared" si="8"/>
        <v>0</v>
      </c>
      <c r="P22" s="246"/>
      <c r="Q22" s="76">
        <f t="shared" si="14"/>
        <v>0</v>
      </c>
      <c r="R22" s="76">
        <f t="shared" si="15"/>
        <v>0</v>
      </c>
      <c r="S22" s="76">
        <f t="shared" si="16"/>
        <v>0</v>
      </c>
      <c r="T22" s="76">
        <f t="shared" si="12"/>
        <v>0</v>
      </c>
      <c r="U22" s="76">
        <f t="shared" si="12"/>
        <v>0</v>
      </c>
      <c r="V22" s="76">
        <f t="shared" si="12"/>
        <v>0</v>
      </c>
      <c r="W22" s="76">
        <f t="shared" si="12"/>
        <v>0</v>
      </c>
      <c r="X22" s="76">
        <f t="shared" si="12"/>
        <v>0</v>
      </c>
      <c r="Y22" s="76">
        <f t="shared" si="12"/>
        <v>0</v>
      </c>
      <c r="Z22" s="76">
        <f t="shared" si="12"/>
        <v>0</v>
      </c>
      <c r="AA22" s="246"/>
      <c r="AB22" s="241"/>
      <c r="AD22" s="246"/>
      <c r="AE22" s="446">
        <f t="shared" si="13"/>
        <v>0</v>
      </c>
      <c r="AF22" s="447">
        <f t="shared" si="13"/>
        <v>0</v>
      </c>
      <c r="AG22" s="447">
        <f t="shared" si="13"/>
        <v>0</v>
      </c>
      <c r="AH22" s="447">
        <f t="shared" si="13"/>
        <v>0</v>
      </c>
      <c r="AI22" s="447">
        <f t="shared" si="13"/>
        <v>0</v>
      </c>
      <c r="AJ22" s="447">
        <f t="shared" si="13"/>
        <v>0</v>
      </c>
      <c r="AK22" s="447">
        <f t="shared" si="13"/>
        <v>0</v>
      </c>
      <c r="AL22" s="447">
        <f t="shared" si="13"/>
        <v>0</v>
      </c>
      <c r="AM22" s="447">
        <f t="shared" si="13"/>
        <v>0</v>
      </c>
      <c r="AN22" s="447">
        <f t="shared" si="13"/>
        <v>0</v>
      </c>
      <c r="AO22" s="246"/>
    </row>
    <row r="23" spans="2:41" ht="12.75">
      <c r="B23" s="237"/>
      <c r="C23" s="246"/>
      <c r="D23" s="412"/>
      <c r="E23" s="412"/>
      <c r="F23" s="239"/>
      <c r="G23" s="444"/>
      <c r="H23" s="239"/>
      <c r="I23" s="239"/>
      <c r="J23" s="246"/>
      <c r="K23" s="248">
        <f t="shared" si="17"/>
        <v>0</v>
      </c>
      <c r="L23" s="256">
        <f t="shared" si="5"/>
        <v>0</v>
      </c>
      <c r="M23" s="76">
        <f t="shared" si="6"/>
        <v>0</v>
      </c>
      <c r="N23" s="445" t="str">
        <f t="shared" si="7"/>
        <v>-</v>
      </c>
      <c r="O23" s="76">
        <f t="shared" si="8"/>
        <v>0</v>
      </c>
      <c r="P23" s="246"/>
      <c r="Q23" s="76">
        <f t="shared" si="14"/>
        <v>0</v>
      </c>
      <c r="R23" s="76">
        <f t="shared" si="15"/>
        <v>0</v>
      </c>
      <c r="S23" s="76">
        <f t="shared" si="16"/>
        <v>0</v>
      </c>
      <c r="T23" s="76">
        <f t="shared" si="12"/>
        <v>0</v>
      </c>
      <c r="U23" s="76">
        <f t="shared" si="12"/>
        <v>0</v>
      </c>
      <c r="V23" s="76">
        <f t="shared" si="12"/>
        <v>0</v>
      </c>
      <c r="W23" s="76">
        <f t="shared" si="12"/>
        <v>0</v>
      </c>
      <c r="X23" s="76">
        <f t="shared" si="12"/>
        <v>0</v>
      </c>
      <c r="Y23" s="76">
        <f t="shared" si="12"/>
        <v>0</v>
      </c>
      <c r="Z23" s="76">
        <f t="shared" si="12"/>
        <v>0</v>
      </c>
      <c r="AA23" s="246"/>
      <c r="AB23" s="241"/>
      <c r="AD23" s="246"/>
      <c r="AE23" s="446">
        <f aca="true" t="shared" si="18" ref="AE23:AN32">IF(AE$10=$H23,($F23*$G23),0)</f>
        <v>0</v>
      </c>
      <c r="AF23" s="447">
        <f t="shared" si="18"/>
        <v>0</v>
      </c>
      <c r="AG23" s="447">
        <f t="shared" si="18"/>
        <v>0</v>
      </c>
      <c r="AH23" s="447">
        <f t="shared" si="18"/>
        <v>0</v>
      </c>
      <c r="AI23" s="447">
        <f t="shared" si="18"/>
        <v>0</v>
      </c>
      <c r="AJ23" s="447">
        <f t="shared" si="18"/>
        <v>0</v>
      </c>
      <c r="AK23" s="447">
        <f t="shared" si="18"/>
        <v>0</v>
      </c>
      <c r="AL23" s="447">
        <f t="shared" si="18"/>
        <v>0</v>
      </c>
      <c r="AM23" s="447">
        <f t="shared" si="18"/>
        <v>0</v>
      </c>
      <c r="AN23" s="447">
        <f t="shared" si="18"/>
        <v>0</v>
      </c>
      <c r="AO23" s="246"/>
    </row>
    <row r="24" spans="2:41" ht="12.75">
      <c r="B24" s="237"/>
      <c r="C24" s="246"/>
      <c r="D24" s="412"/>
      <c r="E24" s="412"/>
      <c r="F24" s="239"/>
      <c r="G24" s="444"/>
      <c r="H24" s="239"/>
      <c r="I24" s="239"/>
      <c r="J24" s="246"/>
      <c r="K24" s="248">
        <f t="shared" si="17"/>
        <v>0</v>
      </c>
      <c r="L24" s="256">
        <f t="shared" si="5"/>
        <v>0</v>
      </c>
      <c r="M24" s="76">
        <f t="shared" si="6"/>
        <v>0</v>
      </c>
      <c r="N24" s="445" t="str">
        <f t="shared" si="7"/>
        <v>-</v>
      </c>
      <c r="O24" s="76">
        <f t="shared" si="8"/>
        <v>0</v>
      </c>
      <c r="P24" s="246"/>
      <c r="Q24" s="76">
        <f t="shared" si="14"/>
        <v>0</v>
      </c>
      <c r="R24" s="76">
        <f t="shared" si="15"/>
        <v>0</v>
      </c>
      <c r="S24" s="76">
        <f t="shared" si="16"/>
        <v>0</v>
      </c>
      <c r="T24" s="76">
        <f t="shared" si="12"/>
        <v>0</v>
      </c>
      <c r="U24" s="76">
        <f t="shared" si="12"/>
        <v>0</v>
      </c>
      <c r="V24" s="76">
        <f t="shared" si="12"/>
        <v>0</v>
      </c>
      <c r="W24" s="76">
        <f t="shared" si="12"/>
        <v>0</v>
      </c>
      <c r="X24" s="76">
        <f t="shared" si="12"/>
        <v>0</v>
      </c>
      <c r="Y24" s="76">
        <f t="shared" si="12"/>
        <v>0</v>
      </c>
      <c r="Z24" s="76">
        <f t="shared" si="12"/>
        <v>0</v>
      </c>
      <c r="AA24" s="246"/>
      <c r="AB24" s="241"/>
      <c r="AD24" s="246"/>
      <c r="AE24" s="446">
        <f t="shared" si="18"/>
        <v>0</v>
      </c>
      <c r="AF24" s="447">
        <f t="shared" si="18"/>
        <v>0</v>
      </c>
      <c r="AG24" s="447">
        <f t="shared" si="18"/>
        <v>0</v>
      </c>
      <c r="AH24" s="447">
        <f t="shared" si="18"/>
        <v>0</v>
      </c>
      <c r="AI24" s="447">
        <f t="shared" si="18"/>
        <v>0</v>
      </c>
      <c r="AJ24" s="447">
        <f t="shared" si="18"/>
        <v>0</v>
      </c>
      <c r="AK24" s="447">
        <f t="shared" si="18"/>
        <v>0</v>
      </c>
      <c r="AL24" s="447">
        <f t="shared" si="18"/>
        <v>0</v>
      </c>
      <c r="AM24" s="447">
        <f t="shared" si="18"/>
        <v>0</v>
      </c>
      <c r="AN24" s="447">
        <f t="shared" si="18"/>
        <v>0</v>
      </c>
      <c r="AO24" s="246"/>
    </row>
    <row r="25" spans="2:41" ht="12.75">
      <c r="B25" s="237"/>
      <c r="C25" s="246"/>
      <c r="D25" s="412"/>
      <c r="E25" s="412"/>
      <c r="F25" s="239"/>
      <c r="G25" s="444"/>
      <c r="H25" s="239"/>
      <c r="I25" s="239"/>
      <c r="J25" s="246"/>
      <c r="K25" s="248">
        <f t="shared" si="17"/>
        <v>0</v>
      </c>
      <c r="L25" s="256">
        <f t="shared" si="5"/>
        <v>0</v>
      </c>
      <c r="M25" s="76">
        <f t="shared" si="6"/>
        <v>0</v>
      </c>
      <c r="N25" s="445" t="str">
        <f t="shared" si="7"/>
        <v>-</v>
      </c>
      <c r="O25" s="76">
        <f t="shared" si="8"/>
        <v>0</v>
      </c>
      <c r="P25" s="246"/>
      <c r="Q25" s="76">
        <f t="shared" si="14"/>
        <v>0</v>
      </c>
      <c r="R25" s="76">
        <f t="shared" si="15"/>
        <v>0</v>
      </c>
      <c r="S25" s="76">
        <f t="shared" si="16"/>
        <v>0</v>
      </c>
      <c r="T25" s="76">
        <f t="shared" si="12"/>
        <v>0</v>
      </c>
      <c r="U25" s="76">
        <f t="shared" si="12"/>
        <v>0</v>
      </c>
      <c r="V25" s="76">
        <f t="shared" si="12"/>
        <v>0</v>
      </c>
      <c r="W25" s="76">
        <f t="shared" si="12"/>
        <v>0</v>
      </c>
      <c r="X25" s="76">
        <f t="shared" si="12"/>
        <v>0</v>
      </c>
      <c r="Y25" s="76">
        <f t="shared" si="12"/>
        <v>0</v>
      </c>
      <c r="Z25" s="76">
        <f t="shared" si="12"/>
        <v>0</v>
      </c>
      <c r="AA25" s="246"/>
      <c r="AB25" s="241"/>
      <c r="AD25" s="246"/>
      <c r="AE25" s="446">
        <f t="shared" si="18"/>
        <v>0</v>
      </c>
      <c r="AF25" s="447">
        <f t="shared" si="18"/>
        <v>0</v>
      </c>
      <c r="AG25" s="447">
        <f t="shared" si="18"/>
        <v>0</v>
      </c>
      <c r="AH25" s="447">
        <f t="shared" si="18"/>
        <v>0</v>
      </c>
      <c r="AI25" s="447">
        <f t="shared" si="18"/>
        <v>0</v>
      </c>
      <c r="AJ25" s="447">
        <f t="shared" si="18"/>
        <v>0</v>
      </c>
      <c r="AK25" s="447">
        <f t="shared" si="18"/>
        <v>0</v>
      </c>
      <c r="AL25" s="447">
        <f t="shared" si="18"/>
        <v>0</v>
      </c>
      <c r="AM25" s="447">
        <f t="shared" si="18"/>
        <v>0</v>
      </c>
      <c r="AN25" s="447">
        <f t="shared" si="18"/>
        <v>0</v>
      </c>
      <c r="AO25" s="246"/>
    </row>
    <row r="26" spans="2:41" ht="12.75">
      <c r="B26" s="237"/>
      <c r="C26" s="246"/>
      <c r="D26" s="412"/>
      <c r="E26" s="412"/>
      <c r="F26" s="239"/>
      <c r="G26" s="444"/>
      <c r="H26" s="239"/>
      <c r="I26" s="239"/>
      <c r="J26" s="246"/>
      <c r="K26" s="248">
        <f t="shared" si="17"/>
        <v>0</v>
      </c>
      <c r="L26" s="256">
        <f t="shared" si="5"/>
        <v>0</v>
      </c>
      <c r="M26" s="76">
        <f t="shared" si="6"/>
        <v>0</v>
      </c>
      <c r="N26" s="445" t="str">
        <f t="shared" si="7"/>
        <v>-</v>
      </c>
      <c r="O26" s="76">
        <f t="shared" si="8"/>
        <v>0</v>
      </c>
      <c r="P26" s="246"/>
      <c r="Q26" s="76">
        <f t="shared" si="14"/>
        <v>0</v>
      </c>
      <c r="R26" s="76">
        <f t="shared" si="15"/>
        <v>0</v>
      </c>
      <c r="S26" s="76">
        <f t="shared" si="16"/>
        <v>0</v>
      </c>
      <c r="T26" s="76">
        <f t="shared" si="12"/>
        <v>0</v>
      </c>
      <c r="U26" s="76">
        <f t="shared" si="12"/>
        <v>0</v>
      </c>
      <c r="V26" s="76">
        <f t="shared" si="12"/>
        <v>0</v>
      </c>
      <c r="W26" s="76">
        <f t="shared" si="12"/>
        <v>0</v>
      </c>
      <c r="X26" s="76">
        <f t="shared" si="12"/>
        <v>0</v>
      </c>
      <c r="Y26" s="76">
        <f t="shared" si="12"/>
        <v>0</v>
      </c>
      <c r="Z26" s="76">
        <f t="shared" si="12"/>
        <v>0</v>
      </c>
      <c r="AA26" s="246"/>
      <c r="AB26" s="241"/>
      <c r="AD26" s="246"/>
      <c r="AE26" s="446">
        <f t="shared" si="18"/>
        <v>0</v>
      </c>
      <c r="AF26" s="447">
        <f t="shared" si="18"/>
        <v>0</v>
      </c>
      <c r="AG26" s="447">
        <f t="shared" si="18"/>
        <v>0</v>
      </c>
      <c r="AH26" s="447">
        <f t="shared" si="18"/>
        <v>0</v>
      </c>
      <c r="AI26" s="447">
        <f t="shared" si="18"/>
        <v>0</v>
      </c>
      <c r="AJ26" s="447">
        <f t="shared" si="18"/>
        <v>0</v>
      </c>
      <c r="AK26" s="447">
        <f t="shared" si="18"/>
        <v>0</v>
      </c>
      <c r="AL26" s="447">
        <f t="shared" si="18"/>
        <v>0</v>
      </c>
      <c r="AM26" s="447">
        <f t="shared" si="18"/>
        <v>0</v>
      </c>
      <c r="AN26" s="447">
        <f t="shared" si="18"/>
        <v>0</v>
      </c>
      <c r="AO26" s="246"/>
    </row>
    <row r="27" spans="2:41" ht="12.75">
      <c r="B27" s="237"/>
      <c r="C27" s="246"/>
      <c r="D27" s="412"/>
      <c r="E27" s="412"/>
      <c r="F27" s="239"/>
      <c r="G27" s="444"/>
      <c r="H27" s="239"/>
      <c r="I27" s="239"/>
      <c r="J27" s="246"/>
      <c r="K27" s="248">
        <f t="shared" si="17"/>
        <v>0</v>
      </c>
      <c r="L27" s="256">
        <f t="shared" si="5"/>
        <v>0</v>
      </c>
      <c r="M27" s="76">
        <f t="shared" si="6"/>
        <v>0</v>
      </c>
      <c r="N27" s="445" t="str">
        <f t="shared" si="7"/>
        <v>-</v>
      </c>
      <c r="O27" s="76">
        <f t="shared" si="8"/>
        <v>0</v>
      </c>
      <c r="P27" s="246"/>
      <c r="Q27" s="76">
        <f t="shared" si="14"/>
        <v>0</v>
      </c>
      <c r="R27" s="76">
        <f t="shared" si="15"/>
        <v>0</v>
      </c>
      <c r="S27" s="76">
        <f t="shared" si="16"/>
        <v>0</v>
      </c>
      <c r="T27" s="76">
        <f t="shared" si="12"/>
        <v>0</v>
      </c>
      <c r="U27" s="76">
        <f t="shared" si="12"/>
        <v>0</v>
      </c>
      <c r="V27" s="76">
        <f t="shared" si="12"/>
        <v>0</v>
      </c>
      <c r="W27" s="76">
        <f t="shared" si="12"/>
        <v>0</v>
      </c>
      <c r="X27" s="76">
        <f t="shared" si="12"/>
        <v>0</v>
      </c>
      <c r="Y27" s="76">
        <f t="shared" si="12"/>
        <v>0</v>
      </c>
      <c r="Z27" s="76">
        <f t="shared" si="12"/>
        <v>0</v>
      </c>
      <c r="AA27" s="246"/>
      <c r="AB27" s="241"/>
      <c r="AD27" s="246"/>
      <c r="AE27" s="446">
        <f t="shared" si="18"/>
        <v>0</v>
      </c>
      <c r="AF27" s="447">
        <f t="shared" si="18"/>
        <v>0</v>
      </c>
      <c r="AG27" s="447">
        <f t="shared" si="18"/>
        <v>0</v>
      </c>
      <c r="AH27" s="447">
        <f t="shared" si="18"/>
        <v>0</v>
      </c>
      <c r="AI27" s="447">
        <f t="shared" si="18"/>
        <v>0</v>
      </c>
      <c r="AJ27" s="447">
        <f t="shared" si="18"/>
        <v>0</v>
      </c>
      <c r="AK27" s="447">
        <f t="shared" si="18"/>
        <v>0</v>
      </c>
      <c r="AL27" s="447">
        <f t="shared" si="18"/>
        <v>0</v>
      </c>
      <c r="AM27" s="447">
        <f t="shared" si="18"/>
        <v>0</v>
      </c>
      <c r="AN27" s="447">
        <f t="shared" si="18"/>
        <v>0</v>
      </c>
      <c r="AO27" s="246"/>
    </row>
    <row r="28" spans="2:41" ht="12.75">
      <c r="B28" s="237"/>
      <c r="C28" s="246"/>
      <c r="D28" s="412"/>
      <c r="E28" s="412"/>
      <c r="F28" s="239"/>
      <c r="G28" s="444"/>
      <c r="H28" s="239"/>
      <c r="I28" s="239"/>
      <c r="J28" s="246"/>
      <c r="K28" s="248">
        <f t="shared" si="17"/>
        <v>0</v>
      </c>
      <c r="L28" s="256">
        <f t="shared" si="5"/>
        <v>0</v>
      </c>
      <c r="M28" s="76">
        <f t="shared" si="6"/>
        <v>0</v>
      </c>
      <c r="N28" s="445" t="str">
        <f t="shared" si="7"/>
        <v>-</v>
      </c>
      <c r="O28" s="76">
        <f t="shared" si="8"/>
        <v>0</v>
      </c>
      <c r="P28" s="246"/>
      <c r="Q28" s="76">
        <f t="shared" si="14"/>
        <v>0</v>
      </c>
      <c r="R28" s="76">
        <f t="shared" si="15"/>
        <v>0</v>
      </c>
      <c r="S28" s="76">
        <f t="shared" si="16"/>
        <v>0</v>
      </c>
      <c r="T28" s="76">
        <f t="shared" si="12"/>
        <v>0</v>
      </c>
      <c r="U28" s="76">
        <f t="shared" si="12"/>
        <v>0</v>
      </c>
      <c r="V28" s="76">
        <f t="shared" si="12"/>
        <v>0</v>
      </c>
      <c r="W28" s="76">
        <f t="shared" si="12"/>
        <v>0</v>
      </c>
      <c r="X28" s="76">
        <f t="shared" si="12"/>
        <v>0</v>
      </c>
      <c r="Y28" s="76">
        <f t="shared" si="12"/>
        <v>0</v>
      </c>
      <c r="Z28" s="76">
        <f t="shared" si="12"/>
        <v>0</v>
      </c>
      <c r="AA28" s="246"/>
      <c r="AB28" s="241"/>
      <c r="AD28" s="246"/>
      <c r="AE28" s="446">
        <f t="shared" si="18"/>
        <v>0</v>
      </c>
      <c r="AF28" s="447">
        <f t="shared" si="18"/>
        <v>0</v>
      </c>
      <c r="AG28" s="447">
        <f t="shared" si="18"/>
        <v>0</v>
      </c>
      <c r="AH28" s="447">
        <f t="shared" si="18"/>
        <v>0</v>
      </c>
      <c r="AI28" s="447">
        <f t="shared" si="18"/>
        <v>0</v>
      </c>
      <c r="AJ28" s="447">
        <f t="shared" si="18"/>
        <v>0</v>
      </c>
      <c r="AK28" s="447">
        <f t="shared" si="18"/>
        <v>0</v>
      </c>
      <c r="AL28" s="447">
        <f t="shared" si="18"/>
        <v>0</v>
      </c>
      <c r="AM28" s="447">
        <f t="shared" si="18"/>
        <v>0</v>
      </c>
      <c r="AN28" s="447">
        <f t="shared" si="18"/>
        <v>0</v>
      </c>
      <c r="AO28" s="246"/>
    </row>
    <row r="29" spans="2:41" ht="12.75">
      <c r="B29" s="237"/>
      <c r="C29" s="246"/>
      <c r="D29" s="412"/>
      <c r="E29" s="412"/>
      <c r="F29" s="239"/>
      <c r="G29" s="444"/>
      <c r="H29" s="239"/>
      <c r="I29" s="239"/>
      <c r="J29" s="246"/>
      <c r="K29" s="248">
        <f t="shared" si="17"/>
        <v>0</v>
      </c>
      <c r="L29" s="256">
        <f t="shared" si="5"/>
        <v>0</v>
      </c>
      <c r="M29" s="76">
        <f t="shared" si="6"/>
        <v>0</v>
      </c>
      <c r="N29" s="445" t="str">
        <f t="shared" si="7"/>
        <v>-</v>
      </c>
      <c r="O29" s="76">
        <f t="shared" si="8"/>
        <v>0</v>
      </c>
      <c r="P29" s="246"/>
      <c r="Q29" s="76">
        <f t="shared" si="14"/>
        <v>0</v>
      </c>
      <c r="R29" s="76">
        <f t="shared" si="15"/>
        <v>0</v>
      </c>
      <c r="S29" s="76">
        <f t="shared" si="16"/>
        <v>0</v>
      </c>
      <c r="T29" s="76">
        <f t="shared" si="12"/>
        <v>0</v>
      </c>
      <c r="U29" s="76">
        <f t="shared" si="12"/>
        <v>0</v>
      </c>
      <c r="V29" s="76">
        <f t="shared" si="12"/>
        <v>0</v>
      </c>
      <c r="W29" s="76">
        <f t="shared" si="12"/>
        <v>0</v>
      </c>
      <c r="X29" s="76">
        <f t="shared" si="12"/>
        <v>0</v>
      </c>
      <c r="Y29" s="76">
        <f t="shared" si="12"/>
        <v>0</v>
      </c>
      <c r="Z29" s="76">
        <f t="shared" si="12"/>
        <v>0</v>
      </c>
      <c r="AA29" s="246"/>
      <c r="AB29" s="241"/>
      <c r="AD29" s="246"/>
      <c r="AE29" s="446">
        <f t="shared" si="18"/>
        <v>0</v>
      </c>
      <c r="AF29" s="447">
        <f t="shared" si="18"/>
        <v>0</v>
      </c>
      <c r="AG29" s="447">
        <f t="shared" si="18"/>
        <v>0</v>
      </c>
      <c r="AH29" s="447">
        <f t="shared" si="18"/>
        <v>0</v>
      </c>
      <c r="AI29" s="447">
        <f t="shared" si="18"/>
        <v>0</v>
      </c>
      <c r="AJ29" s="447">
        <f t="shared" si="18"/>
        <v>0</v>
      </c>
      <c r="AK29" s="447">
        <f t="shared" si="18"/>
        <v>0</v>
      </c>
      <c r="AL29" s="447">
        <f t="shared" si="18"/>
        <v>0</v>
      </c>
      <c r="AM29" s="447">
        <f t="shared" si="18"/>
        <v>0</v>
      </c>
      <c r="AN29" s="447">
        <f t="shared" si="18"/>
        <v>0</v>
      </c>
      <c r="AO29" s="246"/>
    </row>
    <row r="30" spans="2:41" ht="12.75">
      <c r="B30" s="237"/>
      <c r="C30" s="246"/>
      <c r="D30" s="412"/>
      <c r="E30" s="412"/>
      <c r="F30" s="239"/>
      <c r="G30" s="444"/>
      <c r="H30" s="239"/>
      <c r="I30" s="239"/>
      <c r="J30" s="246"/>
      <c r="K30" s="248">
        <f t="shared" si="17"/>
        <v>0</v>
      </c>
      <c r="L30" s="256">
        <f t="shared" si="5"/>
        <v>0</v>
      </c>
      <c r="M30" s="76">
        <f t="shared" si="6"/>
        <v>0</v>
      </c>
      <c r="N30" s="445" t="str">
        <f t="shared" si="7"/>
        <v>-</v>
      </c>
      <c r="O30" s="76">
        <f t="shared" si="8"/>
        <v>0</v>
      </c>
      <c r="P30" s="246"/>
      <c r="Q30" s="76">
        <f t="shared" si="14"/>
        <v>0</v>
      </c>
      <c r="R30" s="76">
        <f t="shared" si="15"/>
        <v>0</v>
      </c>
      <c r="S30" s="76">
        <f t="shared" si="16"/>
        <v>0</v>
      </c>
      <c r="T30" s="76">
        <f t="shared" si="12"/>
        <v>0</v>
      </c>
      <c r="U30" s="76">
        <f t="shared" si="12"/>
        <v>0</v>
      </c>
      <c r="V30" s="76">
        <f t="shared" si="12"/>
        <v>0</v>
      </c>
      <c r="W30" s="76">
        <f t="shared" si="12"/>
        <v>0</v>
      </c>
      <c r="X30" s="76">
        <f t="shared" si="12"/>
        <v>0</v>
      </c>
      <c r="Y30" s="76">
        <f t="shared" si="12"/>
        <v>0</v>
      </c>
      <c r="Z30" s="76">
        <f t="shared" si="12"/>
        <v>0</v>
      </c>
      <c r="AA30" s="246"/>
      <c r="AB30" s="241"/>
      <c r="AD30" s="246"/>
      <c r="AE30" s="446">
        <f t="shared" si="18"/>
        <v>0</v>
      </c>
      <c r="AF30" s="447">
        <f t="shared" si="18"/>
        <v>0</v>
      </c>
      <c r="AG30" s="447">
        <f t="shared" si="18"/>
        <v>0</v>
      </c>
      <c r="AH30" s="447">
        <f t="shared" si="18"/>
        <v>0</v>
      </c>
      <c r="AI30" s="447">
        <f t="shared" si="18"/>
        <v>0</v>
      </c>
      <c r="AJ30" s="447">
        <f t="shared" si="18"/>
        <v>0</v>
      </c>
      <c r="AK30" s="447">
        <f t="shared" si="18"/>
        <v>0</v>
      </c>
      <c r="AL30" s="447">
        <f t="shared" si="18"/>
        <v>0</v>
      </c>
      <c r="AM30" s="447">
        <f t="shared" si="18"/>
        <v>0</v>
      </c>
      <c r="AN30" s="447">
        <f t="shared" si="18"/>
        <v>0</v>
      </c>
      <c r="AO30" s="246"/>
    </row>
    <row r="31" spans="2:41" ht="12.75">
      <c r="B31" s="237"/>
      <c r="C31" s="246"/>
      <c r="D31" s="412"/>
      <c r="E31" s="412"/>
      <c r="F31" s="239"/>
      <c r="G31" s="444"/>
      <c r="H31" s="239"/>
      <c r="I31" s="239"/>
      <c r="J31" s="246"/>
      <c r="K31" s="248">
        <f t="shared" si="17"/>
        <v>0</v>
      </c>
      <c r="L31" s="256">
        <f t="shared" si="5"/>
        <v>0</v>
      </c>
      <c r="M31" s="76">
        <f t="shared" si="6"/>
        <v>0</v>
      </c>
      <c r="N31" s="445" t="str">
        <f t="shared" si="7"/>
        <v>-</v>
      </c>
      <c r="O31" s="76">
        <f t="shared" si="8"/>
        <v>0</v>
      </c>
      <c r="P31" s="246"/>
      <c r="Q31" s="76">
        <f t="shared" si="14"/>
        <v>0</v>
      </c>
      <c r="R31" s="76">
        <f t="shared" si="15"/>
        <v>0</v>
      </c>
      <c r="S31" s="76">
        <f t="shared" si="16"/>
        <v>0</v>
      </c>
      <c r="T31" s="76">
        <f t="shared" si="12"/>
        <v>0</v>
      </c>
      <c r="U31" s="76">
        <f t="shared" si="12"/>
        <v>0</v>
      </c>
      <c r="V31" s="76">
        <f t="shared" si="12"/>
        <v>0</v>
      </c>
      <c r="W31" s="76">
        <f t="shared" si="12"/>
        <v>0</v>
      </c>
      <c r="X31" s="76">
        <f t="shared" si="12"/>
        <v>0</v>
      </c>
      <c r="Y31" s="76">
        <f t="shared" si="12"/>
        <v>0</v>
      </c>
      <c r="Z31" s="76">
        <f t="shared" si="12"/>
        <v>0</v>
      </c>
      <c r="AA31" s="246"/>
      <c r="AB31" s="241"/>
      <c r="AD31" s="246"/>
      <c r="AE31" s="446">
        <f t="shared" si="18"/>
        <v>0</v>
      </c>
      <c r="AF31" s="447">
        <f t="shared" si="18"/>
        <v>0</v>
      </c>
      <c r="AG31" s="447">
        <f t="shared" si="18"/>
        <v>0</v>
      </c>
      <c r="AH31" s="447">
        <f t="shared" si="18"/>
        <v>0</v>
      </c>
      <c r="AI31" s="447">
        <f t="shared" si="18"/>
        <v>0</v>
      </c>
      <c r="AJ31" s="447">
        <f t="shared" si="18"/>
        <v>0</v>
      </c>
      <c r="AK31" s="447">
        <f t="shared" si="18"/>
        <v>0</v>
      </c>
      <c r="AL31" s="447">
        <f t="shared" si="18"/>
        <v>0</v>
      </c>
      <c r="AM31" s="447">
        <f t="shared" si="18"/>
        <v>0</v>
      </c>
      <c r="AN31" s="447">
        <f t="shared" si="18"/>
        <v>0</v>
      </c>
      <c r="AO31" s="246"/>
    </row>
    <row r="32" spans="2:41" ht="12.75">
      <c r="B32" s="237"/>
      <c r="C32" s="246"/>
      <c r="D32" s="412"/>
      <c r="E32" s="412"/>
      <c r="F32" s="239"/>
      <c r="G32" s="444"/>
      <c r="H32" s="239"/>
      <c r="I32" s="239"/>
      <c r="J32" s="246"/>
      <c r="K32" s="248">
        <f t="shared" si="17"/>
        <v>0</v>
      </c>
      <c r="L32" s="256">
        <f t="shared" si="5"/>
        <v>0</v>
      </c>
      <c r="M32" s="76">
        <f t="shared" si="6"/>
        <v>0</v>
      </c>
      <c r="N32" s="445" t="str">
        <f t="shared" si="7"/>
        <v>-</v>
      </c>
      <c r="O32" s="76">
        <f t="shared" si="8"/>
        <v>0</v>
      </c>
      <c r="P32" s="246"/>
      <c r="Q32" s="76">
        <f t="shared" si="14"/>
        <v>0</v>
      </c>
      <c r="R32" s="76">
        <f t="shared" si="15"/>
        <v>0</v>
      </c>
      <c r="S32" s="76">
        <f t="shared" si="16"/>
        <v>0</v>
      </c>
      <c r="T32" s="76">
        <f t="shared" si="12"/>
        <v>0</v>
      </c>
      <c r="U32" s="76">
        <f t="shared" si="12"/>
        <v>0</v>
      </c>
      <c r="V32" s="76">
        <f t="shared" si="12"/>
        <v>0</v>
      </c>
      <c r="W32" s="76">
        <f t="shared" si="12"/>
        <v>0</v>
      </c>
      <c r="X32" s="76">
        <f t="shared" si="12"/>
        <v>0</v>
      </c>
      <c r="Y32" s="76">
        <f t="shared" si="12"/>
        <v>0</v>
      </c>
      <c r="Z32" s="76">
        <f t="shared" si="12"/>
        <v>0</v>
      </c>
      <c r="AA32" s="246"/>
      <c r="AB32" s="241"/>
      <c r="AD32" s="246"/>
      <c r="AE32" s="446">
        <f t="shared" si="18"/>
        <v>0</v>
      </c>
      <c r="AF32" s="447">
        <f t="shared" si="18"/>
        <v>0</v>
      </c>
      <c r="AG32" s="447">
        <f t="shared" si="18"/>
        <v>0</v>
      </c>
      <c r="AH32" s="447">
        <f t="shared" si="18"/>
        <v>0</v>
      </c>
      <c r="AI32" s="447">
        <f t="shared" si="18"/>
        <v>0</v>
      </c>
      <c r="AJ32" s="447">
        <f t="shared" si="18"/>
        <v>0</v>
      </c>
      <c r="AK32" s="447">
        <f t="shared" si="18"/>
        <v>0</v>
      </c>
      <c r="AL32" s="447">
        <f t="shared" si="18"/>
        <v>0</v>
      </c>
      <c r="AM32" s="447">
        <f t="shared" si="18"/>
        <v>0</v>
      </c>
      <c r="AN32" s="447">
        <f t="shared" si="18"/>
        <v>0</v>
      </c>
      <c r="AO32" s="246"/>
    </row>
    <row r="33" spans="2:41" ht="12.75">
      <c r="B33" s="237"/>
      <c r="C33" s="246"/>
      <c r="D33" s="412"/>
      <c r="E33" s="412"/>
      <c r="F33" s="239"/>
      <c r="G33" s="444"/>
      <c r="H33" s="239"/>
      <c r="I33" s="239"/>
      <c r="J33" s="246"/>
      <c r="K33" s="248">
        <f t="shared" si="17"/>
        <v>0</v>
      </c>
      <c r="L33" s="256">
        <f t="shared" si="5"/>
        <v>0</v>
      </c>
      <c r="M33" s="76">
        <f t="shared" si="6"/>
        <v>0</v>
      </c>
      <c r="N33" s="445" t="str">
        <f t="shared" si="7"/>
        <v>-</v>
      </c>
      <c r="O33" s="76">
        <f t="shared" si="8"/>
        <v>0</v>
      </c>
      <c r="P33" s="246"/>
      <c r="Q33" s="76">
        <f t="shared" si="14"/>
        <v>0</v>
      </c>
      <c r="R33" s="76">
        <f t="shared" si="15"/>
        <v>0</v>
      </c>
      <c r="S33" s="76">
        <f t="shared" si="16"/>
        <v>0</v>
      </c>
      <c r="T33" s="76">
        <f t="shared" si="12"/>
        <v>0</v>
      </c>
      <c r="U33" s="76">
        <f t="shared" si="12"/>
        <v>0</v>
      </c>
      <c r="V33" s="76">
        <f t="shared" si="12"/>
        <v>0</v>
      </c>
      <c r="W33" s="76">
        <f t="shared" si="12"/>
        <v>0</v>
      </c>
      <c r="X33" s="76">
        <f t="shared" si="12"/>
        <v>0</v>
      </c>
      <c r="Y33" s="76">
        <f t="shared" si="12"/>
        <v>0</v>
      </c>
      <c r="Z33" s="76">
        <f t="shared" si="12"/>
        <v>0</v>
      </c>
      <c r="AA33" s="246"/>
      <c r="AB33" s="241"/>
      <c r="AD33" s="246"/>
      <c r="AE33" s="446">
        <f aca="true" t="shared" si="19" ref="AE33:AN42">IF(AE$10=$H33,($F33*$G33),0)</f>
        <v>0</v>
      </c>
      <c r="AF33" s="447">
        <f t="shared" si="19"/>
        <v>0</v>
      </c>
      <c r="AG33" s="447">
        <f t="shared" si="19"/>
        <v>0</v>
      </c>
      <c r="AH33" s="447">
        <f t="shared" si="19"/>
        <v>0</v>
      </c>
      <c r="AI33" s="447">
        <f t="shared" si="19"/>
        <v>0</v>
      </c>
      <c r="AJ33" s="447">
        <f t="shared" si="19"/>
        <v>0</v>
      </c>
      <c r="AK33" s="447">
        <f t="shared" si="19"/>
        <v>0</v>
      </c>
      <c r="AL33" s="447">
        <f t="shared" si="19"/>
        <v>0</v>
      </c>
      <c r="AM33" s="447">
        <f t="shared" si="19"/>
        <v>0</v>
      </c>
      <c r="AN33" s="447">
        <f t="shared" si="19"/>
        <v>0</v>
      </c>
      <c r="AO33" s="246"/>
    </row>
    <row r="34" spans="2:41" ht="12.75">
      <c r="B34" s="237"/>
      <c r="C34" s="246"/>
      <c r="D34" s="412"/>
      <c r="E34" s="412"/>
      <c r="F34" s="239"/>
      <c r="G34" s="444"/>
      <c r="H34" s="239"/>
      <c r="I34" s="239"/>
      <c r="J34" s="246"/>
      <c r="K34" s="248">
        <f t="shared" si="17"/>
        <v>0</v>
      </c>
      <c r="L34" s="256">
        <f t="shared" si="5"/>
        <v>0</v>
      </c>
      <c r="M34" s="76">
        <f t="shared" si="6"/>
        <v>0</v>
      </c>
      <c r="N34" s="445" t="str">
        <f t="shared" si="7"/>
        <v>-</v>
      </c>
      <c r="O34" s="76">
        <f t="shared" si="8"/>
        <v>0</v>
      </c>
      <c r="P34" s="246"/>
      <c r="Q34" s="76">
        <f t="shared" si="14"/>
        <v>0</v>
      </c>
      <c r="R34" s="76">
        <f t="shared" si="15"/>
        <v>0</v>
      </c>
      <c r="S34" s="76">
        <f t="shared" si="16"/>
        <v>0</v>
      </c>
      <c r="T34" s="76">
        <f t="shared" si="12"/>
        <v>0</v>
      </c>
      <c r="U34" s="76">
        <f t="shared" si="12"/>
        <v>0</v>
      </c>
      <c r="V34" s="76">
        <f t="shared" si="12"/>
        <v>0</v>
      </c>
      <c r="W34" s="76">
        <f t="shared" si="12"/>
        <v>0</v>
      </c>
      <c r="X34" s="76">
        <f t="shared" si="12"/>
        <v>0</v>
      </c>
      <c r="Y34" s="76">
        <f t="shared" si="12"/>
        <v>0</v>
      </c>
      <c r="Z34" s="76">
        <f t="shared" si="12"/>
        <v>0</v>
      </c>
      <c r="AA34" s="246"/>
      <c r="AB34" s="241"/>
      <c r="AD34" s="246"/>
      <c r="AE34" s="446">
        <f t="shared" si="19"/>
        <v>0</v>
      </c>
      <c r="AF34" s="447">
        <f t="shared" si="19"/>
        <v>0</v>
      </c>
      <c r="AG34" s="447">
        <f t="shared" si="19"/>
        <v>0</v>
      </c>
      <c r="AH34" s="447">
        <f t="shared" si="19"/>
        <v>0</v>
      </c>
      <c r="AI34" s="447">
        <f t="shared" si="19"/>
        <v>0</v>
      </c>
      <c r="AJ34" s="447">
        <f t="shared" si="19"/>
        <v>0</v>
      </c>
      <c r="AK34" s="447">
        <f t="shared" si="19"/>
        <v>0</v>
      </c>
      <c r="AL34" s="447">
        <f t="shared" si="19"/>
        <v>0</v>
      </c>
      <c r="AM34" s="447">
        <f t="shared" si="19"/>
        <v>0</v>
      </c>
      <c r="AN34" s="447">
        <f t="shared" si="19"/>
        <v>0</v>
      </c>
      <c r="AO34" s="246"/>
    </row>
    <row r="35" spans="2:41" ht="12.75">
      <c r="B35" s="237"/>
      <c r="C35" s="246"/>
      <c r="D35" s="412"/>
      <c r="E35" s="412"/>
      <c r="F35" s="239"/>
      <c r="G35" s="444"/>
      <c r="H35" s="239"/>
      <c r="I35" s="239"/>
      <c r="J35" s="246"/>
      <c r="K35" s="248">
        <f t="shared" si="17"/>
        <v>0</v>
      </c>
      <c r="L35" s="256">
        <f t="shared" si="5"/>
        <v>0</v>
      </c>
      <c r="M35" s="76">
        <f t="shared" si="6"/>
        <v>0</v>
      </c>
      <c r="N35" s="445" t="str">
        <f t="shared" si="7"/>
        <v>-</v>
      </c>
      <c r="O35" s="76">
        <f t="shared" si="8"/>
        <v>0</v>
      </c>
      <c r="P35" s="246"/>
      <c r="Q35" s="76">
        <f t="shared" si="14"/>
        <v>0</v>
      </c>
      <c r="R35" s="76">
        <f t="shared" si="15"/>
        <v>0</v>
      </c>
      <c r="S35" s="76">
        <f t="shared" si="16"/>
        <v>0</v>
      </c>
      <c r="T35" s="76">
        <f t="shared" si="12"/>
        <v>0</v>
      </c>
      <c r="U35" s="76">
        <f t="shared" si="12"/>
        <v>0</v>
      </c>
      <c r="V35" s="76">
        <f t="shared" si="12"/>
        <v>0</v>
      </c>
      <c r="W35" s="76">
        <f t="shared" si="12"/>
        <v>0</v>
      </c>
      <c r="X35" s="76">
        <f t="shared" si="12"/>
        <v>0</v>
      </c>
      <c r="Y35" s="76">
        <f t="shared" si="12"/>
        <v>0</v>
      </c>
      <c r="Z35" s="76">
        <f t="shared" si="12"/>
        <v>0</v>
      </c>
      <c r="AA35" s="246"/>
      <c r="AB35" s="241"/>
      <c r="AD35" s="246"/>
      <c r="AE35" s="446">
        <f t="shared" si="19"/>
        <v>0</v>
      </c>
      <c r="AF35" s="447">
        <f t="shared" si="19"/>
        <v>0</v>
      </c>
      <c r="AG35" s="447">
        <f t="shared" si="19"/>
        <v>0</v>
      </c>
      <c r="AH35" s="447">
        <f t="shared" si="19"/>
        <v>0</v>
      </c>
      <c r="AI35" s="447">
        <f t="shared" si="19"/>
        <v>0</v>
      </c>
      <c r="AJ35" s="447">
        <f t="shared" si="19"/>
        <v>0</v>
      </c>
      <c r="AK35" s="447">
        <f t="shared" si="19"/>
        <v>0</v>
      </c>
      <c r="AL35" s="447">
        <f t="shared" si="19"/>
        <v>0</v>
      </c>
      <c r="AM35" s="447">
        <f t="shared" si="19"/>
        <v>0</v>
      </c>
      <c r="AN35" s="447">
        <f t="shared" si="19"/>
        <v>0</v>
      </c>
      <c r="AO35" s="246"/>
    </row>
    <row r="36" spans="2:41" ht="12.75">
      <c r="B36" s="237"/>
      <c r="C36" s="246"/>
      <c r="D36" s="412"/>
      <c r="E36" s="412"/>
      <c r="F36" s="239"/>
      <c r="G36" s="444"/>
      <c r="H36" s="239"/>
      <c r="I36" s="239"/>
      <c r="J36" s="246"/>
      <c r="K36" s="248">
        <f t="shared" si="17"/>
        <v>0</v>
      </c>
      <c r="L36" s="256">
        <f t="shared" si="5"/>
        <v>0</v>
      </c>
      <c r="M36" s="76">
        <f t="shared" si="6"/>
        <v>0</v>
      </c>
      <c r="N36" s="445" t="str">
        <f t="shared" si="7"/>
        <v>-</v>
      </c>
      <c r="O36" s="76">
        <f t="shared" si="8"/>
        <v>0</v>
      </c>
      <c r="P36" s="246"/>
      <c r="Q36" s="76">
        <f t="shared" si="14"/>
        <v>0</v>
      </c>
      <c r="R36" s="76">
        <f t="shared" si="15"/>
        <v>0</v>
      </c>
      <c r="S36" s="76">
        <f t="shared" si="16"/>
        <v>0</v>
      </c>
      <c r="T36" s="76">
        <f t="shared" si="12"/>
        <v>0</v>
      </c>
      <c r="U36" s="76">
        <f t="shared" si="12"/>
        <v>0</v>
      </c>
      <c r="V36" s="76">
        <f t="shared" si="12"/>
        <v>0</v>
      </c>
      <c r="W36" s="76">
        <f t="shared" si="12"/>
        <v>0</v>
      </c>
      <c r="X36" s="76">
        <f t="shared" si="12"/>
        <v>0</v>
      </c>
      <c r="Y36" s="76">
        <f t="shared" si="12"/>
        <v>0</v>
      </c>
      <c r="Z36" s="76">
        <f t="shared" si="12"/>
        <v>0</v>
      </c>
      <c r="AA36" s="246"/>
      <c r="AB36" s="241"/>
      <c r="AD36" s="246"/>
      <c r="AE36" s="446">
        <f t="shared" si="19"/>
        <v>0</v>
      </c>
      <c r="AF36" s="447">
        <f t="shared" si="19"/>
        <v>0</v>
      </c>
      <c r="AG36" s="447">
        <f t="shared" si="19"/>
        <v>0</v>
      </c>
      <c r="AH36" s="447">
        <f t="shared" si="19"/>
        <v>0</v>
      </c>
      <c r="AI36" s="447">
        <f t="shared" si="19"/>
        <v>0</v>
      </c>
      <c r="AJ36" s="447">
        <f t="shared" si="19"/>
        <v>0</v>
      </c>
      <c r="AK36" s="447">
        <f t="shared" si="19"/>
        <v>0</v>
      </c>
      <c r="AL36" s="447">
        <f t="shared" si="19"/>
        <v>0</v>
      </c>
      <c r="AM36" s="447">
        <f t="shared" si="19"/>
        <v>0</v>
      </c>
      <c r="AN36" s="447">
        <f t="shared" si="19"/>
        <v>0</v>
      </c>
      <c r="AO36" s="246"/>
    </row>
    <row r="37" spans="2:41" ht="12.75">
      <c r="B37" s="237"/>
      <c r="C37" s="246"/>
      <c r="D37" s="412"/>
      <c r="E37" s="412"/>
      <c r="F37" s="239"/>
      <c r="G37" s="444"/>
      <c r="H37" s="239"/>
      <c r="I37" s="239"/>
      <c r="J37" s="246"/>
      <c r="K37" s="248">
        <f t="shared" si="17"/>
        <v>0</v>
      </c>
      <c r="L37" s="256">
        <f t="shared" si="5"/>
        <v>0</v>
      </c>
      <c r="M37" s="76">
        <f t="shared" si="6"/>
        <v>0</v>
      </c>
      <c r="N37" s="445" t="str">
        <f t="shared" si="7"/>
        <v>-</v>
      </c>
      <c r="O37" s="76">
        <f t="shared" si="8"/>
        <v>0</v>
      </c>
      <c r="P37" s="246"/>
      <c r="Q37" s="76">
        <f t="shared" si="14"/>
        <v>0</v>
      </c>
      <c r="R37" s="76">
        <f t="shared" si="15"/>
        <v>0</v>
      </c>
      <c r="S37" s="76">
        <f t="shared" si="16"/>
        <v>0</v>
      </c>
      <c r="T37" s="76">
        <f t="shared" si="12"/>
        <v>0</v>
      </c>
      <c r="U37" s="76">
        <f t="shared" si="12"/>
        <v>0</v>
      </c>
      <c r="V37" s="76">
        <f t="shared" si="12"/>
        <v>0</v>
      </c>
      <c r="W37" s="76">
        <f t="shared" si="12"/>
        <v>0</v>
      </c>
      <c r="X37" s="76">
        <f t="shared" si="12"/>
        <v>0</v>
      </c>
      <c r="Y37" s="76">
        <f t="shared" si="12"/>
        <v>0</v>
      </c>
      <c r="Z37" s="76">
        <f t="shared" si="12"/>
        <v>0</v>
      </c>
      <c r="AA37" s="246"/>
      <c r="AB37" s="241"/>
      <c r="AD37" s="246"/>
      <c r="AE37" s="446">
        <f t="shared" si="19"/>
        <v>0</v>
      </c>
      <c r="AF37" s="447">
        <f t="shared" si="19"/>
        <v>0</v>
      </c>
      <c r="AG37" s="447">
        <f t="shared" si="19"/>
        <v>0</v>
      </c>
      <c r="AH37" s="447">
        <f t="shared" si="19"/>
        <v>0</v>
      </c>
      <c r="AI37" s="447">
        <f t="shared" si="19"/>
        <v>0</v>
      </c>
      <c r="AJ37" s="447">
        <f t="shared" si="19"/>
        <v>0</v>
      </c>
      <c r="AK37" s="447">
        <f t="shared" si="19"/>
        <v>0</v>
      </c>
      <c r="AL37" s="447">
        <f t="shared" si="19"/>
        <v>0</v>
      </c>
      <c r="AM37" s="447">
        <f t="shared" si="19"/>
        <v>0</v>
      </c>
      <c r="AN37" s="447">
        <f t="shared" si="19"/>
        <v>0</v>
      </c>
      <c r="AO37" s="246"/>
    </row>
    <row r="38" spans="2:41" ht="12.75">
      <c r="B38" s="237"/>
      <c r="C38" s="246"/>
      <c r="D38" s="412"/>
      <c r="E38" s="412"/>
      <c r="F38" s="239"/>
      <c r="G38" s="444"/>
      <c r="H38" s="239"/>
      <c r="I38" s="239"/>
      <c r="J38" s="246"/>
      <c r="K38" s="248">
        <f t="shared" si="17"/>
        <v>0</v>
      </c>
      <c r="L38" s="256">
        <f t="shared" si="5"/>
        <v>0</v>
      </c>
      <c r="M38" s="76">
        <f t="shared" si="6"/>
        <v>0</v>
      </c>
      <c r="N38" s="445" t="str">
        <f t="shared" si="7"/>
        <v>-</v>
      </c>
      <c r="O38" s="76">
        <f t="shared" si="8"/>
        <v>0</v>
      </c>
      <c r="P38" s="246"/>
      <c r="Q38" s="76">
        <f t="shared" si="14"/>
        <v>0</v>
      </c>
      <c r="R38" s="76">
        <f t="shared" si="15"/>
        <v>0</v>
      </c>
      <c r="S38" s="76">
        <f t="shared" si="16"/>
        <v>0</v>
      </c>
      <c r="T38" s="76">
        <f t="shared" si="12"/>
        <v>0</v>
      </c>
      <c r="U38" s="76">
        <f t="shared" si="12"/>
        <v>0</v>
      </c>
      <c r="V38" s="76">
        <f t="shared" si="12"/>
        <v>0</v>
      </c>
      <c r="W38" s="76">
        <f t="shared" si="12"/>
        <v>0</v>
      </c>
      <c r="X38" s="76">
        <f t="shared" si="12"/>
        <v>0</v>
      </c>
      <c r="Y38" s="76">
        <f t="shared" si="12"/>
        <v>0</v>
      </c>
      <c r="Z38" s="76">
        <f t="shared" si="12"/>
        <v>0</v>
      </c>
      <c r="AA38" s="246"/>
      <c r="AB38" s="241"/>
      <c r="AD38" s="246"/>
      <c r="AE38" s="446">
        <f t="shared" si="19"/>
        <v>0</v>
      </c>
      <c r="AF38" s="447">
        <f t="shared" si="19"/>
        <v>0</v>
      </c>
      <c r="AG38" s="447">
        <f t="shared" si="19"/>
        <v>0</v>
      </c>
      <c r="AH38" s="447">
        <f t="shared" si="19"/>
        <v>0</v>
      </c>
      <c r="AI38" s="447">
        <f t="shared" si="19"/>
        <v>0</v>
      </c>
      <c r="AJ38" s="447">
        <f t="shared" si="19"/>
        <v>0</v>
      </c>
      <c r="AK38" s="447">
        <f t="shared" si="19"/>
        <v>0</v>
      </c>
      <c r="AL38" s="447">
        <f t="shared" si="19"/>
        <v>0</v>
      </c>
      <c r="AM38" s="447">
        <f t="shared" si="19"/>
        <v>0</v>
      </c>
      <c r="AN38" s="447">
        <f t="shared" si="19"/>
        <v>0</v>
      </c>
      <c r="AO38" s="246"/>
    </row>
    <row r="39" spans="2:41" ht="12.75">
      <c r="B39" s="237"/>
      <c r="C39" s="246"/>
      <c r="D39" s="412"/>
      <c r="E39" s="412"/>
      <c r="F39" s="239"/>
      <c r="G39" s="444"/>
      <c r="H39" s="239"/>
      <c r="I39" s="239"/>
      <c r="J39" s="246"/>
      <c r="K39" s="248">
        <f t="shared" si="17"/>
        <v>0</v>
      </c>
      <c r="L39" s="256">
        <f t="shared" si="5"/>
        <v>0</v>
      </c>
      <c r="M39" s="76">
        <f t="shared" si="6"/>
        <v>0</v>
      </c>
      <c r="N39" s="445" t="str">
        <f t="shared" si="7"/>
        <v>-</v>
      </c>
      <c r="O39" s="76">
        <f t="shared" si="8"/>
        <v>0</v>
      </c>
      <c r="P39" s="246"/>
      <c r="Q39" s="76">
        <f t="shared" si="14"/>
        <v>0</v>
      </c>
      <c r="R39" s="76">
        <f t="shared" si="15"/>
        <v>0</v>
      </c>
      <c r="S39" s="76">
        <f t="shared" si="16"/>
        <v>0</v>
      </c>
      <c r="T39" s="76">
        <f t="shared" si="12"/>
        <v>0</v>
      </c>
      <c r="U39" s="76">
        <f t="shared" si="12"/>
        <v>0</v>
      </c>
      <c r="V39" s="76">
        <f t="shared" si="12"/>
        <v>0</v>
      </c>
      <c r="W39" s="76">
        <f t="shared" si="12"/>
        <v>0</v>
      </c>
      <c r="X39" s="76">
        <f t="shared" si="12"/>
        <v>0</v>
      </c>
      <c r="Y39" s="76">
        <f t="shared" si="12"/>
        <v>0</v>
      </c>
      <c r="Z39" s="76">
        <f t="shared" si="12"/>
        <v>0</v>
      </c>
      <c r="AA39" s="246"/>
      <c r="AB39" s="241"/>
      <c r="AD39" s="246"/>
      <c r="AE39" s="446">
        <f t="shared" si="19"/>
        <v>0</v>
      </c>
      <c r="AF39" s="447">
        <f t="shared" si="19"/>
        <v>0</v>
      </c>
      <c r="AG39" s="447">
        <f t="shared" si="19"/>
        <v>0</v>
      </c>
      <c r="AH39" s="447">
        <f t="shared" si="19"/>
        <v>0</v>
      </c>
      <c r="AI39" s="447">
        <f t="shared" si="19"/>
        <v>0</v>
      </c>
      <c r="AJ39" s="447">
        <f t="shared" si="19"/>
        <v>0</v>
      </c>
      <c r="AK39" s="447">
        <f t="shared" si="19"/>
        <v>0</v>
      </c>
      <c r="AL39" s="447">
        <f t="shared" si="19"/>
        <v>0</v>
      </c>
      <c r="AM39" s="447">
        <f t="shared" si="19"/>
        <v>0</v>
      </c>
      <c r="AN39" s="447">
        <f t="shared" si="19"/>
        <v>0</v>
      </c>
      <c r="AO39" s="246"/>
    </row>
    <row r="40" spans="2:41" ht="12.75">
      <c r="B40" s="237"/>
      <c r="C40" s="246"/>
      <c r="D40" s="412"/>
      <c r="E40" s="412"/>
      <c r="F40" s="239"/>
      <c r="G40" s="444"/>
      <c r="H40" s="239"/>
      <c r="I40" s="239"/>
      <c r="J40" s="246"/>
      <c r="K40" s="248">
        <f t="shared" si="17"/>
        <v>0</v>
      </c>
      <c r="L40" s="256">
        <f t="shared" si="5"/>
        <v>0</v>
      </c>
      <c r="M40" s="76">
        <f t="shared" si="6"/>
        <v>0</v>
      </c>
      <c r="N40" s="445" t="str">
        <f t="shared" si="7"/>
        <v>-</v>
      </c>
      <c r="O40" s="76">
        <f t="shared" si="8"/>
        <v>0</v>
      </c>
      <c r="P40" s="246"/>
      <c r="Q40" s="76">
        <f t="shared" si="14"/>
        <v>0</v>
      </c>
      <c r="R40" s="76">
        <f t="shared" si="15"/>
        <v>0</v>
      </c>
      <c r="S40" s="76">
        <f t="shared" si="16"/>
        <v>0</v>
      </c>
      <c r="T40" s="76">
        <f t="shared" si="12"/>
        <v>0</v>
      </c>
      <c r="U40" s="76">
        <f t="shared" si="12"/>
        <v>0</v>
      </c>
      <c r="V40" s="76">
        <f t="shared" si="12"/>
        <v>0</v>
      </c>
      <c r="W40" s="76">
        <f t="shared" si="12"/>
        <v>0</v>
      </c>
      <c r="X40" s="76">
        <f t="shared" si="12"/>
        <v>0</v>
      </c>
      <c r="Y40" s="76">
        <f t="shared" si="12"/>
        <v>0</v>
      </c>
      <c r="Z40" s="76">
        <f t="shared" si="12"/>
        <v>0</v>
      </c>
      <c r="AA40" s="246"/>
      <c r="AB40" s="241"/>
      <c r="AD40" s="246"/>
      <c r="AE40" s="446">
        <f t="shared" si="19"/>
        <v>0</v>
      </c>
      <c r="AF40" s="447">
        <f t="shared" si="19"/>
        <v>0</v>
      </c>
      <c r="AG40" s="447">
        <f t="shared" si="19"/>
        <v>0</v>
      </c>
      <c r="AH40" s="447">
        <f t="shared" si="19"/>
        <v>0</v>
      </c>
      <c r="AI40" s="447">
        <f t="shared" si="19"/>
        <v>0</v>
      </c>
      <c r="AJ40" s="447">
        <f t="shared" si="19"/>
        <v>0</v>
      </c>
      <c r="AK40" s="447">
        <f t="shared" si="19"/>
        <v>0</v>
      </c>
      <c r="AL40" s="447">
        <f t="shared" si="19"/>
        <v>0</v>
      </c>
      <c r="AM40" s="447">
        <f t="shared" si="19"/>
        <v>0</v>
      </c>
      <c r="AN40" s="447">
        <f t="shared" si="19"/>
        <v>0</v>
      </c>
      <c r="AO40" s="246"/>
    </row>
    <row r="41" spans="2:41" ht="12.75">
      <c r="B41" s="237"/>
      <c r="C41" s="246"/>
      <c r="D41" s="412"/>
      <c r="E41" s="412"/>
      <c r="F41" s="239"/>
      <c r="G41" s="444"/>
      <c r="H41" s="239"/>
      <c r="I41" s="239"/>
      <c r="J41" s="246"/>
      <c r="K41" s="248">
        <f t="shared" si="17"/>
        <v>0</v>
      </c>
      <c r="L41" s="256">
        <f t="shared" si="5"/>
        <v>0</v>
      </c>
      <c r="M41" s="76">
        <f t="shared" si="6"/>
        <v>0</v>
      </c>
      <c r="N41" s="445" t="str">
        <f t="shared" si="7"/>
        <v>-</v>
      </c>
      <c r="O41" s="76">
        <f t="shared" si="8"/>
        <v>0</v>
      </c>
      <c r="P41" s="246"/>
      <c r="Q41" s="76">
        <f t="shared" si="14"/>
        <v>0</v>
      </c>
      <c r="R41" s="76">
        <f t="shared" si="15"/>
        <v>0</v>
      </c>
      <c r="S41" s="76">
        <f t="shared" si="16"/>
        <v>0</v>
      </c>
      <c r="T41" s="76">
        <f t="shared" si="12"/>
        <v>0</v>
      </c>
      <c r="U41" s="76">
        <f t="shared" si="12"/>
        <v>0</v>
      </c>
      <c r="V41" s="76">
        <f t="shared" si="12"/>
        <v>0</v>
      </c>
      <c r="W41" s="76">
        <f t="shared" si="12"/>
        <v>0</v>
      </c>
      <c r="X41" s="76">
        <f t="shared" si="12"/>
        <v>0</v>
      </c>
      <c r="Y41" s="76">
        <f t="shared" si="12"/>
        <v>0</v>
      </c>
      <c r="Z41" s="76">
        <f t="shared" si="12"/>
        <v>0</v>
      </c>
      <c r="AA41" s="246"/>
      <c r="AB41" s="241"/>
      <c r="AD41" s="246"/>
      <c r="AE41" s="446">
        <f t="shared" si="19"/>
        <v>0</v>
      </c>
      <c r="AF41" s="447">
        <f t="shared" si="19"/>
        <v>0</v>
      </c>
      <c r="AG41" s="447">
        <f t="shared" si="19"/>
        <v>0</v>
      </c>
      <c r="AH41" s="447">
        <f t="shared" si="19"/>
        <v>0</v>
      </c>
      <c r="AI41" s="447">
        <f t="shared" si="19"/>
        <v>0</v>
      </c>
      <c r="AJ41" s="447">
        <f t="shared" si="19"/>
        <v>0</v>
      </c>
      <c r="AK41" s="447">
        <f t="shared" si="19"/>
        <v>0</v>
      </c>
      <c r="AL41" s="447">
        <f t="shared" si="19"/>
        <v>0</v>
      </c>
      <c r="AM41" s="447">
        <f t="shared" si="19"/>
        <v>0</v>
      </c>
      <c r="AN41" s="447">
        <f t="shared" si="19"/>
        <v>0</v>
      </c>
      <c r="AO41" s="246"/>
    </row>
    <row r="42" spans="2:41" ht="12.75">
      <c r="B42" s="237"/>
      <c r="C42" s="246"/>
      <c r="D42" s="412"/>
      <c r="E42" s="412"/>
      <c r="F42" s="239"/>
      <c r="G42" s="444"/>
      <c r="H42" s="239"/>
      <c r="I42" s="239"/>
      <c r="J42" s="246"/>
      <c r="K42" s="248">
        <f t="shared" si="17"/>
        <v>0</v>
      </c>
      <c r="L42" s="256">
        <f t="shared" si="5"/>
        <v>0</v>
      </c>
      <c r="M42" s="76">
        <f t="shared" si="6"/>
        <v>0</v>
      </c>
      <c r="N42" s="445" t="str">
        <f t="shared" si="7"/>
        <v>-</v>
      </c>
      <c r="O42" s="76">
        <f t="shared" si="8"/>
        <v>0</v>
      </c>
      <c r="P42" s="246"/>
      <c r="Q42" s="76">
        <f t="shared" si="14"/>
        <v>0</v>
      </c>
      <c r="R42" s="76">
        <f t="shared" si="15"/>
        <v>0</v>
      </c>
      <c r="S42" s="76">
        <f t="shared" si="16"/>
        <v>0</v>
      </c>
      <c r="T42" s="76">
        <f t="shared" si="12"/>
        <v>0</v>
      </c>
      <c r="U42" s="76">
        <f t="shared" si="12"/>
        <v>0</v>
      </c>
      <c r="V42" s="76">
        <f t="shared" si="12"/>
        <v>0</v>
      </c>
      <c r="W42" s="76">
        <f t="shared" si="12"/>
        <v>0</v>
      </c>
      <c r="X42" s="76">
        <f t="shared" si="12"/>
        <v>0</v>
      </c>
      <c r="Y42" s="76">
        <f t="shared" si="12"/>
        <v>0</v>
      </c>
      <c r="Z42" s="76">
        <f t="shared" si="12"/>
        <v>0</v>
      </c>
      <c r="AA42" s="246"/>
      <c r="AB42" s="241"/>
      <c r="AD42" s="246"/>
      <c r="AE42" s="446">
        <f t="shared" si="19"/>
        <v>0</v>
      </c>
      <c r="AF42" s="447">
        <f t="shared" si="19"/>
        <v>0</v>
      </c>
      <c r="AG42" s="447">
        <f t="shared" si="19"/>
        <v>0</v>
      </c>
      <c r="AH42" s="447">
        <f t="shared" si="19"/>
        <v>0</v>
      </c>
      <c r="AI42" s="447">
        <f t="shared" si="19"/>
        <v>0</v>
      </c>
      <c r="AJ42" s="447">
        <f t="shared" si="19"/>
        <v>0</v>
      </c>
      <c r="AK42" s="447">
        <f t="shared" si="19"/>
        <v>0</v>
      </c>
      <c r="AL42" s="447">
        <f t="shared" si="19"/>
        <v>0</v>
      </c>
      <c r="AM42" s="447">
        <f t="shared" si="19"/>
        <v>0</v>
      </c>
      <c r="AN42" s="447">
        <f t="shared" si="19"/>
        <v>0</v>
      </c>
      <c r="AO42" s="246"/>
    </row>
    <row r="43" spans="2:41" ht="12.75">
      <c r="B43" s="237"/>
      <c r="C43" s="246"/>
      <c r="D43" s="412"/>
      <c r="E43" s="412"/>
      <c r="F43" s="239"/>
      <c r="G43" s="444"/>
      <c r="H43" s="239"/>
      <c r="I43" s="239"/>
      <c r="J43" s="246"/>
      <c r="K43" s="248">
        <f t="shared" si="17"/>
        <v>0</v>
      </c>
      <c r="L43" s="256">
        <f t="shared" si="5"/>
        <v>0</v>
      </c>
      <c r="M43" s="76">
        <f t="shared" si="6"/>
        <v>0</v>
      </c>
      <c r="N43" s="445" t="str">
        <f t="shared" si="7"/>
        <v>-</v>
      </c>
      <c r="O43" s="76">
        <f t="shared" si="8"/>
        <v>0</v>
      </c>
      <c r="P43" s="246"/>
      <c r="Q43" s="76">
        <f t="shared" si="14"/>
        <v>0</v>
      </c>
      <c r="R43" s="76">
        <f t="shared" si="15"/>
        <v>0</v>
      </c>
      <c r="S43" s="76">
        <f t="shared" si="16"/>
        <v>0</v>
      </c>
      <c r="T43" s="76">
        <f t="shared" si="12"/>
        <v>0</v>
      </c>
      <c r="U43" s="76">
        <f t="shared" si="12"/>
        <v>0</v>
      </c>
      <c r="V43" s="76">
        <f t="shared" si="12"/>
        <v>0</v>
      </c>
      <c r="W43" s="76">
        <f t="shared" si="12"/>
        <v>0</v>
      </c>
      <c r="X43" s="76">
        <f t="shared" si="12"/>
        <v>0</v>
      </c>
      <c r="Y43" s="76">
        <f t="shared" si="12"/>
        <v>0</v>
      </c>
      <c r="Z43" s="76">
        <f t="shared" si="12"/>
        <v>0</v>
      </c>
      <c r="AA43" s="246"/>
      <c r="AB43" s="241"/>
      <c r="AD43" s="246"/>
      <c r="AE43" s="446">
        <f aca="true" t="shared" si="20" ref="AE43:AN75">IF(AE$10=$H43,($F43*$G43),0)</f>
        <v>0</v>
      </c>
      <c r="AF43" s="447">
        <f t="shared" si="20"/>
        <v>0</v>
      </c>
      <c r="AG43" s="447">
        <f t="shared" si="20"/>
        <v>0</v>
      </c>
      <c r="AH43" s="447">
        <f t="shared" si="20"/>
        <v>0</v>
      </c>
      <c r="AI43" s="447">
        <f t="shared" si="20"/>
        <v>0</v>
      </c>
      <c r="AJ43" s="447">
        <f t="shared" si="20"/>
        <v>0</v>
      </c>
      <c r="AK43" s="447">
        <f t="shared" si="20"/>
        <v>0</v>
      </c>
      <c r="AL43" s="447">
        <f t="shared" si="20"/>
        <v>0</v>
      </c>
      <c r="AM43" s="447">
        <f t="shared" si="20"/>
        <v>0</v>
      </c>
      <c r="AN43" s="447">
        <f t="shared" si="20"/>
        <v>0</v>
      </c>
      <c r="AO43" s="246"/>
    </row>
    <row r="44" spans="2:41" ht="12.75">
      <c r="B44" s="237"/>
      <c r="C44" s="246"/>
      <c r="D44" s="412"/>
      <c r="E44" s="412"/>
      <c r="F44" s="239"/>
      <c r="G44" s="444"/>
      <c r="H44" s="239"/>
      <c r="I44" s="239"/>
      <c r="J44" s="246"/>
      <c r="K44" s="248">
        <f t="shared" si="17"/>
        <v>0</v>
      </c>
      <c r="L44" s="256">
        <f t="shared" si="5"/>
        <v>0</v>
      </c>
      <c r="M44" s="76">
        <f t="shared" si="6"/>
        <v>0</v>
      </c>
      <c r="N44" s="445" t="str">
        <f t="shared" si="7"/>
        <v>-</v>
      </c>
      <c r="O44" s="76">
        <f t="shared" si="8"/>
        <v>0</v>
      </c>
      <c r="P44" s="246"/>
      <c r="Q44" s="76">
        <f t="shared" si="14"/>
        <v>0</v>
      </c>
      <c r="R44" s="76">
        <f t="shared" si="15"/>
        <v>0</v>
      </c>
      <c r="S44" s="76">
        <f t="shared" si="16"/>
        <v>0</v>
      </c>
      <c r="T44" s="76">
        <f t="shared" si="12"/>
        <v>0</v>
      </c>
      <c r="U44" s="76">
        <f t="shared" si="12"/>
        <v>0</v>
      </c>
      <c r="V44" s="76">
        <f t="shared" si="12"/>
        <v>0</v>
      </c>
      <c r="W44" s="76">
        <f t="shared" si="12"/>
        <v>0</v>
      </c>
      <c r="X44" s="76">
        <f t="shared" si="12"/>
        <v>0</v>
      </c>
      <c r="Y44" s="76">
        <f t="shared" si="12"/>
        <v>0</v>
      </c>
      <c r="Z44" s="76">
        <f t="shared" si="12"/>
        <v>0</v>
      </c>
      <c r="AA44" s="246"/>
      <c r="AB44" s="241"/>
      <c r="AD44" s="246"/>
      <c r="AE44" s="446">
        <f t="shared" si="20"/>
        <v>0</v>
      </c>
      <c r="AF44" s="447">
        <f t="shared" si="20"/>
        <v>0</v>
      </c>
      <c r="AG44" s="447">
        <f t="shared" si="20"/>
        <v>0</v>
      </c>
      <c r="AH44" s="447">
        <f t="shared" si="20"/>
        <v>0</v>
      </c>
      <c r="AI44" s="447">
        <f t="shared" si="20"/>
        <v>0</v>
      </c>
      <c r="AJ44" s="447">
        <f t="shared" si="20"/>
        <v>0</v>
      </c>
      <c r="AK44" s="447">
        <f t="shared" si="20"/>
        <v>0</v>
      </c>
      <c r="AL44" s="447">
        <f t="shared" si="20"/>
        <v>0</v>
      </c>
      <c r="AM44" s="447">
        <f t="shared" si="20"/>
        <v>0</v>
      </c>
      <c r="AN44" s="447">
        <f t="shared" si="20"/>
        <v>0</v>
      </c>
      <c r="AO44" s="246"/>
    </row>
    <row r="45" spans="2:41" ht="12.75">
      <c r="B45" s="237"/>
      <c r="C45" s="246"/>
      <c r="D45" s="412"/>
      <c r="E45" s="412"/>
      <c r="F45" s="239"/>
      <c r="G45" s="444"/>
      <c r="H45" s="239"/>
      <c r="I45" s="239"/>
      <c r="J45" s="246"/>
      <c r="K45" s="248">
        <f t="shared" si="17"/>
        <v>0</v>
      </c>
      <c r="L45" s="256">
        <f t="shared" si="5"/>
        <v>0</v>
      </c>
      <c r="M45" s="76">
        <f t="shared" si="6"/>
        <v>0</v>
      </c>
      <c r="N45" s="445" t="str">
        <f t="shared" si="7"/>
        <v>-</v>
      </c>
      <c r="O45" s="76">
        <f t="shared" si="8"/>
        <v>0</v>
      </c>
      <c r="P45" s="246"/>
      <c r="Q45" s="76">
        <f t="shared" si="14"/>
        <v>0</v>
      </c>
      <c r="R45" s="76">
        <f t="shared" si="15"/>
        <v>0</v>
      </c>
      <c r="S45" s="76">
        <f t="shared" si="16"/>
        <v>0</v>
      </c>
      <c r="T45" s="76">
        <f t="shared" si="12"/>
        <v>0</v>
      </c>
      <c r="U45" s="76">
        <f t="shared" si="12"/>
        <v>0</v>
      </c>
      <c r="V45" s="76">
        <f t="shared" si="12"/>
        <v>0</v>
      </c>
      <c r="W45" s="76">
        <f t="shared" si="12"/>
        <v>0</v>
      </c>
      <c r="X45" s="76">
        <f t="shared" si="12"/>
        <v>0</v>
      </c>
      <c r="Y45" s="76">
        <f t="shared" si="12"/>
        <v>0</v>
      </c>
      <c r="Z45" s="76">
        <f t="shared" si="12"/>
        <v>0</v>
      </c>
      <c r="AA45" s="246"/>
      <c r="AB45" s="241"/>
      <c r="AD45" s="246"/>
      <c r="AE45" s="446">
        <f t="shared" si="20"/>
        <v>0</v>
      </c>
      <c r="AF45" s="447">
        <f t="shared" si="20"/>
        <v>0</v>
      </c>
      <c r="AG45" s="447">
        <f t="shared" si="20"/>
        <v>0</v>
      </c>
      <c r="AH45" s="447">
        <f t="shared" si="20"/>
        <v>0</v>
      </c>
      <c r="AI45" s="447">
        <f t="shared" si="20"/>
        <v>0</v>
      </c>
      <c r="AJ45" s="447">
        <f t="shared" si="20"/>
        <v>0</v>
      </c>
      <c r="AK45" s="447">
        <f t="shared" si="20"/>
        <v>0</v>
      </c>
      <c r="AL45" s="447">
        <f t="shared" si="20"/>
        <v>0</v>
      </c>
      <c r="AM45" s="447">
        <f t="shared" si="20"/>
        <v>0</v>
      </c>
      <c r="AN45" s="447">
        <f t="shared" si="20"/>
        <v>0</v>
      </c>
      <c r="AO45" s="246"/>
    </row>
    <row r="46" spans="2:41" ht="12.75">
      <c r="B46" s="237"/>
      <c r="C46" s="246"/>
      <c r="D46" s="412"/>
      <c r="E46" s="412"/>
      <c r="F46" s="239"/>
      <c r="G46" s="444"/>
      <c r="H46" s="239"/>
      <c r="I46" s="239"/>
      <c r="J46" s="246"/>
      <c r="K46" s="248">
        <f t="shared" si="17"/>
        <v>0</v>
      </c>
      <c r="L46" s="256">
        <f t="shared" si="5"/>
        <v>0</v>
      </c>
      <c r="M46" s="76">
        <f t="shared" si="6"/>
        <v>0</v>
      </c>
      <c r="N46" s="445" t="str">
        <f t="shared" si="7"/>
        <v>-</v>
      </c>
      <c r="O46" s="76">
        <f t="shared" si="8"/>
        <v>0</v>
      </c>
      <c r="P46" s="246"/>
      <c r="Q46" s="76">
        <f t="shared" si="14"/>
        <v>0</v>
      </c>
      <c r="R46" s="76">
        <f t="shared" si="15"/>
        <v>0</v>
      </c>
      <c r="S46" s="76">
        <f t="shared" si="16"/>
        <v>0</v>
      </c>
      <c r="T46" s="76">
        <f t="shared" si="12"/>
        <v>0</v>
      </c>
      <c r="U46" s="76">
        <f t="shared" si="12"/>
        <v>0</v>
      </c>
      <c r="V46" s="76">
        <f t="shared" si="12"/>
        <v>0</v>
      </c>
      <c r="W46" s="76">
        <f t="shared" si="12"/>
        <v>0</v>
      </c>
      <c r="X46" s="76">
        <f t="shared" si="12"/>
        <v>0</v>
      </c>
      <c r="Y46" s="76">
        <f t="shared" si="12"/>
        <v>0</v>
      </c>
      <c r="Z46" s="76">
        <f t="shared" si="12"/>
        <v>0</v>
      </c>
      <c r="AA46" s="246"/>
      <c r="AB46" s="241"/>
      <c r="AD46" s="246"/>
      <c r="AE46" s="446">
        <f t="shared" si="20"/>
        <v>0</v>
      </c>
      <c r="AF46" s="447">
        <f t="shared" si="20"/>
        <v>0</v>
      </c>
      <c r="AG46" s="447">
        <f t="shared" si="20"/>
        <v>0</v>
      </c>
      <c r="AH46" s="447">
        <f t="shared" si="20"/>
        <v>0</v>
      </c>
      <c r="AI46" s="447">
        <f t="shared" si="20"/>
        <v>0</v>
      </c>
      <c r="AJ46" s="447">
        <f t="shared" si="20"/>
        <v>0</v>
      </c>
      <c r="AK46" s="447">
        <f t="shared" si="20"/>
        <v>0</v>
      </c>
      <c r="AL46" s="447">
        <f t="shared" si="20"/>
        <v>0</v>
      </c>
      <c r="AM46" s="447">
        <f t="shared" si="20"/>
        <v>0</v>
      </c>
      <c r="AN46" s="447">
        <f t="shared" si="20"/>
        <v>0</v>
      </c>
      <c r="AO46" s="246"/>
    </row>
    <row r="47" spans="2:41" ht="12.75">
      <c r="B47" s="237"/>
      <c r="C47" s="246"/>
      <c r="D47" s="412"/>
      <c r="E47" s="412"/>
      <c r="F47" s="239"/>
      <c r="G47" s="444"/>
      <c r="H47" s="239"/>
      <c r="I47" s="239"/>
      <c r="J47" s="246"/>
      <c r="K47" s="248">
        <f t="shared" si="17"/>
        <v>0</v>
      </c>
      <c r="L47" s="256">
        <f t="shared" si="5"/>
        <v>0</v>
      </c>
      <c r="M47" s="76">
        <f t="shared" si="6"/>
        <v>0</v>
      </c>
      <c r="N47" s="445" t="str">
        <f t="shared" si="7"/>
        <v>-</v>
      </c>
      <c r="O47" s="76">
        <f t="shared" si="8"/>
        <v>0</v>
      </c>
      <c r="P47" s="246"/>
      <c r="Q47" s="76">
        <f t="shared" si="14"/>
        <v>0</v>
      </c>
      <c r="R47" s="76">
        <f t="shared" si="15"/>
        <v>0</v>
      </c>
      <c r="S47" s="76">
        <f t="shared" si="16"/>
        <v>0</v>
      </c>
      <c r="T47" s="76">
        <f t="shared" si="12"/>
        <v>0</v>
      </c>
      <c r="U47" s="76">
        <f t="shared" si="12"/>
        <v>0</v>
      </c>
      <c r="V47" s="76">
        <f t="shared" si="12"/>
        <v>0</v>
      </c>
      <c r="W47" s="76">
        <f t="shared" si="12"/>
        <v>0</v>
      </c>
      <c r="X47" s="76">
        <f t="shared" si="12"/>
        <v>0</v>
      </c>
      <c r="Y47" s="76">
        <f t="shared" si="12"/>
        <v>0</v>
      </c>
      <c r="Z47" s="76">
        <f t="shared" si="12"/>
        <v>0</v>
      </c>
      <c r="AA47" s="246"/>
      <c r="AB47" s="241"/>
      <c r="AD47" s="246"/>
      <c r="AE47" s="446">
        <f t="shared" si="20"/>
        <v>0</v>
      </c>
      <c r="AF47" s="447">
        <f t="shared" si="20"/>
        <v>0</v>
      </c>
      <c r="AG47" s="447">
        <f t="shared" si="20"/>
        <v>0</v>
      </c>
      <c r="AH47" s="447">
        <f t="shared" si="20"/>
        <v>0</v>
      </c>
      <c r="AI47" s="447">
        <f t="shared" si="20"/>
        <v>0</v>
      </c>
      <c r="AJ47" s="447">
        <f t="shared" si="20"/>
        <v>0</v>
      </c>
      <c r="AK47" s="447">
        <f t="shared" si="20"/>
        <v>0</v>
      </c>
      <c r="AL47" s="447">
        <f t="shared" si="20"/>
        <v>0</v>
      </c>
      <c r="AM47" s="447">
        <f t="shared" si="20"/>
        <v>0</v>
      </c>
      <c r="AN47" s="447">
        <f t="shared" si="20"/>
        <v>0</v>
      </c>
      <c r="AO47" s="246"/>
    </row>
    <row r="48" spans="2:41" ht="12.75">
      <c r="B48" s="237"/>
      <c r="C48" s="246"/>
      <c r="D48" s="412"/>
      <c r="E48" s="412"/>
      <c r="F48" s="239"/>
      <c r="G48" s="444"/>
      <c r="H48" s="239"/>
      <c r="I48" s="239"/>
      <c r="J48" s="246"/>
      <c r="K48" s="248">
        <f t="shared" si="17"/>
        <v>0</v>
      </c>
      <c r="L48" s="256">
        <f t="shared" si="5"/>
        <v>0</v>
      </c>
      <c r="M48" s="76">
        <f t="shared" si="6"/>
        <v>0</v>
      </c>
      <c r="N48" s="445" t="str">
        <f t="shared" si="7"/>
        <v>-</v>
      </c>
      <c r="O48" s="76">
        <f t="shared" si="8"/>
        <v>0</v>
      </c>
      <c r="P48" s="246"/>
      <c r="Q48" s="76">
        <f t="shared" si="14"/>
        <v>0</v>
      </c>
      <c r="R48" s="76">
        <f t="shared" si="15"/>
        <v>0</v>
      </c>
      <c r="S48" s="76">
        <f t="shared" si="16"/>
        <v>0</v>
      </c>
      <c r="T48" s="76">
        <f t="shared" si="12"/>
        <v>0</v>
      </c>
      <c r="U48" s="76">
        <f t="shared" si="12"/>
        <v>0</v>
      </c>
      <c r="V48" s="76">
        <f t="shared" si="12"/>
        <v>0</v>
      </c>
      <c r="W48" s="76">
        <f t="shared" si="12"/>
        <v>0</v>
      </c>
      <c r="X48" s="76">
        <f t="shared" si="12"/>
        <v>0</v>
      </c>
      <c r="Y48" s="76">
        <f t="shared" si="12"/>
        <v>0</v>
      </c>
      <c r="Z48" s="76">
        <f aca="true" t="shared" si="21" ref="V48:Z50">(IF(Z$10&lt;$H48,0,IF($N48&lt;=Z$10-1,0,$M48)))</f>
        <v>0</v>
      </c>
      <c r="AA48" s="246"/>
      <c r="AB48" s="241"/>
      <c r="AD48" s="246"/>
      <c r="AE48" s="446">
        <f t="shared" si="20"/>
        <v>0</v>
      </c>
      <c r="AF48" s="447">
        <f t="shared" si="20"/>
        <v>0</v>
      </c>
      <c r="AG48" s="447">
        <f t="shared" si="20"/>
        <v>0</v>
      </c>
      <c r="AH48" s="447">
        <f t="shared" si="20"/>
        <v>0</v>
      </c>
      <c r="AI48" s="447">
        <f t="shared" si="20"/>
        <v>0</v>
      </c>
      <c r="AJ48" s="447">
        <f t="shared" si="20"/>
        <v>0</v>
      </c>
      <c r="AK48" s="447">
        <f t="shared" si="20"/>
        <v>0</v>
      </c>
      <c r="AL48" s="447">
        <f t="shared" si="20"/>
        <v>0</v>
      </c>
      <c r="AM48" s="447">
        <f t="shared" si="20"/>
        <v>0</v>
      </c>
      <c r="AN48" s="447">
        <f t="shared" si="20"/>
        <v>0</v>
      </c>
      <c r="AO48" s="246"/>
    </row>
    <row r="49" spans="2:41" ht="12.75">
      <c r="B49" s="237"/>
      <c r="C49" s="246"/>
      <c r="D49" s="412"/>
      <c r="E49" s="412"/>
      <c r="F49" s="239"/>
      <c r="G49" s="444"/>
      <c r="H49" s="239"/>
      <c r="I49" s="239"/>
      <c r="J49" s="246"/>
      <c r="K49" s="248">
        <f t="shared" si="17"/>
        <v>0</v>
      </c>
      <c r="L49" s="256">
        <f t="shared" si="5"/>
        <v>0</v>
      </c>
      <c r="M49" s="76">
        <f t="shared" si="6"/>
        <v>0</v>
      </c>
      <c r="N49" s="445" t="str">
        <f t="shared" si="7"/>
        <v>-</v>
      </c>
      <c r="O49" s="76">
        <f t="shared" si="8"/>
        <v>0</v>
      </c>
      <c r="P49" s="246"/>
      <c r="Q49" s="76">
        <f t="shared" si="14"/>
        <v>0</v>
      </c>
      <c r="R49" s="76">
        <f t="shared" si="15"/>
        <v>0</v>
      </c>
      <c r="S49" s="76">
        <f t="shared" si="16"/>
        <v>0</v>
      </c>
      <c r="T49" s="76">
        <f t="shared" si="12"/>
        <v>0</v>
      </c>
      <c r="U49" s="76">
        <f t="shared" si="12"/>
        <v>0</v>
      </c>
      <c r="V49" s="76">
        <f t="shared" si="21"/>
        <v>0</v>
      </c>
      <c r="W49" s="76">
        <f t="shared" si="21"/>
        <v>0</v>
      </c>
      <c r="X49" s="76">
        <f t="shared" si="21"/>
        <v>0</v>
      </c>
      <c r="Y49" s="76">
        <f t="shared" si="21"/>
        <v>0</v>
      </c>
      <c r="Z49" s="76">
        <f t="shared" si="21"/>
        <v>0</v>
      </c>
      <c r="AA49" s="246"/>
      <c r="AB49" s="241"/>
      <c r="AD49" s="246"/>
      <c r="AE49" s="446">
        <f t="shared" si="20"/>
        <v>0</v>
      </c>
      <c r="AF49" s="447">
        <f t="shared" si="20"/>
        <v>0</v>
      </c>
      <c r="AG49" s="447">
        <f t="shared" si="20"/>
        <v>0</v>
      </c>
      <c r="AH49" s="447">
        <f t="shared" si="20"/>
        <v>0</v>
      </c>
      <c r="AI49" s="447">
        <f t="shared" si="20"/>
        <v>0</v>
      </c>
      <c r="AJ49" s="447">
        <f t="shared" si="20"/>
        <v>0</v>
      </c>
      <c r="AK49" s="447">
        <f t="shared" si="20"/>
        <v>0</v>
      </c>
      <c r="AL49" s="447">
        <f t="shared" si="20"/>
        <v>0</v>
      </c>
      <c r="AM49" s="447">
        <f t="shared" si="20"/>
        <v>0</v>
      </c>
      <c r="AN49" s="447">
        <f t="shared" si="20"/>
        <v>0</v>
      </c>
      <c r="AO49" s="246"/>
    </row>
    <row r="50" spans="2:41" ht="12.75">
      <c r="B50" s="237"/>
      <c r="C50" s="246"/>
      <c r="D50" s="412"/>
      <c r="E50" s="412"/>
      <c r="F50" s="239"/>
      <c r="G50" s="444"/>
      <c r="H50" s="239"/>
      <c r="I50" s="239"/>
      <c r="J50" s="246"/>
      <c r="K50" s="248">
        <f t="shared" si="17"/>
        <v>0</v>
      </c>
      <c r="L50" s="256">
        <f t="shared" si="5"/>
        <v>0</v>
      </c>
      <c r="M50" s="76">
        <f t="shared" si="6"/>
        <v>0</v>
      </c>
      <c r="N50" s="445" t="str">
        <f t="shared" si="7"/>
        <v>-</v>
      </c>
      <c r="O50" s="76">
        <f t="shared" si="8"/>
        <v>0</v>
      </c>
      <c r="P50" s="246"/>
      <c r="Q50" s="76">
        <f t="shared" si="14"/>
        <v>0</v>
      </c>
      <c r="R50" s="76">
        <f t="shared" si="15"/>
        <v>0</v>
      </c>
      <c r="S50" s="76">
        <f t="shared" si="16"/>
        <v>0</v>
      </c>
      <c r="T50" s="76">
        <f t="shared" si="12"/>
        <v>0</v>
      </c>
      <c r="U50" s="76">
        <f t="shared" si="12"/>
        <v>0</v>
      </c>
      <c r="V50" s="76">
        <f t="shared" si="21"/>
        <v>0</v>
      </c>
      <c r="W50" s="76">
        <f t="shared" si="21"/>
        <v>0</v>
      </c>
      <c r="X50" s="76">
        <f t="shared" si="21"/>
        <v>0</v>
      </c>
      <c r="Y50" s="76">
        <f t="shared" si="21"/>
        <v>0</v>
      </c>
      <c r="Z50" s="76">
        <f t="shared" si="21"/>
        <v>0</v>
      </c>
      <c r="AA50" s="246"/>
      <c r="AB50" s="241"/>
      <c r="AD50" s="246"/>
      <c r="AE50" s="446">
        <f t="shared" si="20"/>
        <v>0</v>
      </c>
      <c r="AF50" s="447">
        <f t="shared" si="20"/>
        <v>0</v>
      </c>
      <c r="AG50" s="447">
        <f t="shared" si="20"/>
        <v>0</v>
      </c>
      <c r="AH50" s="447">
        <f t="shared" si="20"/>
        <v>0</v>
      </c>
      <c r="AI50" s="447">
        <f t="shared" si="20"/>
        <v>0</v>
      </c>
      <c r="AJ50" s="447">
        <f t="shared" si="20"/>
        <v>0</v>
      </c>
      <c r="AK50" s="447">
        <f t="shared" si="20"/>
        <v>0</v>
      </c>
      <c r="AL50" s="447">
        <f t="shared" si="20"/>
        <v>0</v>
      </c>
      <c r="AM50" s="447">
        <f t="shared" si="20"/>
        <v>0</v>
      </c>
      <c r="AN50" s="447">
        <f t="shared" si="20"/>
        <v>0</v>
      </c>
      <c r="AO50" s="246"/>
    </row>
    <row r="51" spans="2:41" ht="12.75">
      <c r="B51" s="237"/>
      <c r="C51" s="246"/>
      <c r="D51" s="412"/>
      <c r="E51" s="412"/>
      <c r="F51" s="239"/>
      <c r="G51" s="444"/>
      <c r="H51" s="239"/>
      <c r="I51" s="239"/>
      <c r="J51" s="246"/>
      <c r="K51" s="248">
        <f t="shared" si="17"/>
        <v>0</v>
      </c>
      <c r="L51" s="256">
        <f t="shared" si="5"/>
        <v>0</v>
      </c>
      <c r="M51" s="76">
        <f t="shared" si="6"/>
        <v>0</v>
      </c>
      <c r="N51" s="445" t="str">
        <f t="shared" si="7"/>
        <v>-</v>
      </c>
      <c r="O51" s="76">
        <f t="shared" si="8"/>
        <v>0</v>
      </c>
      <c r="P51" s="246"/>
      <c r="Q51" s="76">
        <f t="shared" si="14"/>
        <v>0</v>
      </c>
      <c r="R51" s="76">
        <f t="shared" si="15"/>
        <v>0</v>
      </c>
      <c r="S51" s="76">
        <f t="shared" si="16"/>
        <v>0</v>
      </c>
      <c r="T51" s="76">
        <f aca="true" t="shared" si="22" ref="T51:Z86">(IF(T$10&lt;$H51,0,IF($N51&lt;=T$10-1,0,$M51)))</f>
        <v>0</v>
      </c>
      <c r="U51" s="76">
        <f t="shared" si="22"/>
        <v>0</v>
      </c>
      <c r="V51" s="76">
        <f t="shared" si="22"/>
        <v>0</v>
      </c>
      <c r="W51" s="76">
        <f t="shared" si="22"/>
        <v>0</v>
      </c>
      <c r="X51" s="76">
        <f t="shared" si="22"/>
        <v>0</v>
      </c>
      <c r="Y51" s="76">
        <f t="shared" si="22"/>
        <v>0</v>
      </c>
      <c r="Z51" s="76">
        <f t="shared" si="22"/>
        <v>0</v>
      </c>
      <c r="AA51" s="246"/>
      <c r="AB51" s="241"/>
      <c r="AD51" s="246"/>
      <c r="AE51" s="446">
        <f t="shared" si="20"/>
        <v>0</v>
      </c>
      <c r="AF51" s="447">
        <f t="shared" si="20"/>
        <v>0</v>
      </c>
      <c r="AG51" s="447">
        <f t="shared" si="20"/>
        <v>0</v>
      </c>
      <c r="AH51" s="447">
        <f t="shared" si="20"/>
        <v>0</v>
      </c>
      <c r="AI51" s="447">
        <f t="shared" si="20"/>
        <v>0</v>
      </c>
      <c r="AJ51" s="447">
        <f t="shared" si="20"/>
        <v>0</v>
      </c>
      <c r="AK51" s="447">
        <f t="shared" si="20"/>
        <v>0</v>
      </c>
      <c r="AL51" s="447">
        <f t="shared" si="20"/>
        <v>0</v>
      </c>
      <c r="AM51" s="447">
        <f t="shared" si="20"/>
        <v>0</v>
      </c>
      <c r="AN51" s="447">
        <f t="shared" si="20"/>
        <v>0</v>
      </c>
      <c r="AO51" s="246"/>
    </row>
    <row r="52" spans="2:41" ht="12.75">
      <c r="B52" s="237"/>
      <c r="C52" s="246"/>
      <c r="D52" s="412"/>
      <c r="E52" s="412"/>
      <c r="F52" s="239"/>
      <c r="G52" s="444"/>
      <c r="H52" s="239"/>
      <c r="I52" s="239"/>
      <c r="J52" s="246"/>
      <c r="K52" s="248">
        <f aca="true" t="shared" si="23" ref="K52:K74">IF(I52="geen",9999999999,I52)</f>
        <v>0</v>
      </c>
      <c r="L52" s="256">
        <f aca="true" t="shared" si="24" ref="L52:L74">F52*G52</f>
        <v>0</v>
      </c>
      <c r="M52" s="76">
        <f aca="true" t="shared" si="25" ref="M52:M74">IF(F52=0,0,(F52*G52)/K52)</f>
        <v>0</v>
      </c>
      <c r="N52" s="445" t="str">
        <f aca="true" t="shared" si="26" ref="N52:N74">IF(K52=0,"-",(IF(K52&gt;3000,"-",H52+K52-1)))</f>
        <v>-</v>
      </c>
      <c r="O52" s="76">
        <f aca="true" t="shared" si="27" ref="O52:O74">IF(I52="geen",IF(H52&lt;$Q$10,F52*G52,0),IF(H52&gt;=$Q$10,0,IF((G52*F52-(Q$10-H52)*M52)&lt;0,0,G52*F52-(Q$10-H52)*M52)))</f>
        <v>0</v>
      </c>
      <c r="P52" s="246"/>
      <c r="Q52" s="76">
        <f t="shared" si="14"/>
        <v>0</v>
      </c>
      <c r="R52" s="76">
        <f t="shared" si="15"/>
        <v>0</v>
      </c>
      <c r="S52" s="76">
        <f t="shared" si="16"/>
        <v>0</v>
      </c>
      <c r="T52" s="76">
        <f t="shared" si="22"/>
        <v>0</v>
      </c>
      <c r="U52" s="76">
        <f t="shared" si="22"/>
        <v>0</v>
      </c>
      <c r="V52" s="76">
        <f t="shared" si="22"/>
        <v>0</v>
      </c>
      <c r="W52" s="76">
        <f t="shared" si="22"/>
        <v>0</v>
      </c>
      <c r="X52" s="76">
        <f t="shared" si="22"/>
        <v>0</v>
      </c>
      <c r="Y52" s="76">
        <f t="shared" si="22"/>
        <v>0</v>
      </c>
      <c r="Z52" s="76">
        <f t="shared" si="22"/>
        <v>0</v>
      </c>
      <c r="AA52" s="246"/>
      <c r="AB52" s="241"/>
      <c r="AD52" s="246"/>
      <c r="AE52" s="446">
        <f t="shared" si="20"/>
        <v>0</v>
      </c>
      <c r="AF52" s="447">
        <f t="shared" si="20"/>
        <v>0</v>
      </c>
      <c r="AG52" s="447">
        <f t="shared" si="20"/>
        <v>0</v>
      </c>
      <c r="AH52" s="447">
        <f t="shared" si="20"/>
        <v>0</v>
      </c>
      <c r="AI52" s="447">
        <f t="shared" si="20"/>
        <v>0</v>
      </c>
      <c r="AJ52" s="447">
        <f t="shared" si="20"/>
        <v>0</v>
      </c>
      <c r="AK52" s="447">
        <f t="shared" si="20"/>
        <v>0</v>
      </c>
      <c r="AL52" s="447">
        <f t="shared" si="20"/>
        <v>0</v>
      </c>
      <c r="AM52" s="447">
        <f t="shared" si="20"/>
        <v>0</v>
      </c>
      <c r="AN52" s="447">
        <f t="shared" si="20"/>
        <v>0</v>
      </c>
      <c r="AO52" s="246"/>
    </row>
    <row r="53" spans="2:41" ht="12.75">
      <c r="B53" s="237"/>
      <c r="C53" s="246"/>
      <c r="D53" s="412"/>
      <c r="E53" s="412"/>
      <c r="F53" s="239"/>
      <c r="G53" s="444"/>
      <c r="H53" s="239"/>
      <c r="I53" s="239"/>
      <c r="J53" s="246"/>
      <c r="K53" s="248">
        <f t="shared" si="23"/>
        <v>0</v>
      </c>
      <c r="L53" s="256">
        <f t="shared" si="24"/>
        <v>0</v>
      </c>
      <c r="M53" s="76">
        <f t="shared" si="25"/>
        <v>0</v>
      </c>
      <c r="N53" s="445" t="str">
        <f t="shared" si="26"/>
        <v>-</v>
      </c>
      <c r="O53" s="76">
        <f t="shared" si="27"/>
        <v>0</v>
      </c>
      <c r="P53" s="246"/>
      <c r="Q53" s="76">
        <f t="shared" si="14"/>
        <v>0</v>
      </c>
      <c r="R53" s="76">
        <f t="shared" si="15"/>
        <v>0</v>
      </c>
      <c r="S53" s="76">
        <f t="shared" si="16"/>
        <v>0</v>
      </c>
      <c r="T53" s="76">
        <f t="shared" si="22"/>
        <v>0</v>
      </c>
      <c r="U53" s="76">
        <f t="shared" si="22"/>
        <v>0</v>
      </c>
      <c r="V53" s="76">
        <f t="shared" si="22"/>
        <v>0</v>
      </c>
      <c r="W53" s="76">
        <f t="shared" si="22"/>
        <v>0</v>
      </c>
      <c r="X53" s="76">
        <f t="shared" si="22"/>
        <v>0</v>
      </c>
      <c r="Y53" s="76">
        <f t="shared" si="22"/>
        <v>0</v>
      </c>
      <c r="Z53" s="76">
        <f t="shared" si="22"/>
        <v>0</v>
      </c>
      <c r="AA53" s="246"/>
      <c r="AB53" s="241"/>
      <c r="AD53" s="246"/>
      <c r="AE53" s="446">
        <f t="shared" si="20"/>
        <v>0</v>
      </c>
      <c r="AF53" s="447">
        <f t="shared" si="20"/>
        <v>0</v>
      </c>
      <c r="AG53" s="447">
        <f t="shared" si="20"/>
        <v>0</v>
      </c>
      <c r="AH53" s="447">
        <f t="shared" si="20"/>
        <v>0</v>
      </c>
      <c r="AI53" s="447">
        <f t="shared" si="20"/>
        <v>0</v>
      </c>
      <c r="AJ53" s="447">
        <f t="shared" si="20"/>
        <v>0</v>
      </c>
      <c r="AK53" s="447">
        <f t="shared" si="20"/>
        <v>0</v>
      </c>
      <c r="AL53" s="447">
        <f t="shared" si="20"/>
        <v>0</v>
      </c>
      <c r="AM53" s="447">
        <f t="shared" si="20"/>
        <v>0</v>
      </c>
      <c r="AN53" s="447">
        <f t="shared" si="20"/>
        <v>0</v>
      </c>
      <c r="AO53" s="246"/>
    </row>
    <row r="54" spans="2:41" ht="12.75">
      <c r="B54" s="237"/>
      <c r="C54" s="246"/>
      <c r="D54" s="412"/>
      <c r="E54" s="412"/>
      <c r="F54" s="239"/>
      <c r="G54" s="444"/>
      <c r="H54" s="239"/>
      <c r="I54" s="239"/>
      <c r="J54" s="246"/>
      <c r="K54" s="248">
        <f t="shared" si="23"/>
        <v>0</v>
      </c>
      <c r="L54" s="256">
        <f t="shared" si="24"/>
        <v>0</v>
      </c>
      <c r="M54" s="76">
        <f t="shared" si="25"/>
        <v>0</v>
      </c>
      <c r="N54" s="445" t="str">
        <f t="shared" si="26"/>
        <v>-</v>
      </c>
      <c r="O54" s="76">
        <f t="shared" si="27"/>
        <v>0</v>
      </c>
      <c r="P54" s="246"/>
      <c r="Q54" s="76">
        <f t="shared" si="14"/>
        <v>0</v>
      </c>
      <c r="R54" s="76">
        <f t="shared" si="15"/>
        <v>0</v>
      </c>
      <c r="S54" s="76">
        <f t="shared" si="16"/>
        <v>0</v>
      </c>
      <c r="T54" s="76">
        <f t="shared" si="22"/>
        <v>0</v>
      </c>
      <c r="U54" s="76">
        <f t="shared" si="22"/>
        <v>0</v>
      </c>
      <c r="V54" s="76">
        <f t="shared" si="22"/>
        <v>0</v>
      </c>
      <c r="W54" s="76">
        <f t="shared" si="22"/>
        <v>0</v>
      </c>
      <c r="X54" s="76">
        <f t="shared" si="22"/>
        <v>0</v>
      </c>
      <c r="Y54" s="76">
        <f t="shared" si="22"/>
        <v>0</v>
      </c>
      <c r="Z54" s="76">
        <f t="shared" si="22"/>
        <v>0</v>
      </c>
      <c r="AA54" s="246"/>
      <c r="AB54" s="241"/>
      <c r="AD54" s="246"/>
      <c r="AE54" s="446">
        <f t="shared" si="20"/>
        <v>0</v>
      </c>
      <c r="AF54" s="447">
        <f t="shared" si="20"/>
        <v>0</v>
      </c>
      <c r="AG54" s="447">
        <f t="shared" si="20"/>
        <v>0</v>
      </c>
      <c r="AH54" s="447">
        <f t="shared" si="20"/>
        <v>0</v>
      </c>
      <c r="AI54" s="447">
        <f t="shared" si="20"/>
        <v>0</v>
      </c>
      <c r="AJ54" s="447">
        <f t="shared" si="20"/>
        <v>0</v>
      </c>
      <c r="AK54" s="447">
        <f t="shared" si="20"/>
        <v>0</v>
      </c>
      <c r="AL54" s="447">
        <f t="shared" si="20"/>
        <v>0</v>
      </c>
      <c r="AM54" s="447">
        <f t="shared" si="20"/>
        <v>0</v>
      </c>
      <c r="AN54" s="447">
        <f t="shared" si="20"/>
        <v>0</v>
      </c>
      <c r="AO54" s="246"/>
    </row>
    <row r="55" spans="2:41" ht="12.75">
      <c r="B55" s="237"/>
      <c r="C55" s="246"/>
      <c r="D55" s="412"/>
      <c r="E55" s="412"/>
      <c r="F55" s="239"/>
      <c r="G55" s="444"/>
      <c r="H55" s="239"/>
      <c r="I55" s="239"/>
      <c r="J55" s="246"/>
      <c r="K55" s="248">
        <f t="shared" si="23"/>
        <v>0</v>
      </c>
      <c r="L55" s="256">
        <f t="shared" si="24"/>
        <v>0</v>
      </c>
      <c r="M55" s="76">
        <f t="shared" si="25"/>
        <v>0</v>
      </c>
      <c r="N55" s="445" t="str">
        <f t="shared" si="26"/>
        <v>-</v>
      </c>
      <c r="O55" s="76">
        <f t="shared" si="27"/>
        <v>0</v>
      </c>
      <c r="P55" s="246"/>
      <c r="Q55" s="76">
        <f t="shared" si="14"/>
        <v>0</v>
      </c>
      <c r="R55" s="76">
        <f t="shared" si="15"/>
        <v>0</v>
      </c>
      <c r="S55" s="76">
        <f t="shared" si="16"/>
        <v>0</v>
      </c>
      <c r="T55" s="76">
        <f t="shared" si="22"/>
        <v>0</v>
      </c>
      <c r="U55" s="76">
        <f t="shared" si="22"/>
        <v>0</v>
      </c>
      <c r="V55" s="76">
        <f t="shared" si="22"/>
        <v>0</v>
      </c>
      <c r="W55" s="76">
        <f t="shared" si="22"/>
        <v>0</v>
      </c>
      <c r="X55" s="76">
        <f t="shared" si="22"/>
        <v>0</v>
      </c>
      <c r="Y55" s="76">
        <f t="shared" si="22"/>
        <v>0</v>
      </c>
      <c r="Z55" s="76">
        <f t="shared" si="22"/>
        <v>0</v>
      </c>
      <c r="AA55" s="246"/>
      <c r="AB55" s="241"/>
      <c r="AD55" s="246"/>
      <c r="AE55" s="446">
        <f t="shared" si="20"/>
        <v>0</v>
      </c>
      <c r="AF55" s="447">
        <f t="shared" si="20"/>
        <v>0</v>
      </c>
      <c r="AG55" s="447">
        <f t="shared" si="20"/>
        <v>0</v>
      </c>
      <c r="AH55" s="447">
        <f t="shared" si="20"/>
        <v>0</v>
      </c>
      <c r="AI55" s="447">
        <f t="shared" si="20"/>
        <v>0</v>
      </c>
      <c r="AJ55" s="447">
        <f t="shared" si="20"/>
        <v>0</v>
      </c>
      <c r="AK55" s="447">
        <f t="shared" si="20"/>
        <v>0</v>
      </c>
      <c r="AL55" s="447">
        <f t="shared" si="20"/>
        <v>0</v>
      </c>
      <c r="AM55" s="447">
        <f t="shared" si="20"/>
        <v>0</v>
      </c>
      <c r="AN55" s="447">
        <f t="shared" si="20"/>
        <v>0</v>
      </c>
      <c r="AO55" s="246"/>
    </row>
    <row r="56" spans="2:41" ht="12.75">
      <c r="B56" s="237"/>
      <c r="C56" s="246"/>
      <c r="D56" s="412"/>
      <c r="E56" s="412"/>
      <c r="F56" s="239"/>
      <c r="G56" s="444"/>
      <c r="H56" s="239"/>
      <c r="I56" s="239"/>
      <c r="J56" s="246"/>
      <c r="K56" s="248">
        <f t="shared" si="23"/>
        <v>0</v>
      </c>
      <c r="L56" s="256">
        <f t="shared" si="24"/>
        <v>0</v>
      </c>
      <c r="M56" s="76">
        <f t="shared" si="25"/>
        <v>0</v>
      </c>
      <c r="N56" s="445" t="str">
        <f t="shared" si="26"/>
        <v>-</v>
      </c>
      <c r="O56" s="76">
        <f t="shared" si="27"/>
        <v>0</v>
      </c>
      <c r="P56" s="246"/>
      <c r="Q56" s="76">
        <f t="shared" si="14"/>
        <v>0</v>
      </c>
      <c r="R56" s="76">
        <f t="shared" si="15"/>
        <v>0</v>
      </c>
      <c r="S56" s="76">
        <f t="shared" si="16"/>
        <v>0</v>
      </c>
      <c r="T56" s="76">
        <f t="shared" si="22"/>
        <v>0</v>
      </c>
      <c r="U56" s="76">
        <f t="shared" si="22"/>
        <v>0</v>
      </c>
      <c r="V56" s="76">
        <f t="shared" si="22"/>
        <v>0</v>
      </c>
      <c r="W56" s="76">
        <f t="shared" si="22"/>
        <v>0</v>
      </c>
      <c r="X56" s="76">
        <f t="shared" si="22"/>
        <v>0</v>
      </c>
      <c r="Y56" s="76">
        <f t="shared" si="22"/>
        <v>0</v>
      </c>
      <c r="Z56" s="76">
        <f t="shared" si="22"/>
        <v>0</v>
      </c>
      <c r="AA56" s="246"/>
      <c r="AB56" s="241"/>
      <c r="AD56" s="246"/>
      <c r="AE56" s="446">
        <f t="shared" si="20"/>
        <v>0</v>
      </c>
      <c r="AF56" s="447">
        <f t="shared" si="20"/>
        <v>0</v>
      </c>
      <c r="AG56" s="447">
        <f t="shared" si="20"/>
        <v>0</v>
      </c>
      <c r="AH56" s="447">
        <f t="shared" si="20"/>
        <v>0</v>
      </c>
      <c r="AI56" s="447">
        <f t="shared" si="20"/>
        <v>0</v>
      </c>
      <c r="AJ56" s="447">
        <f t="shared" si="20"/>
        <v>0</v>
      </c>
      <c r="AK56" s="447">
        <f t="shared" si="20"/>
        <v>0</v>
      </c>
      <c r="AL56" s="447">
        <f t="shared" si="20"/>
        <v>0</v>
      </c>
      <c r="AM56" s="447">
        <f t="shared" si="20"/>
        <v>0</v>
      </c>
      <c r="AN56" s="447">
        <f t="shared" si="20"/>
        <v>0</v>
      </c>
      <c r="AO56" s="246"/>
    </row>
    <row r="57" spans="2:41" ht="12.75">
      <c r="B57" s="237"/>
      <c r="C57" s="246"/>
      <c r="D57" s="412"/>
      <c r="E57" s="412"/>
      <c r="F57" s="239"/>
      <c r="G57" s="444"/>
      <c r="H57" s="239"/>
      <c r="I57" s="239"/>
      <c r="J57" s="246"/>
      <c r="K57" s="248">
        <f t="shared" si="23"/>
        <v>0</v>
      </c>
      <c r="L57" s="256">
        <f t="shared" si="24"/>
        <v>0</v>
      </c>
      <c r="M57" s="76">
        <f t="shared" si="25"/>
        <v>0</v>
      </c>
      <c r="N57" s="445" t="str">
        <f t="shared" si="26"/>
        <v>-</v>
      </c>
      <c r="O57" s="76">
        <f t="shared" si="27"/>
        <v>0</v>
      </c>
      <c r="P57" s="246"/>
      <c r="Q57" s="76">
        <f t="shared" si="14"/>
        <v>0</v>
      </c>
      <c r="R57" s="76">
        <f t="shared" si="15"/>
        <v>0</v>
      </c>
      <c r="S57" s="76">
        <f t="shared" si="16"/>
        <v>0</v>
      </c>
      <c r="T57" s="76">
        <f t="shared" si="22"/>
        <v>0</v>
      </c>
      <c r="U57" s="76">
        <f t="shared" si="22"/>
        <v>0</v>
      </c>
      <c r="V57" s="76">
        <f t="shared" si="22"/>
        <v>0</v>
      </c>
      <c r="W57" s="76">
        <f t="shared" si="22"/>
        <v>0</v>
      </c>
      <c r="X57" s="76">
        <f t="shared" si="22"/>
        <v>0</v>
      </c>
      <c r="Y57" s="76">
        <f t="shared" si="22"/>
        <v>0</v>
      </c>
      <c r="Z57" s="76">
        <f t="shared" si="22"/>
        <v>0</v>
      </c>
      <c r="AA57" s="246"/>
      <c r="AB57" s="241"/>
      <c r="AD57" s="246"/>
      <c r="AE57" s="446">
        <f t="shared" si="20"/>
        <v>0</v>
      </c>
      <c r="AF57" s="447">
        <f t="shared" si="20"/>
        <v>0</v>
      </c>
      <c r="AG57" s="447">
        <f t="shared" si="20"/>
        <v>0</v>
      </c>
      <c r="AH57" s="447">
        <f t="shared" si="20"/>
        <v>0</v>
      </c>
      <c r="AI57" s="447">
        <f t="shared" si="20"/>
        <v>0</v>
      </c>
      <c r="AJ57" s="447">
        <f t="shared" si="20"/>
        <v>0</v>
      </c>
      <c r="AK57" s="447">
        <f t="shared" si="20"/>
        <v>0</v>
      </c>
      <c r="AL57" s="447">
        <f t="shared" si="20"/>
        <v>0</v>
      </c>
      <c r="AM57" s="447">
        <f t="shared" si="20"/>
        <v>0</v>
      </c>
      <c r="AN57" s="447">
        <f t="shared" si="20"/>
        <v>0</v>
      </c>
      <c r="AO57" s="246"/>
    </row>
    <row r="58" spans="2:41" ht="12.75">
      <c r="B58" s="237"/>
      <c r="C58" s="246"/>
      <c r="D58" s="412"/>
      <c r="E58" s="412"/>
      <c r="F58" s="239"/>
      <c r="G58" s="444"/>
      <c r="H58" s="239"/>
      <c r="I58" s="239"/>
      <c r="J58" s="246"/>
      <c r="K58" s="248">
        <f t="shared" si="23"/>
        <v>0</v>
      </c>
      <c r="L58" s="256">
        <f t="shared" si="24"/>
        <v>0</v>
      </c>
      <c r="M58" s="76">
        <f t="shared" si="25"/>
        <v>0</v>
      </c>
      <c r="N58" s="445" t="str">
        <f t="shared" si="26"/>
        <v>-</v>
      </c>
      <c r="O58" s="76">
        <f t="shared" si="27"/>
        <v>0</v>
      </c>
      <c r="P58" s="246"/>
      <c r="Q58" s="76">
        <f t="shared" si="14"/>
        <v>0</v>
      </c>
      <c r="R58" s="76">
        <f t="shared" si="15"/>
        <v>0</v>
      </c>
      <c r="S58" s="76">
        <f t="shared" si="16"/>
        <v>0</v>
      </c>
      <c r="T58" s="76">
        <f t="shared" si="22"/>
        <v>0</v>
      </c>
      <c r="U58" s="76">
        <f t="shared" si="22"/>
        <v>0</v>
      </c>
      <c r="V58" s="76">
        <f t="shared" si="22"/>
        <v>0</v>
      </c>
      <c r="W58" s="76">
        <f t="shared" si="22"/>
        <v>0</v>
      </c>
      <c r="X58" s="76">
        <f t="shared" si="22"/>
        <v>0</v>
      </c>
      <c r="Y58" s="76">
        <f t="shared" si="22"/>
        <v>0</v>
      </c>
      <c r="Z58" s="76">
        <f t="shared" si="22"/>
        <v>0</v>
      </c>
      <c r="AA58" s="246"/>
      <c r="AB58" s="241"/>
      <c r="AD58" s="246"/>
      <c r="AE58" s="446">
        <f t="shared" si="20"/>
        <v>0</v>
      </c>
      <c r="AF58" s="447">
        <f t="shared" si="20"/>
        <v>0</v>
      </c>
      <c r="AG58" s="447">
        <f t="shared" si="20"/>
        <v>0</v>
      </c>
      <c r="AH58" s="447">
        <f t="shared" si="20"/>
        <v>0</v>
      </c>
      <c r="AI58" s="447">
        <f t="shared" si="20"/>
        <v>0</v>
      </c>
      <c r="AJ58" s="447">
        <f t="shared" si="20"/>
        <v>0</v>
      </c>
      <c r="AK58" s="447">
        <f t="shared" si="20"/>
        <v>0</v>
      </c>
      <c r="AL58" s="447">
        <f t="shared" si="20"/>
        <v>0</v>
      </c>
      <c r="AM58" s="447">
        <f t="shared" si="20"/>
        <v>0</v>
      </c>
      <c r="AN58" s="447">
        <f t="shared" si="20"/>
        <v>0</v>
      </c>
      <c r="AO58" s="246"/>
    </row>
    <row r="59" spans="2:41" ht="12.75">
      <c r="B59" s="237"/>
      <c r="C59" s="246"/>
      <c r="D59" s="412"/>
      <c r="E59" s="412"/>
      <c r="F59" s="239"/>
      <c r="G59" s="444"/>
      <c r="H59" s="239"/>
      <c r="I59" s="239"/>
      <c r="J59" s="246"/>
      <c r="K59" s="248">
        <f t="shared" si="23"/>
        <v>0</v>
      </c>
      <c r="L59" s="256">
        <f t="shared" si="24"/>
        <v>0</v>
      </c>
      <c r="M59" s="76">
        <f t="shared" si="25"/>
        <v>0</v>
      </c>
      <c r="N59" s="445" t="str">
        <f t="shared" si="26"/>
        <v>-</v>
      </c>
      <c r="O59" s="76">
        <f t="shared" si="27"/>
        <v>0</v>
      </c>
      <c r="P59" s="246"/>
      <c r="Q59" s="76">
        <f t="shared" si="14"/>
        <v>0</v>
      </c>
      <c r="R59" s="76">
        <f t="shared" si="15"/>
        <v>0</v>
      </c>
      <c r="S59" s="76">
        <f t="shared" si="16"/>
        <v>0</v>
      </c>
      <c r="T59" s="76">
        <f t="shared" si="22"/>
        <v>0</v>
      </c>
      <c r="U59" s="76">
        <f t="shared" si="22"/>
        <v>0</v>
      </c>
      <c r="V59" s="76">
        <f t="shared" si="22"/>
        <v>0</v>
      </c>
      <c r="W59" s="76">
        <f t="shared" si="22"/>
        <v>0</v>
      </c>
      <c r="X59" s="76">
        <f t="shared" si="22"/>
        <v>0</v>
      </c>
      <c r="Y59" s="76">
        <f t="shared" si="22"/>
        <v>0</v>
      </c>
      <c r="Z59" s="76">
        <f t="shared" si="22"/>
        <v>0</v>
      </c>
      <c r="AA59" s="246"/>
      <c r="AB59" s="241"/>
      <c r="AD59" s="246"/>
      <c r="AE59" s="446">
        <f t="shared" si="20"/>
        <v>0</v>
      </c>
      <c r="AF59" s="447">
        <f t="shared" si="20"/>
        <v>0</v>
      </c>
      <c r="AG59" s="447">
        <f t="shared" si="20"/>
        <v>0</v>
      </c>
      <c r="AH59" s="447">
        <f t="shared" si="20"/>
        <v>0</v>
      </c>
      <c r="AI59" s="447">
        <f t="shared" si="20"/>
        <v>0</v>
      </c>
      <c r="AJ59" s="447">
        <f t="shared" si="20"/>
        <v>0</v>
      </c>
      <c r="AK59" s="447">
        <f t="shared" si="20"/>
        <v>0</v>
      </c>
      <c r="AL59" s="447">
        <f t="shared" si="20"/>
        <v>0</v>
      </c>
      <c r="AM59" s="447">
        <f t="shared" si="20"/>
        <v>0</v>
      </c>
      <c r="AN59" s="447">
        <f t="shared" si="20"/>
        <v>0</v>
      </c>
      <c r="AO59" s="246"/>
    </row>
    <row r="60" spans="2:41" ht="12.75">
      <c r="B60" s="237"/>
      <c r="C60" s="246"/>
      <c r="D60" s="412"/>
      <c r="E60" s="412"/>
      <c r="F60" s="239"/>
      <c r="G60" s="444"/>
      <c r="H60" s="239"/>
      <c r="I60" s="239"/>
      <c r="J60" s="246"/>
      <c r="K60" s="248">
        <f t="shared" si="23"/>
        <v>0</v>
      </c>
      <c r="L60" s="256">
        <f t="shared" si="24"/>
        <v>0</v>
      </c>
      <c r="M60" s="76">
        <f t="shared" si="25"/>
        <v>0</v>
      </c>
      <c r="N60" s="445" t="str">
        <f t="shared" si="26"/>
        <v>-</v>
      </c>
      <c r="O60" s="76">
        <f t="shared" si="27"/>
        <v>0</v>
      </c>
      <c r="P60" s="246"/>
      <c r="Q60" s="76">
        <f t="shared" si="14"/>
        <v>0</v>
      </c>
      <c r="R60" s="76">
        <f t="shared" si="15"/>
        <v>0</v>
      </c>
      <c r="S60" s="76">
        <f t="shared" si="16"/>
        <v>0</v>
      </c>
      <c r="T60" s="76">
        <f t="shared" si="22"/>
        <v>0</v>
      </c>
      <c r="U60" s="76">
        <f t="shared" si="22"/>
        <v>0</v>
      </c>
      <c r="V60" s="76">
        <f t="shared" si="22"/>
        <v>0</v>
      </c>
      <c r="W60" s="76">
        <f t="shared" si="22"/>
        <v>0</v>
      </c>
      <c r="X60" s="76">
        <f t="shared" si="22"/>
        <v>0</v>
      </c>
      <c r="Y60" s="76">
        <f t="shared" si="22"/>
        <v>0</v>
      </c>
      <c r="Z60" s="76">
        <f t="shared" si="22"/>
        <v>0</v>
      </c>
      <c r="AA60" s="246"/>
      <c r="AB60" s="241"/>
      <c r="AD60" s="246"/>
      <c r="AE60" s="446">
        <f t="shared" si="20"/>
        <v>0</v>
      </c>
      <c r="AF60" s="447">
        <f t="shared" si="20"/>
        <v>0</v>
      </c>
      <c r="AG60" s="447">
        <f t="shared" si="20"/>
        <v>0</v>
      </c>
      <c r="AH60" s="447">
        <f t="shared" si="20"/>
        <v>0</v>
      </c>
      <c r="AI60" s="447">
        <f t="shared" si="20"/>
        <v>0</v>
      </c>
      <c r="AJ60" s="447">
        <f t="shared" si="20"/>
        <v>0</v>
      </c>
      <c r="AK60" s="447">
        <f t="shared" si="20"/>
        <v>0</v>
      </c>
      <c r="AL60" s="447">
        <f t="shared" si="20"/>
        <v>0</v>
      </c>
      <c r="AM60" s="447">
        <f t="shared" si="20"/>
        <v>0</v>
      </c>
      <c r="AN60" s="447">
        <f t="shared" si="20"/>
        <v>0</v>
      </c>
      <c r="AO60" s="246"/>
    </row>
    <row r="61" spans="2:41" ht="12.75">
      <c r="B61" s="237"/>
      <c r="C61" s="246"/>
      <c r="D61" s="412"/>
      <c r="E61" s="412"/>
      <c r="F61" s="239"/>
      <c r="G61" s="444"/>
      <c r="H61" s="239"/>
      <c r="I61" s="239"/>
      <c r="J61" s="246"/>
      <c r="K61" s="248">
        <f t="shared" si="23"/>
        <v>0</v>
      </c>
      <c r="L61" s="256">
        <f t="shared" si="24"/>
        <v>0</v>
      </c>
      <c r="M61" s="76">
        <f t="shared" si="25"/>
        <v>0</v>
      </c>
      <c r="N61" s="445" t="str">
        <f t="shared" si="26"/>
        <v>-</v>
      </c>
      <c r="O61" s="76">
        <f t="shared" si="27"/>
        <v>0</v>
      </c>
      <c r="P61" s="246"/>
      <c r="Q61" s="76">
        <f t="shared" si="14"/>
        <v>0</v>
      </c>
      <c r="R61" s="76">
        <f t="shared" si="15"/>
        <v>0</v>
      </c>
      <c r="S61" s="76">
        <f t="shared" si="16"/>
        <v>0</v>
      </c>
      <c r="T61" s="76">
        <f t="shared" si="22"/>
        <v>0</v>
      </c>
      <c r="U61" s="76">
        <f t="shared" si="22"/>
        <v>0</v>
      </c>
      <c r="V61" s="76">
        <f t="shared" si="22"/>
        <v>0</v>
      </c>
      <c r="W61" s="76">
        <f t="shared" si="22"/>
        <v>0</v>
      </c>
      <c r="X61" s="76">
        <f t="shared" si="22"/>
        <v>0</v>
      </c>
      <c r="Y61" s="76">
        <f t="shared" si="22"/>
        <v>0</v>
      </c>
      <c r="Z61" s="76">
        <f t="shared" si="22"/>
        <v>0</v>
      </c>
      <c r="AA61" s="246"/>
      <c r="AB61" s="241"/>
      <c r="AD61" s="246"/>
      <c r="AE61" s="446">
        <f t="shared" si="20"/>
        <v>0</v>
      </c>
      <c r="AF61" s="447">
        <f t="shared" si="20"/>
        <v>0</v>
      </c>
      <c r="AG61" s="447">
        <f t="shared" si="20"/>
        <v>0</v>
      </c>
      <c r="AH61" s="447">
        <f t="shared" si="20"/>
        <v>0</v>
      </c>
      <c r="AI61" s="447">
        <f t="shared" si="20"/>
        <v>0</v>
      </c>
      <c r="AJ61" s="447">
        <f t="shared" si="20"/>
        <v>0</v>
      </c>
      <c r="AK61" s="447">
        <f t="shared" si="20"/>
        <v>0</v>
      </c>
      <c r="AL61" s="447">
        <f t="shared" si="20"/>
        <v>0</v>
      </c>
      <c r="AM61" s="447">
        <f t="shared" si="20"/>
        <v>0</v>
      </c>
      <c r="AN61" s="447">
        <f t="shared" si="20"/>
        <v>0</v>
      </c>
      <c r="AO61" s="246"/>
    </row>
    <row r="62" spans="2:41" ht="12.75">
      <c r="B62" s="237"/>
      <c r="C62" s="246"/>
      <c r="D62" s="412"/>
      <c r="E62" s="412"/>
      <c r="F62" s="239"/>
      <c r="G62" s="444"/>
      <c r="H62" s="239"/>
      <c r="I62" s="239"/>
      <c r="J62" s="246"/>
      <c r="K62" s="248">
        <f t="shared" si="23"/>
        <v>0</v>
      </c>
      <c r="L62" s="256">
        <f t="shared" si="24"/>
        <v>0</v>
      </c>
      <c r="M62" s="76">
        <f t="shared" si="25"/>
        <v>0</v>
      </c>
      <c r="N62" s="445" t="str">
        <f t="shared" si="26"/>
        <v>-</v>
      </c>
      <c r="O62" s="76">
        <f t="shared" si="27"/>
        <v>0</v>
      </c>
      <c r="P62" s="246"/>
      <c r="Q62" s="76">
        <f t="shared" si="14"/>
        <v>0</v>
      </c>
      <c r="R62" s="76">
        <f t="shared" si="15"/>
        <v>0</v>
      </c>
      <c r="S62" s="76">
        <f t="shared" si="16"/>
        <v>0</v>
      </c>
      <c r="T62" s="76">
        <f t="shared" si="22"/>
        <v>0</v>
      </c>
      <c r="U62" s="76">
        <f t="shared" si="22"/>
        <v>0</v>
      </c>
      <c r="V62" s="76">
        <f t="shared" si="22"/>
        <v>0</v>
      </c>
      <c r="W62" s="76">
        <f t="shared" si="22"/>
        <v>0</v>
      </c>
      <c r="X62" s="76">
        <f t="shared" si="22"/>
        <v>0</v>
      </c>
      <c r="Y62" s="76">
        <f t="shared" si="22"/>
        <v>0</v>
      </c>
      <c r="Z62" s="76">
        <f t="shared" si="22"/>
        <v>0</v>
      </c>
      <c r="AA62" s="246"/>
      <c r="AB62" s="241"/>
      <c r="AD62" s="246"/>
      <c r="AE62" s="446">
        <f t="shared" si="20"/>
        <v>0</v>
      </c>
      <c r="AF62" s="447">
        <f t="shared" si="20"/>
        <v>0</v>
      </c>
      <c r="AG62" s="447">
        <f t="shared" si="20"/>
        <v>0</v>
      </c>
      <c r="AH62" s="447">
        <f t="shared" si="20"/>
        <v>0</v>
      </c>
      <c r="AI62" s="447">
        <f t="shared" si="20"/>
        <v>0</v>
      </c>
      <c r="AJ62" s="447">
        <f t="shared" si="20"/>
        <v>0</v>
      </c>
      <c r="AK62" s="447">
        <f t="shared" si="20"/>
        <v>0</v>
      </c>
      <c r="AL62" s="447">
        <f t="shared" si="20"/>
        <v>0</v>
      </c>
      <c r="AM62" s="447">
        <f t="shared" si="20"/>
        <v>0</v>
      </c>
      <c r="AN62" s="447">
        <f t="shared" si="20"/>
        <v>0</v>
      </c>
      <c r="AO62" s="246"/>
    </row>
    <row r="63" spans="2:41" ht="12.75">
      <c r="B63" s="237"/>
      <c r="C63" s="246"/>
      <c r="D63" s="412"/>
      <c r="E63" s="412"/>
      <c r="F63" s="239"/>
      <c r="G63" s="444"/>
      <c r="H63" s="239"/>
      <c r="I63" s="239"/>
      <c r="J63" s="246"/>
      <c r="K63" s="248">
        <f t="shared" si="23"/>
        <v>0</v>
      </c>
      <c r="L63" s="256">
        <f t="shared" si="24"/>
        <v>0</v>
      </c>
      <c r="M63" s="76">
        <f t="shared" si="25"/>
        <v>0</v>
      </c>
      <c r="N63" s="445" t="str">
        <f t="shared" si="26"/>
        <v>-</v>
      </c>
      <c r="O63" s="76">
        <f t="shared" si="27"/>
        <v>0</v>
      </c>
      <c r="P63" s="246"/>
      <c r="Q63" s="76">
        <f t="shared" si="14"/>
        <v>0</v>
      </c>
      <c r="R63" s="76">
        <f t="shared" si="15"/>
        <v>0</v>
      </c>
      <c r="S63" s="76">
        <f t="shared" si="16"/>
        <v>0</v>
      </c>
      <c r="T63" s="76">
        <f t="shared" si="22"/>
        <v>0</v>
      </c>
      <c r="U63" s="76">
        <f t="shared" si="22"/>
        <v>0</v>
      </c>
      <c r="V63" s="76">
        <f t="shared" si="22"/>
        <v>0</v>
      </c>
      <c r="W63" s="76">
        <f t="shared" si="22"/>
        <v>0</v>
      </c>
      <c r="X63" s="76">
        <f t="shared" si="22"/>
        <v>0</v>
      </c>
      <c r="Y63" s="76">
        <f t="shared" si="22"/>
        <v>0</v>
      </c>
      <c r="Z63" s="76">
        <f t="shared" si="22"/>
        <v>0</v>
      </c>
      <c r="AA63" s="246"/>
      <c r="AB63" s="241"/>
      <c r="AD63" s="246"/>
      <c r="AE63" s="446">
        <f t="shared" si="20"/>
        <v>0</v>
      </c>
      <c r="AF63" s="447">
        <f t="shared" si="20"/>
        <v>0</v>
      </c>
      <c r="AG63" s="447">
        <f t="shared" si="20"/>
        <v>0</v>
      </c>
      <c r="AH63" s="447">
        <f t="shared" si="20"/>
        <v>0</v>
      </c>
      <c r="AI63" s="447">
        <f t="shared" si="20"/>
        <v>0</v>
      </c>
      <c r="AJ63" s="447">
        <f t="shared" si="20"/>
        <v>0</v>
      </c>
      <c r="AK63" s="447">
        <f t="shared" si="20"/>
        <v>0</v>
      </c>
      <c r="AL63" s="447">
        <f t="shared" si="20"/>
        <v>0</v>
      </c>
      <c r="AM63" s="447">
        <f t="shared" si="20"/>
        <v>0</v>
      </c>
      <c r="AN63" s="447">
        <f t="shared" si="20"/>
        <v>0</v>
      </c>
      <c r="AO63" s="246"/>
    </row>
    <row r="64" spans="2:41" ht="12.75">
      <c r="B64" s="237"/>
      <c r="C64" s="246"/>
      <c r="D64" s="412"/>
      <c r="E64" s="412"/>
      <c r="F64" s="239"/>
      <c r="G64" s="444"/>
      <c r="H64" s="239"/>
      <c r="I64" s="239"/>
      <c r="J64" s="246"/>
      <c r="K64" s="248">
        <f t="shared" si="23"/>
        <v>0</v>
      </c>
      <c r="L64" s="256">
        <f t="shared" si="24"/>
        <v>0</v>
      </c>
      <c r="M64" s="76">
        <f t="shared" si="25"/>
        <v>0</v>
      </c>
      <c r="N64" s="445" t="str">
        <f t="shared" si="26"/>
        <v>-</v>
      </c>
      <c r="O64" s="76">
        <f t="shared" si="27"/>
        <v>0</v>
      </c>
      <c r="P64" s="246"/>
      <c r="Q64" s="76">
        <f t="shared" si="14"/>
        <v>0</v>
      </c>
      <c r="R64" s="76">
        <f t="shared" si="15"/>
        <v>0</v>
      </c>
      <c r="S64" s="76">
        <f t="shared" si="16"/>
        <v>0</v>
      </c>
      <c r="T64" s="76">
        <f t="shared" si="22"/>
        <v>0</v>
      </c>
      <c r="U64" s="76">
        <f t="shared" si="22"/>
        <v>0</v>
      </c>
      <c r="V64" s="76">
        <f t="shared" si="22"/>
        <v>0</v>
      </c>
      <c r="W64" s="76">
        <f t="shared" si="22"/>
        <v>0</v>
      </c>
      <c r="X64" s="76">
        <f t="shared" si="22"/>
        <v>0</v>
      </c>
      <c r="Y64" s="76">
        <f t="shared" si="22"/>
        <v>0</v>
      </c>
      <c r="Z64" s="76">
        <f t="shared" si="22"/>
        <v>0</v>
      </c>
      <c r="AA64" s="246"/>
      <c r="AB64" s="241"/>
      <c r="AD64" s="246"/>
      <c r="AE64" s="446">
        <f t="shared" si="20"/>
        <v>0</v>
      </c>
      <c r="AF64" s="447">
        <f t="shared" si="20"/>
        <v>0</v>
      </c>
      <c r="AG64" s="447">
        <f t="shared" si="20"/>
        <v>0</v>
      </c>
      <c r="AH64" s="447">
        <f t="shared" si="20"/>
        <v>0</v>
      </c>
      <c r="AI64" s="447">
        <f t="shared" si="20"/>
        <v>0</v>
      </c>
      <c r="AJ64" s="447">
        <f t="shared" si="20"/>
        <v>0</v>
      </c>
      <c r="AK64" s="447">
        <f t="shared" si="20"/>
        <v>0</v>
      </c>
      <c r="AL64" s="447">
        <f t="shared" si="20"/>
        <v>0</v>
      </c>
      <c r="AM64" s="447">
        <f t="shared" si="20"/>
        <v>0</v>
      </c>
      <c r="AN64" s="447">
        <f t="shared" si="20"/>
        <v>0</v>
      </c>
      <c r="AO64" s="246"/>
    </row>
    <row r="65" spans="2:41" ht="12.75">
      <c r="B65" s="237"/>
      <c r="C65" s="246"/>
      <c r="D65" s="412"/>
      <c r="E65" s="412"/>
      <c r="F65" s="239"/>
      <c r="G65" s="444"/>
      <c r="H65" s="239"/>
      <c r="I65" s="239"/>
      <c r="J65" s="246"/>
      <c r="K65" s="248">
        <f t="shared" si="23"/>
        <v>0</v>
      </c>
      <c r="L65" s="256">
        <f t="shared" si="24"/>
        <v>0</v>
      </c>
      <c r="M65" s="76">
        <f t="shared" si="25"/>
        <v>0</v>
      </c>
      <c r="N65" s="445" t="str">
        <f t="shared" si="26"/>
        <v>-</v>
      </c>
      <c r="O65" s="76">
        <f t="shared" si="27"/>
        <v>0</v>
      </c>
      <c r="P65" s="246"/>
      <c r="Q65" s="76">
        <f t="shared" si="14"/>
        <v>0</v>
      </c>
      <c r="R65" s="76">
        <f t="shared" si="15"/>
        <v>0</v>
      </c>
      <c r="S65" s="76">
        <f t="shared" si="16"/>
        <v>0</v>
      </c>
      <c r="T65" s="76">
        <f t="shared" si="22"/>
        <v>0</v>
      </c>
      <c r="U65" s="76">
        <f t="shared" si="22"/>
        <v>0</v>
      </c>
      <c r="V65" s="76">
        <f t="shared" si="22"/>
        <v>0</v>
      </c>
      <c r="W65" s="76">
        <f t="shared" si="22"/>
        <v>0</v>
      </c>
      <c r="X65" s="76">
        <f t="shared" si="22"/>
        <v>0</v>
      </c>
      <c r="Y65" s="76">
        <f t="shared" si="22"/>
        <v>0</v>
      </c>
      <c r="Z65" s="76">
        <f t="shared" si="22"/>
        <v>0</v>
      </c>
      <c r="AA65" s="246"/>
      <c r="AB65" s="241"/>
      <c r="AD65" s="246"/>
      <c r="AE65" s="446">
        <f t="shared" si="20"/>
        <v>0</v>
      </c>
      <c r="AF65" s="447">
        <f t="shared" si="20"/>
        <v>0</v>
      </c>
      <c r="AG65" s="447">
        <f t="shared" si="20"/>
        <v>0</v>
      </c>
      <c r="AH65" s="447">
        <f t="shared" si="20"/>
        <v>0</v>
      </c>
      <c r="AI65" s="447">
        <f t="shared" si="20"/>
        <v>0</v>
      </c>
      <c r="AJ65" s="447">
        <f t="shared" si="20"/>
        <v>0</v>
      </c>
      <c r="AK65" s="447">
        <f t="shared" si="20"/>
        <v>0</v>
      </c>
      <c r="AL65" s="447">
        <f t="shared" si="20"/>
        <v>0</v>
      </c>
      <c r="AM65" s="447">
        <f t="shared" si="20"/>
        <v>0</v>
      </c>
      <c r="AN65" s="447">
        <f t="shared" si="20"/>
        <v>0</v>
      </c>
      <c r="AO65" s="246"/>
    </row>
    <row r="66" spans="2:41" ht="12.75">
      <c r="B66" s="237"/>
      <c r="C66" s="246"/>
      <c r="D66" s="412"/>
      <c r="E66" s="412"/>
      <c r="F66" s="239"/>
      <c r="G66" s="444"/>
      <c r="H66" s="239"/>
      <c r="I66" s="239"/>
      <c r="J66" s="246"/>
      <c r="K66" s="248">
        <f t="shared" si="23"/>
        <v>0</v>
      </c>
      <c r="L66" s="256">
        <f t="shared" si="24"/>
        <v>0</v>
      </c>
      <c r="M66" s="76">
        <f t="shared" si="25"/>
        <v>0</v>
      </c>
      <c r="N66" s="445" t="str">
        <f t="shared" si="26"/>
        <v>-</v>
      </c>
      <c r="O66" s="76">
        <f t="shared" si="27"/>
        <v>0</v>
      </c>
      <c r="P66" s="246"/>
      <c r="Q66" s="76">
        <f t="shared" si="14"/>
        <v>0</v>
      </c>
      <c r="R66" s="76">
        <f t="shared" si="15"/>
        <v>0</v>
      </c>
      <c r="S66" s="76">
        <f t="shared" si="16"/>
        <v>0</v>
      </c>
      <c r="T66" s="76">
        <f t="shared" si="22"/>
        <v>0</v>
      </c>
      <c r="U66" s="76">
        <f t="shared" si="22"/>
        <v>0</v>
      </c>
      <c r="V66" s="76">
        <f t="shared" si="22"/>
        <v>0</v>
      </c>
      <c r="W66" s="76">
        <f t="shared" si="22"/>
        <v>0</v>
      </c>
      <c r="X66" s="76">
        <f t="shared" si="22"/>
        <v>0</v>
      </c>
      <c r="Y66" s="76">
        <f t="shared" si="22"/>
        <v>0</v>
      </c>
      <c r="Z66" s="76">
        <f t="shared" si="22"/>
        <v>0</v>
      </c>
      <c r="AA66" s="246"/>
      <c r="AB66" s="241"/>
      <c r="AD66" s="246"/>
      <c r="AE66" s="446">
        <f t="shared" si="20"/>
        <v>0</v>
      </c>
      <c r="AF66" s="447">
        <f t="shared" si="20"/>
        <v>0</v>
      </c>
      <c r="AG66" s="447">
        <f t="shared" si="20"/>
        <v>0</v>
      </c>
      <c r="AH66" s="447">
        <f t="shared" si="20"/>
        <v>0</v>
      </c>
      <c r="AI66" s="447">
        <f t="shared" si="20"/>
        <v>0</v>
      </c>
      <c r="AJ66" s="447">
        <f t="shared" si="20"/>
        <v>0</v>
      </c>
      <c r="AK66" s="447">
        <f t="shared" si="20"/>
        <v>0</v>
      </c>
      <c r="AL66" s="447">
        <f t="shared" si="20"/>
        <v>0</v>
      </c>
      <c r="AM66" s="447">
        <f t="shared" si="20"/>
        <v>0</v>
      </c>
      <c r="AN66" s="447">
        <f t="shared" si="20"/>
        <v>0</v>
      </c>
      <c r="AO66" s="246"/>
    </row>
    <row r="67" spans="2:41" ht="12.75">
      <c r="B67" s="237"/>
      <c r="C67" s="246"/>
      <c r="D67" s="412"/>
      <c r="E67" s="412"/>
      <c r="F67" s="239"/>
      <c r="G67" s="444"/>
      <c r="H67" s="239"/>
      <c r="I67" s="239"/>
      <c r="J67" s="246"/>
      <c r="K67" s="248">
        <f t="shared" si="23"/>
        <v>0</v>
      </c>
      <c r="L67" s="256">
        <f t="shared" si="24"/>
        <v>0</v>
      </c>
      <c r="M67" s="76">
        <f t="shared" si="25"/>
        <v>0</v>
      </c>
      <c r="N67" s="445" t="str">
        <f t="shared" si="26"/>
        <v>-</v>
      </c>
      <c r="O67" s="76">
        <f t="shared" si="27"/>
        <v>0</v>
      </c>
      <c r="P67" s="246"/>
      <c r="Q67" s="76">
        <f t="shared" si="14"/>
        <v>0</v>
      </c>
      <c r="R67" s="76">
        <f t="shared" si="15"/>
        <v>0</v>
      </c>
      <c r="S67" s="76">
        <f t="shared" si="16"/>
        <v>0</v>
      </c>
      <c r="T67" s="76">
        <f t="shared" si="22"/>
        <v>0</v>
      </c>
      <c r="U67" s="76">
        <f t="shared" si="22"/>
        <v>0</v>
      </c>
      <c r="V67" s="76">
        <f t="shared" si="22"/>
        <v>0</v>
      </c>
      <c r="W67" s="76">
        <f t="shared" si="22"/>
        <v>0</v>
      </c>
      <c r="X67" s="76">
        <f t="shared" si="22"/>
        <v>0</v>
      </c>
      <c r="Y67" s="76">
        <f t="shared" si="22"/>
        <v>0</v>
      </c>
      <c r="Z67" s="76">
        <f t="shared" si="22"/>
        <v>0</v>
      </c>
      <c r="AA67" s="246"/>
      <c r="AB67" s="241"/>
      <c r="AD67" s="246"/>
      <c r="AE67" s="446">
        <f t="shared" si="20"/>
        <v>0</v>
      </c>
      <c r="AF67" s="447">
        <f t="shared" si="20"/>
        <v>0</v>
      </c>
      <c r="AG67" s="447">
        <f t="shared" si="20"/>
        <v>0</v>
      </c>
      <c r="AH67" s="447">
        <f t="shared" si="20"/>
        <v>0</v>
      </c>
      <c r="AI67" s="447">
        <f t="shared" si="20"/>
        <v>0</v>
      </c>
      <c r="AJ67" s="447">
        <f aca="true" t="shared" si="28" ref="AE67:AN74">IF(AJ$10=$H67,($F67*$G67),0)</f>
        <v>0</v>
      </c>
      <c r="AK67" s="447">
        <f t="shared" si="28"/>
        <v>0</v>
      </c>
      <c r="AL67" s="447">
        <f t="shared" si="28"/>
        <v>0</v>
      </c>
      <c r="AM67" s="447">
        <f t="shared" si="28"/>
        <v>0</v>
      </c>
      <c r="AN67" s="447">
        <f t="shared" si="28"/>
        <v>0</v>
      </c>
      <c r="AO67" s="246"/>
    </row>
    <row r="68" spans="2:41" ht="12.75">
      <c r="B68" s="237"/>
      <c r="C68" s="246"/>
      <c r="D68" s="412"/>
      <c r="E68" s="412"/>
      <c r="F68" s="239"/>
      <c r="G68" s="444"/>
      <c r="H68" s="239"/>
      <c r="I68" s="239"/>
      <c r="J68" s="246"/>
      <c r="K68" s="248">
        <f t="shared" si="23"/>
        <v>0</v>
      </c>
      <c r="L68" s="256">
        <f t="shared" si="24"/>
        <v>0</v>
      </c>
      <c r="M68" s="76">
        <f t="shared" si="25"/>
        <v>0</v>
      </c>
      <c r="N68" s="445" t="str">
        <f t="shared" si="26"/>
        <v>-</v>
      </c>
      <c r="O68" s="76">
        <f t="shared" si="27"/>
        <v>0</v>
      </c>
      <c r="P68" s="246"/>
      <c r="Q68" s="76">
        <f t="shared" si="14"/>
        <v>0</v>
      </c>
      <c r="R68" s="76">
        <f t="shared" si="15"/>
        <v>0</v>
      </c>
      <c r="S68" s="76">
        <f t="shared" si="16"/>
        <v>0</v>
      </c>
      <c r="T68" s="76">
        <f t="shared" si="22"/>
        <v>0</v>
      </c>
      <c r="U68" s="76">
        <f t="shared" si="22"/>
        <v>0</v>
      </c>
      <c r="V68" s="76">
        <f t="shared" si="22"/>
        <v>0</v>
      </c>
      <c r="W68" s="76">
        <f t="shared" si="22"/>
        <v>0</v>
      </c>
      <c r="X68" s="76">
        <f t="shared" si="22"/>
        <v>0</v>
      </c>
      <c r="Y68" s="76">
        <f t="shared" si="22"/>
        <v>0</v>
      </c>
      <c r="Z68" s="76">
        <f t="shared" si="22"/>
        <v>0</v>
      </c>
      <c r="AA68" s="246"/>
      <c r="AB68" s="241"/>
      <c r="AD68" s="246"/>
      <c r="AE68" s="446">
        <f t="shared" si="28"/>
        <v>0</v>
      </c>
      <c r="AF68" s="447">
        <f t="shared" si="28"/>
        <v>0</v>
      </c>
      <c r="AG68" s="447">
        <f t="shared" si="28"/>
        <v>0</v>
      </c>
      <c r="AH68" s="447">
        <f t="shared" si="28"/>
        <v>0</v>
      </c>
      <c r="AI68" s="447">
        <f t="shared" si="28"/>
        <v>0</v>
      </c>
      <c r="AJ68" s="447">
        <f t="shared" si="28"/>
        <v>0</v>
      </c>
      <c r="AK68" s="447">
        <f t="shared" si="28"/>
        <v>0</v>
      </c>
      <c r="AL68" s="447">
        <f t="shared" si="28"/>
        <v>0</v>
      </c>
      <c r="AM68" s="447">
        <f t="shared" si="28"/>
        <v>0</v>
      </c>
      <c r="AN68" s="447">
        <f t="shared" si="28"/>
        <v>0</v>
      </c>
      <c r="AO68" s="246"/>
    </row>
    <row r="69" spans="2:41" ht="12.75">
      <c r="B69" s="237"/>
      <c r="C69" s="246"/>
      <c r="D69" s="412"/>
      <c r="E69" s="412"/>
      <c r="F69" s="239"/>
      <c r="G69" s="444"/>
      <c r="H69" s="239"/>
      <c r="I69" s="239"/>
      <c r="J69" s="246"/>
      <c r="K69" s="248">
        <f t="shared" si="23"/>
        <v>0</v>
      </c>
      <c r="L69" s="256">
        <f t="shared" si="24"/>
        <v>0</v>
      </c>
      <c r="M69" s="76">
        <f t="shared" si="25"/>
        <v>0</v>
      </c>
      <c r="N69" s="445" t="str">
        <f t="shared" si="26"/>
        <v>-</v>
      </c>
      <c r="O69" s="76">
        <f t="shared" si="27"/>
        <v>0</v>
      </c>
      <c r="P69" s="246"/>
      <c r="Q69" s="76">
        <f t="shared" si="14"/>
        <v>0</v>
      </c>
      <c r="R69" s="76">
        <f t="shared" si="15"/>
        <v>0</v>
      </c>
      <c r="S69" s="76">
        <f t="shared" si="16"/>
        <v>0</v>
      </c>
      <c r="T69" s="76">
        <f t="shared" si="22"/>
        <v>0</v>
      </c>
      <c r="U69" s="76">
        <f t="shared" si="22"/>
        <v>0</v>
      </c>
      <c r="V69" s="76">
        <f t="shared" si="22"/>
        <v>0</v>
      </c>
      <c r="W69" s="76">
        <f t="shared" si="22"/>
        <v>0</v>
      </c>
      <c r="X69" s="76">
        <f t="shared" si="22"/>
        <v>0</v>
      </c>
      <c r="Y69" s="76">
        <f t="shared" si="22"/>
        <v>0</v>
      </c>
      <c r="Z69" s="76">
        <f t="shared" si="22"/>
        <v>0</v>
      </c>
      <c r="AA69" s="246"/>
      <c r="AB69" s="241"/>
      <c r="AD69" s="246"/>
      <c r="AE69" s="446">
        <f t="shared" si="28"/>
        <v>0</v>
      </c>
      <c r="AF69" s="447">
        <f t="shared" si="28"/>
        <v>0</v>
      </c>
      <c r="AG69" s="447">
        <f t="shared" si="28"/>
        <v>0</v>
      </c>
      <c r="AH69" s="447">
        <f t="shared" si="28"/>
        <v>0</v>
      </c>
      <c r="AI69" s="447">
        <f t="shared" si="28"/>
        <v>0</v>
      </c>
      <c r="AJ69" s="447">
        <f t="shared" si="28"/>
        <v>0</v>
      </c>
      <c r="AK69" s="447">
        <f t="shared" si="28"/>
        <v>0</v>
      </c>
      <c r="AL69" s="447">
        <f t="shared" si="28"/>
        <v>0</v>
      </c>
      <c r="AM69" s="447">
        <f t="shared" si="28"/>
        <v>0</v>
      </c>
      <c r="AN69" s="447">
        <f t="shared" si="28"/>
        <v>0</v>
      </c>
      <c r="AO69" s="246"/>
    </row>
    <row r="70" spans="2:41" ht="12.75">
      <c r="B70" s="237"/>
      <c r="C70" s="246"/>
      <c r="D70" s="412"/>
      <c r="E70" s="412"/>
      <c r="F70" s="239"/>
      <c r="G70" s="444"/>
      <c r="H70" s="239"/>
      <c r="I70" s="239"/>
      <c r="J70" s="246"/>
      <c r="K70" s="248">
        <f t="shared" si="23"/>
        <v>0</v>
      </c>
      <c r="L70" s="256">
        <f t="shared" si="24"/>
        <v>0</v>
      </c>
      <c r="M70" s="76">
        <f t="shared" si="25"/>
        <v>0</v>
      </c>
      <c r="N70" s="445" t="str">
        <f t="shared" si="26"/>
        <v>-</v>
      </c>
      <c r="O70" s="76">
        <f t="shared" si="27"/>
        <v>0</v>
      </c>
      <c r="P70" s="246"/>
      <c r="Q70" s="76">
        <f t="shared" si="14"/>
        <v>0</v>
      </c>
      <c r="R70" s="76">
        <f t="shared" si="15"/>
        <v>0</v>
      </c>
      <c r="S70" s="76">
        <f t="shared" si="16"/>
        <v>0</v>
      </c>
      <c r="T70" s="76">
        <f t="shared" si="22"/>
        <v>0</v>
      </c>
      <c r="U70" s="76">
        <f t="shared" si="22"/>
        <v>0</v>
      </c>
      <c r="V70" s="76">
        <f t="shared" si="22"/>
        <v>0</v>
      </c>
      <c r="W70" s="76">
        <f t="shared" si="22"/>
        <v>0</v>
      </c>
      <c r="X70" s="76">
        <f t="shared" si="22"/>
        <v>0</v>
      </c>
      <c r="Y70" s="76">
        <f t="shared" si="22"/>
        <v>0</v>
      </c>
      <c r="Z70" s="76">
        <f t="shared" si="22"/>
        <v>0</v>
      </c>
      <c r="AA70" s="246"/>
      <c r="AB70" s="241"/>
      <c r="AD70" s="246"/>
      <c r="AE70" s="446">
        <f t="shared" si="28"/>
        <v>0</v>
      </c>
      <c r="AF70" s="447">
        <f t="shared" si="28"/>
        <v>0</v>
      </c>
      <c r="AG70" s="447">
        <f t="shared" si="28"/>
        <v>0</v>
      </c>
      <c r="AH70" s="447">
        <f t="shared" si="28"/>
        <v>0</v>
      </c>
      <c r="AI70" s="447">
        <f t="shared" si="28"/>
        <v>0</v>
      </c>
      <c r="AJ70" s="447">
        <f t="shared" si="28"/>
        <v>0</v>
      </c>
      <c r="AK70" s="447">
        <f t="shared" si="28"/>
        <v>0</v>
      </c>
      <c r="AL70" s="447">
        <f t="shared" si="28"/>
        <v>0</v>
      </c>
      <c r="AM70" s="447">
        <f t="shared" si="28"/>
        <v>0</v>
      </c>
      <c r="AN70" s="447">
        <f t="shared" si="28"/>
        <v>0</v>
      </c>
      <c r="AO70" s="246"/>
    </row>
    <row r="71" spans="2:41" ht="12.75">
      <c r="B71" s="237"/>
      <c r="C71" s="246"/>
      <c r="D71" s="412"/>
      <c r="E71" s="412"/>
      <c r="F71" s="239"/>
      <c r="G71" s="444"/>
      <c r="H71" s="239"/>
      <c r="I71" s="239"/>
      <c r="J71" s="246"/>
      <c r="K71" s="248">
        <f t="shared" si="23"/>
        <v>0</v>
      </c>
      <c r="L71" s="256">
        <f t="shared" si="24"/>
        <v>0</v>
      </c>
      <c r="M71" s="76">
        <f t="shared" si="25"/>
        <v>0</v>
      </c>
      <c r="N71" s="445" t="str">
        <f t="shared" si="26"/>
        <v>-</v>
      </c>
      <c r="O71" s="76">
        <f t="shared" si="27"/>
        <v>0</v>
      </c>
      <c r="P71" s="246"/>
      <c r="Q71" s="76">
        <f t="shared" si="14"/>
        <v>0</v>
      </c>
      <c r="R71" s="76">
        <f t="shared" si="15"/>
        <v>0</v>
      </c>
      <c r="S71" s="76">
        <f t="shared" si="16"/>
        <v>0</v>
      </c>
      <c r="T71" s="76">
        <f t="shared" si="22"/>
        <v>0</v>
      </c>
      <c r="U71" s="76">
        <f t="shared" si="22"/>
        <v>0</v>
      </c>
      <c r="V71" s="76">
        <f t="shared" si="22"/>
        <v>0</v>
      </c>
      <c r="W71" s="76">
        <f t="shared" si="22"/>
        <v>0</v>
      </c>
      <c r="X71" s="76">
        <f t="shared" si="22"/>
        <v>0</v>
      </c>
      <c r="Y71" s="76">
        <f t="shared" si="22"/>
        <v>0</v>
      </c>
      <c r="Z71" s="76">
        <f t="shared" si="22"/>
        <v>0</v>
      </c>
      <c r="AA71" s="246"/>
      <c r="AB71" s="241"/>
      <c r="AD71" s="246"/>
      <c r="AE71" s="446">
        <f t="shared" si="28"/>
        <v>0</v>
      </c>
      <c r="AF71" s="447">
        <f t="shared" si="28"/>
        <v>0</v>
      </c>
      <c r="AG71" s="447">
        <f t="shared" si="28"/>
        <v>0</v>
      </c>
      <c r="AH71" s="447">
        <f t="shared" si="28"/>
        <v>0</v>
      </c>
      <c r="AI71" s="447">
        <f t="shared" si="28"/>
        <v>0</v>
      </c>
      <c r="AJ71" s="447">
        <f t="shared" si="28"/>
        <v>0</v>
      </c>
      <c r="AK71" s="447">
        <f t="shared" si="28"/>
        <v>0</v>
      </c>
      <c r="AL71" s="447">
        <f t="shared" si="28"/>
        <v>0</v>
      </c>
      <c r="AM71" s="447">
        <f t="shared" si="28"/>
        <v>0</v>
      </c>
      <c r="AN71" s="447">
        <f t="shared" si="28"/>
        <v>0</v>
      </c>
      <c r="AO71" s="246"/>
    </row>
    <row r="72" spans="2:41" ht="12.75">
      <c r="B72" s="237"/>
      <c r="C72" s="246"/>
      <c r="D72" s="412"/>
      <c r="E72" s="412"/>
      <c r="F72" s="239"/>
      <c r="G72" s="444"/>
      <c r="H72" s="239"/>
      <c r="I72" s="239"/>
      <c r="J72" s="246"/>
      <c r="K72" s="248">
        <f t="shared" si="23"/>
        <v>0</v>
      </c>
      <c r="L72" s="256">
        <f t="shared" si="24"/>
        <v>0</v>
      </c>
      <c r="M72" s="76">
        <f t="shared" si="25"/>
        <v>0</v>
      </c>
      <c r="N72" s="445" t="str">
        <f t="shared" si="26"/>
        <v>-</v>
      </c>
      <c r="O72" s="76">
        <f t="shared" si="27"/>
        <v>0</v>
      </c>
      <c r="P72" s="246"/>
      <c r="Q72" s="76">
        <f t="shared" si="14"/>
        <v>0</v>
      </c>
      <c r="R72" s="76">
        <f t="shared" si="15"/>
        <v>0</v>
      </c>
      <c r="S72" s="76">
        <f t="shared" si="16"/>
        <v>0</v>
      </c>
      <c r="T72" s="76">
        <f t="shared" si="22"/>
        <v>0</v>
      </c>
      <c r="U72" s="76">
        <f t="shared" si="22"/>
        <v>0</v>
      </c>
      <c r="V72" s="76">
        <f t="shared" si="22"/>
        <v>0</v>
      </c>
      <c r="W72" s="76">
        <f t="shared" si="22"/>
        <v>0</v>
      </c>
      <c r="X72" s="76">
        <f t="shared" si="22"/>
        <v>0</v>
      </c>
      <c r="Y72" s="76">
        <f t="shared" si="22"/>
        <v>0</v>
      </c>
      <c r="Z72" s="76">
        <f t="shared" si="22"/>
        <v>0</v>
      </c>
      <c r="AA72" s="246"/>
      <c r="AB72" s="241"/>
      <c r="AD72" s="246"/>
      <c r="AE72" s="446">
        <f t="shared" si="28"/>
        <v>0</v>
      </c>
      <c r="AF72" s="447">
        <f t="shared" si="28"/>
        <v>0</v>
      </c>
      <c r="AG72" s="447">
        <f t="shared" si="28"/>
        <v>0</v>
      </c>
      <c r="AH72" s="447">
        <f t="shared" si="28"/>
        <v>0</v>
      </c>
      <c r="AI72" s="447">
        <f t="shared" si="28"/>
        <v>0</v>
      </c>
      <c r="AJ72" s="447">
        <f t="shared" si="28"/>
        <v>0</v>
      </c>
      <c r="AK72" s="447">
        <f t="shared" si="28"/>
        <v>0</v>
      </c>
      <c r="AL72" s="447">
        <f t="shared" si="28"/>
        <v>0</v>
      </c>
      <c r="AM72" s="447">
        <f t="shared" si="28"/>
        <v>0</v>
      </c>
      <c r="AN72" s="447">
        <f t="shared" si="28"/>
        <v>0</v>
      </c>
      <c r="AO72" s="246"/>
    </row>
    <row r="73" spans="2:41" ht="12.75">
      <c r="B73" s="237"/>
      <c r="C73" s="246"/>
      <c r="D73" s="412"/>
      <c r="E73" s="412"/>
      <c r="F73" s="239"/>
      <c r="G73" s="444"/>
      <c r="H73" s="239"/>
      <c r="I73" s="239"/>
      <c r="J73" s="246"/>
      <c r="K73" s="248">
        <f t="shared" si="23"/>
        <v>0</v>
      </c>
      <c r="L73" s="256">
        <f t="shared" si="24"/>
        <v>0</v>
      </c>
      <c r="M73" s="76">
        <f t="shared" si="25"/>
        <v>0</v>
      </c>
      <c r="N73" s="445" t="str">
        <f t="shared" si="26"/>
        <v>-</v>
      </c>
      <c r="O73" s="76">
        <f t="shared" si="27"/>
        <v>0</v>
      </c>
      <c r="P73" s="246"/>
      <c r="Q73" s="76">
        <f t="shared" si="14"/>
        <v>0</v>
      </c>
      <c r="R73" s="76">
        <f t="shared" si="15"/>
        <v>0</v>
      </c>
      <c r="S73" s="76">
        <f t="shared" si="16"/>
        <v>0</v>
      </c>
      <c r="T73" s="76">
        <f t="shared" si="22"/>
        <v>0</v>
      </c>
      <c r="U73" s="76">
        <f t="shared" si="22"/>
        <v>0</v>
      </c>
      <c r="V73" s="76">
        <f t="shared" si="22"/>
        <v>0</v>
      </c>
      <c r="W73" s="76">
        <f t="shared" si="22"/>
        <v>0</v>
      </c>
      <c r="X73" s="76">
        <f t="shared" si="22"/>
        <v>0</v>
      </c>
      <c r="Y73" s="76">
        <f t="shared" si="22"/>
        <v>0</v>
      </c>
      <c r="Z73" s="76">
        <f t="shared" si="22"/>
        <v>0</v>
      </c>
      <c r="AA73" s="246"/>
      <c r="AB73" s="241"/>
      <c r="AD73" s="246"/>
      <c r="AE73" s="446">
        <f t="shared" si="28"/>
        <v>0</v>
      </c>
      <c r="AF73" s="447">
        <f t="shared" si="28"/>
        <v>0</v>
      </c>
      <c r="AG73" s="447">
        <f t="shared" si="28"/>
        <v>0</v>
      </c>
      <c r="AH73" s="447">
        <f t="shared" si="28"/>
        <v>0</v>
      </c>
      <c r="AI73" s="447">
        <f t="shared" si="28"/>
        <v>0</v>
      </c>
      <c r="AJ73" s="447">
        <f t="shared" si="28"/>
        <v>0</v>
      </c>
      <c r="AK73" s="447">
        <f t="shared" si="28"/>
        <v>0</v>
      </c>
      <c r="AL73" s="447">
        <f t="shared" si="28"/>
        <v>0</v>
      </c>
      <c r="AM73" s="447">
        <f t="shared" si="28"/>
        <v>0</v>
      </c>
      <c r="AN73" s="447">
        <f t="shared" si="28"/>
        <v>0</v>
      </c>
      <c r="AO73" s="246"/>
    </row>
    <row r="74" spans="2:41" ht="12.75">
      <c r="B74" s="237"/>
      <c r="C74" s="246"/>
      <c r="D74" s="412"/>
      <c r="E74" s="412"/>
      <c r="F74" s="239"/>
      <c r="G74" s="444"/>
      <c r="H74" s="239"/>
      <c r="I74" s="239"/>
      <c r="J74" s="246"/>
      <c r="K74" s="248">
        <f t="shared" si="23"/>
        <v>0</v>
      </c>
      <c r="L74" s="256">
        <f t="shared" si="24"/>
        <v>0</v>
      </c>
      <c r="M74" s="76">
        <f t="shared" si="25"/>
        <v>0</v>
      </c>
      <c r="N74" s="445" t="str">
        <f t="shared" si="26"/>
        <v>-</v>
      </c>
      <c r="O74" s="76">
        <f t="shared" si="27"/>
        <v>0</v>
      </c>
      <c r="P74" s="246"/>
      <c r="Q74" s="76">
        <f t="shared" si="14"/>
        <v>0</v>
      </c>
      <c r="R74" s="76">
        <f t="shared" si="15"/>
        <v>0</v>
      </c>
      <c r="S74" s="76">
        <f t="shared" si="16"/>
        <v>0</v>
      </c>
      <c r="T74" s="76">
        <f t="shared" si="22"/>
        <v>0</v>
      </c>
      <c r="U74" s="76">
        <f t="shared" si="22"/>
        <v>0</v>
      </c>
      <c r="V74" s="76">
        <f t="shared" si="22"/>
        <v>0</v>
      </c>
      <c r="W74" s="76">
        <f t="shared" si="22"/>
        <v>0</v>
      </c>
      <c r="X74" s="76">
        <f t="shared" si="22"/>
        <v>0</v>
      </c>
      <c r="Y74" s="76">
        <f t="shared" si="22"/>
        <v>0</v>
      </c>
      <c r="Z74" s="76">
        <f t="shared" si="22"/>
        <v>0</v>
      </c>
      <c r="AA74" s="246"/>
      <c r="AB74" s="241"/>
      <c r="AD74" s="246"/>
      <c r="AE74" s="446">
        <f t="shared" si="28"/>
        <v>0</v>
      </c>
      <c r="AF74" s="447">
        <f t="shared" si="28"/>
        <v>0</v>
      </c>
      <c r="AG74" s="447">
        <f t="shared" si="28"/>
        <v>0</v>
      </c>
      <c r="AH74" s="447">
        <f t="shared" si="28"/>
        <v>0</v>
      </c>
      <c r="AI74" s="447">
        <f t="shared" si="28"/>
        <v>0</v>
      </c>
      <c r="AJ74" s="447">
        <f t="shared" si="28"/>
        <v>0</v>
      </c>
      <c r="AK74" s="447">
        <f t="shared" si="28"/>
        <v>0</v>
      </c>
      <c r="AL74" s="447">
        <f t="shared" si="28"/>
        <v>0</v>
      </c>
      <c r="AM74" s="447">
        <f t="shared" si="28"/>
        <v>0</v>
      </c>
      <c r="AN74" s="447">
        <f t="shared" si="28"/>
        <v>0</v>
      </c>
      <c r="AO74" s="246"/>
    </row>
    <row r="75" spans="2:41" ht="12.75">
      <c r="B75" s="237"/>
      <c r="C75" s="246"/>
      <c r="D75" s="412"/>
      <c r="E75" s="412"/>
      <c r="F75" s="239"/>
      <c r="G75" s="444"/>
      <c r="H75" s="239"/>
      <c r="I75" s="239"/>
      <c r="J75" s="246"/>
      <c r="K75" s="248">
        <f t="shared" si="17"/>
        <v>0</v>
      </c>
      <c r="L75" s="256">
        <f t="shared" si="5"/>
        <v>0</v>
      </c>
      <c r="M75" s="76">
        <f t="shared" si="6"/>
        <v>0</v>
      </c>
      <c r="N75" s="445" t="str">
        <f t="shared" si="7"/>
        <v>-</v>
      </c>
      <c r="O75" s="76">
        <f aca="true" t="shared" si="29" ref="O75:O88">IF(I75="geen",IF(H75&lt;$Q$10,F75*G75,0),IF(H75&gt;=$Q$10,0,IF((G75*F75-(Q$10-H75)*M75)&lt;0,0,G75*F75-(Q$10-H75)*M75)))</f>
        <v>0</v>
      </c>
      <c r="P75" s="246"/>
      <c r="Q75" s="76">
        <f t="shared" si="14"/>
        <v>0</v>
      </c>
      <c r="R75" s="76">
        <f t="shared" si="15"/>
        <v>0</v>
      </c>
      <c r="S75" s="76">
        <f t="shared" si="16"/>
        <v>0</v>
      </c>
      <c r="T75" s="76">
        <f t="shared" si="22"/>
        <v>0</v>
      </c>
      <c r="U75" s="76">
        <f t="shared" si="22"/>
        <v>0</v>
      </c>
      <c r="V75" s="76">
        <f t="shared" si="22"/>
        <v>0</v>
      </c>
      <c r="W75" s="76">
        <f t="shared" si="22"/>
        <v>0</v>
      </c>
      <c r="X75" s="76">
        <f t="shared" si="22"/>
        <v>0</v>
      </c>
      <c r="Y75" s="76">
        <f t="shared" si="22"/>
        <v>0</v>
      </c>
      <c r="Z75" s="76">
        <f t="shared" si="22"/>
        <v>0</v>
      </c>
      <c r="AA75" s="246"/>
      <c r="AB75" s="241"/>
      <c r="AD75" s="246"/>
      <c r="AE75" s="446">
        <f t="shared" si="20"/>
        <v>0</v>
      </c>
      <c r="AF75" s="447">
        <f t="shared" si="20"/>
        <v>0</v>
      </c>
      <c r="AG75" s="447">
        <f t="shared" si="20"/>
        <v>0</v>
      </c>
      <c r="AH75" s="447">
        <f t="shared" si="20"/>
        <v>0</v>
      </c>
      <c r="AI75" s="447">
        <f t="shared" si="20"/>
        <v>0</v>
      </c>
      <c r="AJ75" s="447">
        <f t="shared" si="20"/>
        <v>0</v>
      </c>
      <c r="AK75" s="447">
        <f t="shared" si="20"/>
        <v>0</v>
      </c>
      <c r="AL75" s="447">
        <f t="shared" si="20"/>
        <v>0</v>
      </c>
      <c r="AM75" s="447">
        <f t="shared" si="20"/>
        <v>0</v>
      </c>
      <c r="AN75" s="447">
        <f t="shared" si="20"/>
        <v>0</v>
      </c>
      <c r="AO75" s="246"/>
    </row>
    <row r="76" spans="2:41" ht="12.75">
      <c r="B76" s="237"/>
      <c r="C76" s="246"/>
      <c r="D76" s="412"/>
      <c r="E76" s="412"/>
      <c r="F76" s="239"/>
      <c r="G76" s="444"/>
      <c r="H76" s="239"/>
      <c r="I76" s="239"/>
      <c r="J76" s="246"/>
      <c r="K76" s="248">
        <f t="shared" si="17"/>
        <v>0</v>
      </c>
      <c r="L76" s="256">
        <f t="shared" si="5"/>
        <v>0</v>
      </c>
      <c r="M76" s="76">
        <f t="shared" si="6"/>
        <v>0</v>
      </c>
      <c r="N76" s="445" t="str">
        <f t="shared" si="7"/>
        <v>-</v>
      </c>
      <c r="O76" s="76">
        <f t="shared" si="29"/>
        <v>0</v>
      </c>
      <c r="P76" s="246"/>
      <c r="Q76" s="76">
        <f t="shared" si="14"/>
        <v>0</v>
      </c>
      <c r="R76" s="76">
        <f t="shared" si="15"/>
        <v>0</v>
      </c>
      <c r="S76" s="76">
        <f t="shared" si="16"/>
        <v>0</v>
      </c>
      <c r="T76" s="76">
        <f t="shared" si="22"/>
        <v>0</v>
      </c>
      <c r="U76" s="76">
        <f t="shared" si="22"/>
        <v>0</v>
      </c>
      <c r="V76" s="76">
        <f t="shared" si="22"/>
        <v>0</v>
      </c>
      <c r="W76" s="76">
        <f t="shared" si="22"/>
        <v>0</v>
      </c>
      <c r="X76" s="76">
        <f t="shared" si="22"/>
        <v>0</v>
      </c>
      <c r="Y76" s="76">
        <f t="shared" si="22"/>
        <v>0</v>
      </c>
      <c r="Z76" s="76">
        <f t="shared" si="22"/>
        <v>0</v>
      </c>
      <c r="AA76" s="246"/>
      <c r="AB76" s="241"/>
      <c r="AD76" s="246"/>
      <c r="AE76" s="446">
        <f aca="true" t="shared" si="30" ref="AE76:AN88">IF(AE$10=$H76,($F76*$G76),0)</f>
        <v>0</v>
      </c>
      <c r="AF76" s="447">
        <f t="shared" si="30"/>
        <v>0</v>
      </c>
      <c r="AG76" s="447">
        <f t="shared" si="30"/>
        <v>0</v>
      </c>
      <c r="AH76" s="447">
        <f t="shared" si="30"/>
        <v>0</v>
      </c>
      <c r="AI76" s="447">
        <f t="shared" si="30"/>
        <v>0</v>
      </c>
      <c r="AJ76" s="447">
        <f t="shared" si="30"/>
        <v>0</v>
      </c>
      <c r="AK76" s="447">
        <f t="shared" si="30"/>
        <v>0</v>
      </c>
      <c r="AL76" s="447">
        <f t="shared" si="30"/>
        <v>0</v>
      </c>
      <c r="AM76" s="447">
        <f t="shared" si="30"/>
        <v>0</v>
      </c>
      <c r="AN76" s="447">
        <f t="shared" si="30"/>
        <v>0</v>
      </c>
      <c r="AO76" s="246"/>
    </row>
    <row r="77" spans="2:41" ht="12.75">
      <c r="B77" s="237"/>
      <c r="C77" s="246"/>
      <c r="D77" s="412"/>
      <c r="E77" s="412"/>
      <c r="F77" s="239"/>
      <c r="G77" s="444"/>
      <c r="H77" s="239"/>
      <c r="I77" s="239"/>
      <c r="J77" s="246"/>
      <c r="K77" s="248">
        <f t="shared" si="17"/>
        <v>0</v>
      </c>
      <c r="L77" s="256">
        <f t="shared" si="5"/>
        <v>0</v>
      </c>
      <c r="M77" s="76">
        <f t="shared" si="6"/>
        <v>0</v>
      </c>
      <c r="N77" s="445" t="str">
        <f t="shared" si="7"/>
        <v>-</v>
      </c>
      <c r="O77" s="76">
        <f t="shared" si="29"/>
        <v>0</v>
      </c>
      <c r="P77" s="246"/>
      <c r="Q77" s="76">
        <f t="shared" si="14"/>
        <v>0</v>
      </c>
      <c r="R77" s="76">
        <f t="shared" si="15"/>
        <v>0</v>
      </c>
      <c r="S77" s="76">
        <f t="shared" si="16"/>
        <v>0</v>
      </c>
      <c r="T77" s="76">
        <f t="shared" si="22"/>
        <v>0</v>
      </c>
      <c r="U77" s="76">
        <f t="shared" si="22"/>
        <v>0</v>
      </c>
      <c r="V77" s="76">
        <f t="shared" si="22"/>
        <v>0</v>
      </c>
      <c r="W77" s="76">
        <f t="shared" si="22"/>
        <v>0</v>
      </c>
      <c r="X77" s="76">
        <f t="shared" si="22"/>
        <v>0</v>
      </c>
      <c r="Y77" s="76">
        <f t="shared" si="22"/>
        <v>0</v>
      </c>
      <c r="Z77" s="76">
        <f t="shared" si="22"/>
        <v>0</v>
      </c>
      <c r="AA77" s="246"/>
      <c r="AB77" s="241"/>
      <c r="AD77" s="246"/>
      <c r="AE77" s="446">
        <f t="shared" si="30"/>
        <v>0</v>
      </c>
      <c r="AF77" s="447">
        <f t="shared" si="30"/>
        <v>0</v>
      </c>
      <c r="AG77" s="447">
        <f t="shared" si="30"/>
        <v>0</v>
      </c>
      <c r="AH77" s="447">
        <f t="shared" si="30"/>
        <v>0</v>
      </c>
      <c r="AI77" s="447">
        <f t="shared" si="30"/>
        <v>0</v>
      </c>
      <c r="AJ77" s="447">
        <f t="shared" si="30"/>
        <v>0</v>
      </c>
      <c r="AK77" s="447">
        <f t="shared" si="30"/>
        <v>0</v>
      </c>
      <c r="AL77" s="447">
        <f t="shared" si="30"/>
        <v>0</v>
      </c>
      <c r="AM77" s="447">
        <f t="shared" si="30"/>
        <v>0</v>
      </c>
      <c r="AN77" s="447">
        <f t="shared" si="30"/>
        <v>0</v>
      </c>
      <c r="AO77" s="246"/>
    </row>
    <row r="78" spans="2:41" ht="12.75">
      <c r="B78" s="237"/>
      <c r="C78" s="246"/>
      <c r="D78" s="412"/>
      <c r="E78" s="412"/>
      <c r="F78" s="239"/>
      <c r="G78" s="444"/>
      <c r="H78" s="239"/>
      <c r="I78" s="239"/>
      <c r="J78" s="246"/>
      <c r="K78" s="248">
        <f t="shared" si="17"/>
        <v>0</v>
      </c>
      <c r="L78" s="256">
        <f t="shared" si="5"/>
        <v>0</v>
      </c>
      <c r="M78" s="76">
        <f t="shared" si="6"/>
        <v>0</v>
      </c>
      <c r="N78" s="445" t="str">
        <f t="shared" si="7"/>
        <v>-</v>
      </c>
      <c r="O78" s="76">
        <f t="shared" si="29"/>
        <v>0</v>
      </c>
      <c r="P78" s="246"/>
      <c r="Q78" s="76">
        <f t="shared" si="14"/>
        <v>0</v>
      </c>
      <c r="R78" s="76">
        <f t="shared" si="15"/>
        <v>0</v>
      </c>
      <c r="S78" s="76">
        <f t="shared" si="16"/>
        <v>0</v>
      </c>
      <c r="T78" s="76">
        <f t="shared" si="22"/>
        <v>0</v>
      </c>
      <c r="U78" s="76">
        <f t="shared" si="22"/>
        <v>0</v>
      </c>
      <c r="V78" s="76">
        <f t="shared" si="22"/>
        <v>0</v>
      </c>
      <c r="W78" s="76">
        <f t="shared" si="22"/>
        <v>0</v>
      </c>
      <c r="X78" s="76">
        <f t="shared" si="22"/>
        <v>0</v>
      </c>
      <c r="Y78" s="76">
        <f t="shared" si="22"/>
        <v>0</v>
      </c>
      <c r="Z78" s="76">
        <f t="shared" si="22"/>
        <v>0</v>
      </c>
      <c r="AA78" s="246"/>
      <c r="AB78" s="241"/>
      <c r="AD78" s="246"/>
      <c r="AE78" s="446">
        <f t="shared" si="30"/>
        <v>0</v>
      </c>
      <c r="AF78" s="447">
        <f t="shared" si="30"/>
        <v>0</v>
      </c>
      <c r="AG78" s="447">
        <f t="shared" si="30"/>
        <v>0</v>
      </c>
      <c r="AH78" s="447">
        <f t="shared" si="30"/>
        <v>0</v>
      </c>
      <c r="AI78" s="447">
        <f t="shared" si="30"/>
        <v>0</v>
      </c>
      <c r="AJ78" s="447">
        <f t="shared" si="30"/>
        <v>0</v>
      </c>
      <c r="AK78" s="447">
        <f t="shared" si="30"/>
        <v>0</v>
      </c>
      <c r="AL78" s="447">
        <f t="shared" si="30"/>
        <v>0</v>
      </c>
      <c r="AM78" s="447">
        <f t="shared" si="30"/>
        <v>0</v>
      </c>
      <c r="AN78" s="447">
        <f t="shared" si="30"/>
        <v>0</v>
      </c>
      <c r="AO78" s="246"/>
    </row>
    <row r="79" spans="2:41" ht="12.75">
      <c r="B79" s="237"/>
      <c r="C79" s="246"/>
      <c r="D79" s="412"/>
      <c r="E79" s="412"/>
      <c r="F79" s="239"/>
      <c r="G79" s="444"/>
      <c r="H79" s="239"/>
      <c r="I79" s="239"/>
      <c r="J79" s="246"/>
      <c r="K79" s="248">
        <f t="shared" si="17"/>
        <v>0</v>
      </c>
      <c r="L79" s="256">
        <f t="shared" si="5"/>
        <v>0</v>
      </c>
      <c r="M79" s="76">
        <f t="shared" si="6"/>
        <v>0</v>
      </c>
      <c r="N79" s="445" t="str">
        <f t="shared" si="7"/>
        <v>-</v>
      </c>
      <c r="O79" s="76">
        <f t="shared" si="29"/>
        <v>0</v>
      </c>
      <c r="P79" s="246"/>
      <c r="Q79" s="76">
        <f t="shared" si="14"/>
        <v>0</v>
      </c>
      <c r="R79" s="76">
        <f t="shared" si="15"/>
        <v>0</v>
      </c>
      <c r="S79" s="76">
        <f t="shared" si="16"/>
        <v>0</v>
      </c>
      <c r="T79" s="76">
        <f t="shared" si="22"/>
        <v>0</v>
      </c>
      <c r="U79" s="76">
        <f t="shared" si="22"/>
        <v>0</v>
      </c>
      <c r="V79" s="76">
        <f t="shared" si="22"/>
        <v>0</v>
      </c>
      <c r="W79" s="76">
        <f t="shared" si="22"/>
        <v>0</v>
      </c>
      <c r="X79" s="76">
        <f t="shared" si="22"/>
        <v>0</v>
      </c>
      <c r="Y79" s="76">
        <f t="shared" si="22"/>
        <v>0</v>
      </c>
      <c r="Z79" s="76">
        <f t="shared" si="22"/>
        <v>0</v>
      </c>
      <c r="AA79" s="246"/>
      <c r="AB79" s="241"/>
      <c r="AD79" s="246"/>
      <c r="AE79" s="446">
        <f t="shared" si="30"/>
        <v>0</v>
      </c>
      <c r="AF79" s="447">
        <f t="shared" si="30"/>
        <v>0</v>
      </c>
      <c r="AG79" s="447">
        <f t="shared" si="30"/>
        <v>0</v>
      </c>
      <c r="AH79" s="447">
        <f t="shared" si="30"/>
        <v>0</v>
      </c>
      <c r="AI79" s="447">
        <f t="shared" si="30"/>
        <v>0</v>
      </c>
      <c r="AJ79" s="447">
        <f t="shared" si="30"/>
        <v>0</v>
      </c>
      <c r="AK79" s="447">
        <f t="shared" si="30"/>
        <v>0</v>
      </c>
      <c r="AL79" s="447">
        <f t="shared" si="30"/>
        <v>0</v>
      </c>
      <c r="AM79" s="447">
        <f t="shared" si="30"/>
        <v>0</v>
      </c>
      <c r="AN79" s="447">
        <f t="shared" si="30"/>
        <v>0</v>
      </c>
      <c r="AO79" s="246"/>
    </row>
    <row r="80" spans="2:41" ht="12.75">
      <c r="B80" s="237"/>
      <c r="C80" s="246"/>
      <c r="D80" s="412"/>
      <c r="E80" s="412"/>
      <c r="F80" s="239"/>
      <c r="G80" s="444"/>
      <c r="H80" s="239"/>
      <c r="I80" s="239"/>
      <c r="J80" s="246"/>
      <c r="K80" s="248">
        <f t="shared" si="17"/>
        <v>0</v>
      </c>
      <c r="L80" s="256">
        <f t="shared" si="5"/>
        <v>0</v>
      </c>
      <c r="M80" s="76">
        <f t="shared" si="6"/>
        <v>0</v>
      </c>
      <c r="N80" s="445" t="str">
        <f t="shared" si="7"/>
        <v>-</v>
      </c>
      <c r="O80" s="76">
        <f t="shared" si="29"/>
        <v>0</v>
      </c>
      <c r="P80" s="246"/>
      <c r="Q80" s="76">
        <f t="shared" si="14"/>
        <v>0</v>
      </c>
      <c r="R80" s="76">
        <f t="shared" si="15"/>
        <v>0</v>
      </c>
      <c r="S80" s="76">
        <f t="shared" si="16"/>
        <v>0</v>
      </c>
      <c r="T80" s="76">
        <f t="shared" si="22"/>
        <v>0</v>
      </c>
      <c r="U80" s="76">
        <f t="shared" si="22"/>
        <v>0</v>
      </c>
      <c r="V80" s="76">
        <f t="shared" si="22"/>
        <v>0</v>
      </c>
      <c r="W80" s="76">
        <f t="shared" si="22"/>
        <v>0</v>
      </c>
      <c r="X80" s="76">
        <f t="shared" si="22"/>
        <v>0</v>
      </c>
      <c r="Y80" s="76">
        <f t="shared" si="22"/>
        <v>0</v>
      </c>
      <c r="Z80" s="76">
        <f t="shared" si="22"/>
        <v>0</v>
      </c>
      <c r="AA80" s="246"/>
      <c r="AB80" s="241"/>
      <c r="AD80" s="246"/>
      <c r="AE80" s="446">
        <f t="shared" si="30"/>
        <v>0</v>
      </c>
      <c r="AF80" s="447">
        <f t="shared" si="30"/>
        <v>0</v>
      </c>
      <c r="AG80" s="447">
        <f t="shared" si="30"/>
        <v>0</v>
      </c>
      <c r="AH80" s="447">
        <f t="shared" si="30"/>
        <v>0</v>
      </c>
      <c r="AI80" s="447">
        <f t="shared" si="30"/>
        <v>0</v>
      </c>
      <c r="AJ80" s="447">
        <f t="shared" si="30"/>
        <v>0</v>
      </c>
      <c r="AK80" s="447">
        <f t="shared" si="30"/>
        <v>0</v>
      </c>
      <c r="AL80" s="447">
        <f t="shared" si="30"/>
        <v>0</v>
      </c>
      <c r="AM80" s="447">
        <f t="shared" si="30"/>
        <v>0</v>
      </c>
      <c r="AN80" s="447">
        <f t="shared" si="30"/>
        <v>0</v>
      </c>
      <c r="AO80" s="246"/>
    </row>
    <row r="81" spans="2:41" ht="12.75">
      <c r="B81" s="237"/>
      <c r="C81" s="246"/>
      <c r="D81" s="412"/>
      <c r="E81" s="412"/>
      <c r="F81" s="239"/>
      <c r="G81" s="444"/>
      <c r="H81" s="239"/>
      <c r="I81" s="239"/>
      <c r="J81" s="246"/>
      <c r="K81" s="248">
        <f t="shared" si="17"/>
        <v>0</v>
      </c>
      <c r="L81" s="256">
        <f t="shared" si="5"/>
        <v>0</v>
      </c>
      <c r="M81" s="76">
        <f t="shared" si="6"/>
        <v>0</v>
      </c>
      <c r="N81" s="445" t="str">
        <f t="shared" si="7"/>
        <v>-</v>
      </c>
      <c r="O81" s="76">
        <f t="shared" si="29"/>
        <v>0</v>
      </c>
      <c r="P81" s="246"/>
      <c r="Q81" s="76">
        <f t="shared" si="14"/>
        <v>0</v>
      </c>
      <c r="R81" s="76">
        <f t="shared" si="15"/>
        <v>0</v>
      </c>
      <c r="S81" s="76">
        <f t="shared" si="16"/>
        <v>0</v>
      </c>
      <c r="T81" s="76">
        <f t="shared" si="22"/>
        <v>0</v>
      </c>
      <c r="U81" s="76">
        <f t="shared" si="22"/>
        <v>0</v>
      </c>
      <c r="V81" s="76">
        <f t="shared" si="22"/>
        <v>0</v>
      </c>
      <c r="W81" s="76">
        <f t="shared" si="22"/>
        <v>0</v>
      </c>
      <c r="X81" s="76">
        <f t="shared" si="22"/>
        <v>0</v>
      </c>
      <c r="Y81" s="76">
        <f t="shared" si="22"/>
        <v>0</v>
      </c>
      <c r="Z81" s="76">
        <f t="shared" si="22"/>
        <v>0</v>
      </c>
      <c r="AA81" s="246"/>
      <c r="AB81" s="241"/>
      <c r="AD81" s="246"/>
      <c r="AE81" s="446">
        <f t="shared" si="30"/>
        <v>0</v>
      </c>
      <c r="AF81" s="447">
        <f t="shared" si="30"/>
        <v>0</v>
      </c>
      <c r="AG81" s="447">
        <f t="shared" si="30"/>
        <v>0</v>
      </c>
      <c r="AH81" s="447">
        <f t="shared" si="30"/>
        <v>0</v>
      </c>
      <c r="AI81" s="447">
        <f t="shared" si="30"/>
        <v>0</v>
      </c>
      <c r="AJ81" s="447">
        <f t="shared" si="30"/>
        <v>0</v>
      </c>
      <c r="AK81" s="447">
        <f t="shared" si="30"/>
        <v>0</v>
      </c>
      <c r="AL81" s="447">
        <f t="shared" si="30"/>
        <v>0</v>
      </c>
      <c r="AM81" s="447">
        <f t="shared" si="30"/>
        <v>0</v>
      </c>
      <c r="AN81" s="447">
        <f t="shared" si="30"/>
        <v>0</v>
      </c>
      <c r="AO81" s="246"/>
    </row>
    <row r="82" spans="2:41" ht="12.75">
      <c r="B82" s="237"/>
      <c r="C82" s="246"/>
      <c r="D82" s="412"/>
      <c r="E82" s="412"/>
      <c r="F82" s="239"/>
      <c r="G82" s="444"/>
      <c r="H82" s="239"/>
      <c r="I82" s="239"/>
      <c r="J82" s="246"/>
      <c r="K82" s="248">
        <f t="shared" si="17"/>
        <v>0</v>
      </c>
      <c r="L82" s="256">
        <f t="shared" si="5"/>
        <v>0</v>
      </c>
      <c r="M82" s="76">
        <f t="shared" si="6"/>
        <v>0</v>
      </c>
      <c r="N82" s="445" t="str">
        <f t="shared" si="7"/>
        <v>-</v>
      </c>
      <c r="O82" s="76">
        <f t="shared" si="29"/>
        <v>0</v>
      </c>
      <c r="P82" s="246"/>
      <c r="Q82" s="76">
        <f t="shared" si="14"/>
        <v>0</v>
      </c>
      <c r="R82" s="76">
        <f t="shared" si="15"/>
        <v>0</v>
      </c>
      <c r="S82" s="76">
        <f t="shared" si="16"/>
        <v>0</v>
      </c>
      <c r="T82" s="76">
        <f t="shared" si="22"/>
        <v>0</v>
      </c>
      <c r="U82" s="76">
        <f t="shared" si="22"/>
        <v>0</v>
      </c>
      <c r="V82" s="76">
        <f t="shared" si="22"/>
        <v>0</v>
      </c>
      <c r="W82" s="76">
        <f t="shared" si="22"/>
        <v>0</v>
      </c>
      <c r="X82" s="76">
        <f t="shared" si="22"/>
        <v>0</v>
      </c>
      <c r="Y82" s="76">
        <f t="shared" si="22"/>
        <v>0</v>
      </c>
      <c r="Z82" s="76">
        <f t="shared" si="22"/>
        <v>0</v>
      </c>
      <c r="AA82" s="246"/>
      <c r="AB82" s="241"/>
      <c r="AD82" s="246"/>
      <c r="AE82" s="446">
        <f t="shared" si="30"/>
        <v>0</v>
      </c>
      <c r="AF82" s="447">
        <f t="shared" si="30"/>
        <v>0</v>
      </c>
      <c r="AG82" s="447">
        <f t="shared" si="30"/>
        <v>0</v>
      </c>
      <c r="AH82" s="447">
        <f t="shared" si="30"/>
        <v>0</v>
      </c>
      <c r="AI82" s="447">
        <f t="shared" si="30"/>
        <v>0</v>
      </c>
      <c r="AJ82" s="447">
        <f t="shared" si="30"/>
        <v>0</v>
      </c>
      <c r="AK82" s="447">
        <f t="shared" si="30"/>
        <v>0</v>
      </c>
      <c r="AL82" s="447">
        <f t="shared" si="30"/>
        <v>0</v>
      </c>
      <c r="AM82" s="447">
        <f t="shared" si="30"/>
        <v>0</v>
      </c>
      <c r="AN82" s="447">
        <f t="shared" si="30"/>
        <v>0</v>
      </c>
      <c r="AO82" s="246"/>
    </row>
    <row r="83" spans="2:41" ht="12.75">
      <c r="B83" s="237"/>
      <c r="C83" s="246"/>
      <c r="D83" s="412"/>
      <c r="E83" s="412"/>
      <c r="F83" s="239"/>
      <c r="G83" s="444"/>
      <c r="H83" s="239"/>
      <c r="I83" s="239"/>
      <c r="J83" s="246"/>
      <c r="K83" s="248">
        <f t="shared" si="17"/>
        <v>0</v>
      </c>
      <c r="L83" s="256">
        <f t="shared" si="5"/>
        <v>0</v>
      </c>
      <c r="M83" s="76">
        <f t="shared" si="6"/>
        <v>0</v>
      </c>
      <c r="N83" s="445" t="str">
        <f t="shared" si="7"/>
        <v>-</v>
      </c>
      <c r="O83" s="76">
        <f t="shared" si="29"/>
        <v>0</v>
      </c>
      <c r="P83" s="246"/>
      <c r="Q83" s="76">
        <f t="shared" si="14"/>
        <v>0</v>
      </c>
      <c r="R83" s="76">
        <f t="shared" si="15"/>
        <v>0</v>
      </c>
      <c r="S83" s="76">
        <f t="shared" si="16"/>
        <v>0</v>
      </c>
      <c r="T83" s="76">
        <f t="shared" si="22"/>
        <v>0</v>
      </c>
      <c r="U83" s="76">
        <f t="shared" si="22"/>
        <v>0</v>
      </c>
      <c r="V83" s="76">
        <f t="shared" si="22"/>
        <v>0</v>
      </c>
      <c r="W83" s="76">
        <f t="shared" si="22"/>
        <v>0</v>
      </c>
      <c r="X83" s="76">
        <f t="shared" si="22"/>
        <v>0</v>
      </c>
      <c r="Y83" s="76">
        <f t="shared" si="22"/>
        <v>0</v>
      </c>
      <c r="Z83" s="76">
        <f t="shared" si="22"/>
        <v>0</v>
      </c>
      <c r="AA83" s="246"/>
      <c r="AB83" s="241"/>
      <c r="AD83" s="246"/>
      <c r="AE83" s="446">
        <f t="shared" si="30"/>
        <v>0</v>
      </c>
      <c r="AF83" s="447">
        <f t="shared" si="30"/>
        <v>0</v>
      </c>
      <c r="AG83" s="447">
        <f t="shared" si="30"/>
        <v>0</v>
      </c>
      <c r="AH83" s="447">
        <f t="shared" si="30"/>
        <v>0</v>
      </c>
      <c r="AI83" s="447">
        <f t="shared" si="30"/>
        <v>0</v>
      </c>
      <c r="AJ83" s="447">
        <f t="shared" si="30"/>
        <v>0</v>
      </c>
      <c r="AK83" s="447">
        <f t="shared" si="30"/>
        <v>0</v>
      </c>
      <c r="AL83" s="447">
        <f t="shared" si="30"/>
        <v>0</v>
      </c>
      <c r="AM83" s="447">
        <f t="shared" si="30"/>
        <v>0</v>
      </c>
      <c r="AN83" s="447">
        <f t="shared" si="30"/>
        <v>0</v>
      </c>
      <c r="AO83" s="246"/>
    </row>
    <row r="84" spans="2:41" ht="12.75">
      <c r="B84" s="237"/>
      <c r="C84" s="246"/>
      <c r="D84" s="412"/>
      <c r="E84" s="412"/>
      <c r="F84" s="239"/>
      <c r="G84" s="444"/>
      <c r="H84" s="239"/>
      <c r="I84" s="239"/>
      <c r="J84" s="246"/>
      <c r="K84" s="248">
        <f t="shared" si="17"/>
        <v>0</v>
      </c>
      <c r="L84" s="256">
        <f t="shared" si="5"/>
        <v>0</v>
      </c>
      <c r="M84" s="76">
        <f t="shared" si="6"/>
        <v>0</v>
      </c>
      <c r="N84" s="445" t="str">
        <f t="shared" si="7"/>
        <v>-</v>
      </c>
      <c r="O84" s="76">
        <f t="shared" si="29"/>
        <v>0</v>
      </c>
      <c r="P84" s="246"/>
      <c r="Q84" s="76">
        <f t="shared" si="14"/>
        <v>0</v>
      </c>
      <c r="R84" s="76">
        <f t="shared" si="15"/>
        <v>0</v>
      </c>
      <c r="S84" s="76">
        <f t="shared" si="16"/>
        <v>0</v>
      </c>
      <c r="T84" s="76">
        <f t="shared" si="22"/>
        <v>0</v>
      </c>
      <c r="U84" s="76">
        <f t="shared" si="22"/>
        <v>0</v>
      </c>
      <c r="V84" s="76">
        <f t="shared" si="22"/>
        <v>0</v>
      </c>
      <c r="W84" s="76">
        <f t="shared" si="22"/>
        <v>0</v>
      </c>
      <c r="X84" s="76">
        <f t="shared" si="22"/>
        <v>0</v>
      </c>
      <c r="Y84" s="76">
        <f t="shared" si="22"/>
        <v>0</v>
      </c>
      <c r="Z84" s="76">
        <f t="shared" si="22"/>
        <v>0</v>
      </c>
      <c r="AA84" s="246"/>
      <c r="AB84" s="241"/>
      <c r="AD84" s="246"/>
      <c r="AE84" s="446">
        <f t="shared" si="30"/>
        <v>0</v>
      </c>
      <c r="AF84" s="447">
        <f t="shared" si="30"/>
        <v>0</v>
      </c>
      <c r="AG84" s="447">
        <f t="shared" si="30"/>
        <v>0</v>
      </c>
      <c r="AH84" s="447">
        <f t="shared" si="30"/>
        <v>0</v>
      </c>
      <c r="AI84" s="447">
        <f t="shared" si="30"/>
        <v>0</v>
      </c>
      <c r="AJ84" s="447">
        <f t="shared" si="30"/>
        <v>0</v>
      </c>
      <c r="AK84" s="447">
        <f t="shared" si="30"/>
        <v>0</v>
      </c>
      <c r="AL84" s="447">
        <f t="shared" si="30"/>
        <v>0</v>
      </c>
      <c r="AM84" s="447">
        <f t="shared" si="30"/>
        <v>0</v>
      </c>
      <c r="AN84" s="447">
        <f t="shared" si="30"/>
        <v>0</v>
      </c>
      <c r="AO84" s="246"/>
    </row>
    <row r="85" spans="2:41" ht="12.75">
      <c r="B85" s="237"/>
      <c r="C85" s="246"/>
      <c r="D85" s="412"/>
      <c r="E85" s="412"/>
      <c r="F85" s="239"/>
      <c r="G85" s="444"/>
      <c r="H85" s="239"/>
      <c r="I85" s="239"/>
      <c r="J85" s="246"/>
      <c r="K85" s="248">
        <f t="shared" si="17"/>
        <v>0</v>
      </c>
      <c r="L85" s="256">
        <f t="shared" si="5"/>
        <v>0</v>
      </c>
      <c r="M85" s="76">
        <f t="shared" si="6"/>
        <v>0</v>
      </c>
      <c r="N85" s="445" t="str">
        <f t="shared" si="7"/>
        <v>-</v>
      </c>
      <c r="O85" s="76">
        <f t="shared" si="29"/>
        <v>0</v>
      </c>
      <c r="P85" s="246"/>
      <c r="Q85" s="76">
        <f t="shared" si="14"/>
        <v>0</v>
      </c>
      <c r="R85" s="76">
        <f t="shared" si="15"/>
        <v>0</v>
      </c>
      <c r="S85" s="76">
        <f t="shared" si="16"/>
        <v>0</v>
      </c>
      <c r="T85" s="76">
        <f t="shared" si="22"/>
        <v>0</v>
      </c>
      <c r="U85" s="76">
        <f t="shared" si="22"/>
        <v>0</v>
      </c>
      <c r="V85" s="76">
        <f t="shared" si="22"/>
        <v>0</v>
      </c>
      <c r="W85" s="76">
        <f t="shared" si="22"/>
        <v>0</v>
      </c>
      <c r="X85" s="76">
        <f t="shared" si="22"/>
        <v>0</v>
      </c>
      <c r="Y85" s="76">
        <f t="shared" si="22"/>
        <v>0</v>
      </c>
      <c r="Z85" s="76">
        <f t="shared" si="22"/>
        <v>0</v>
      </c>
      <c r="AA85" s="246"/>
      <c r="AB85" s="241"/>
      <c r="AD85" s="246"/>
      <c r="AE85" s="446">
        <f t="shared" si="30"/>
        <v>0</v>
      </c>
      <c r="AF85" s="447">
        <f t="shared" si="30"/>
        <v>0</v>
      </c>
      <c r="AG85" s="447">
        <f t="shared" si="30"/>
        <v>0</v>
      </c>
      <c r="AH85" s="447">
        <f t="shared" si="30"/>
        <v>0</v>
      </c>
      <c r="AI85" s="447">
        <f t="shared" si="30"/>
        <v>0</v>
      </c>
      <c r="AJ85" s="447">
        <f t="shared" si="30"/>
        <v>0</v>
      </c>
      <c r="AK85" s="447">
        <f t="shared" si="30"/>
        <v>0</v>
      </c>
      <c r="AL85" s="447">
        <f t="shared" si="30"/>
        <v>0</v>
      </c>
      <c r="AM85" s="447">
        <f t="shared" si="30"/>
        <v>0</v>
      </c>
      <c r="AN85" s="447">
        <f t="shared" si="30"/>
        <v>0</v>
      </c>
      <c r="AO85" s="246"/>
    </row>
    <row r="86" spans="2:41" ht="12.75">
      <c r="B86" s="237"/>
      <c r="C86" s="246"/>
      <c r="D86" s="412"/>
      <c r="E86" s="412"/>
      <c r="F86" s="239"/>
      <c r="G86" s="444"/>
      <c r="H86" s="239"/>
      <c r="I86" s="239"/>
      <c r="J86" s="246"/>
      <c r="K86" s="248">
        <f t="shared" si="17"/>
        <v>0</v>
      </c>
      <c r="L86" s="256">
        <f t="shared" si="5"/>
        <v>0</v>
      </c>
      <c r="M86" s="76">
        <f t="shared" si="6"/>
        <v>0</v>
      </c>
      <c r="N86" s="445" t="str">
        <f t="shared" si="7"/>
        <v>-</v>
      </c>
      <c r="O86" s="76">
        <f t="shared" si="29"/>
        <v>0</v>
      </c>
      <c r="P86" s="246"/>
      <c r="Q86" s="76">
        <f t="shared" si="14"/>
        <v>0</v>
      </c>
      <c r="R86" s="76">
        <f t="shared" si="15"/>
        <v>0</v>
      </c>
      <c r="S86" s="76">
        <f t="shared" si="16"/>
        <v>0</v>
      </c>
      <c r="T86" s="76">
        <f t="shared" si="22"/>
        <v>0</v>
      </c>
      <c r="U86" s="76">
        <f t="shared" si="22"/>
        <v>0</v>
      </c>
      <c r="V86" s="76">
        <f t="shared" si="22"/>
        <v>0</v>
      </c>
      <c r="W86" s="76">
        <f t="shared" si="22"/>
        <v>0</v>
      </c>
      <c r="X86" s="76">
        <f t="shared" si="22"/>
        <v>0</v>
      </c>
      <c r="Y86" s="76">
        <f t="shared" si="22"/>
        <v>0</v>
      </c>
      <c r="Z86" s="76">
        <f t="shared" si="22"/>
        <v>0</v>
      </c>
      <c r="AA86" s="246"/>
      <c r="AB86" s="241"/>
      <c r="AD86" s="246"/>
      <c r="AE86" s="446">
        <f t="shared" si="30"/>
        <v>0</v>
      </c>
      <c r="AF86" s="447">
        <f t="shared" si="30"/>
        <v>0</v>
      </c>
      <c r="AG86" s="447">
        <f t="shared" si="30"/>
        <v>0</v>
      </c>
      <c r="AH86" s="447">
        <f t="shared" si="30"/>
        <v>0</v>
      </c>
      <c r="AI86" s="447">
        <f t="shared" si="30"/>
        <v>0</v>
      </c>
      <c r="AJ86" s="447">
        <f t="shared" si="30"/>
        <v>0</v>
      </c>
      <c r="AK86" s="447">
        <f t="shared" si="30"/>
        <v>0</v>
      </c>
      <c r="AL86" s="447">
        <f t="shared" si="30"/>
        <v>0</v>
      </c>
      <c r="AM86" s="447">
        <f t="shared" si="30"/>
        <v>0</v>
      </c>
      <c r="AN86" s="447">
        <f t="shared" si="30"/>
        <v>0</v>
      </c>
      <c r="AO86" s="246"/>
    </row>
    <row r="87" spans="2:41" ht="12.75">
      <c r="B87" s="237"/>
      <c r="C87" s="246"/>
      <c r="D87" s="412"/>
      <c r="E87" s="412"/>
      <c r="F87" s="239"/>
      <c r="G87" s="444"/>
      <c r="H87" s="239"/>
      <c r="I87" s="239"/>
      <c r="J87" s="246"/>
      <c r="K87" s="248">
        <f>IF(I87="geen",9999999999,I87)</f>
        <v>0</v>
      </c>
      <c r="L87" s="256">
        <f>F87*G87</f>
        <v>0</v>
      </c>
      <c r="M87" s="76">
        <f>IF(F87=0,0,(F87*G87)/K87)</f>
        <v>0</v>
      </c>
      <c r="N87" s="445" t="str">
        <f>IF(K87=0,"-",(IF(K87&gt;3000,"-",H87+K87-1)))</f>
        <v>-</v>
      </c>
      <c r="O87" s="76">
        <f t="shared" si="29"/>
        <v>0</v>
      </c>
      <c r="P87" s="246"/>
      <c r="Q87" s="76">
        <f aca="true" t="shared" si="31" ref="Q87:Z88">(IF(Q$10&lt;$H87,0,IF($N87&lt;=Q$10-1,0,$M87)))</f>
        <v>0</v>
      </c>
      <c r="R87" s="76">
        <f t="shared" si="31"/>
        <v>0</v>
      </c>
      <c r="S87" s="76">
        <f t="shared" si="31"/>
        <v>0</v>
      </c>
      <c r="T87" s="76">
        <f t="shared" si="31"/>
        <v>0</v>
      </c>
      <c r="U87" s="76">
        <f t="shared" si="31"/>
        <v>0</v>
      </c>
      <c r="V87" s="76">
        <f t="shared" si="31"/>
        <v>0</v>
      </c>
      <c r="W87" s="76">
        <f t="shared" si="31"/>
        <v>0</v>
      </c>
      <c r="X87" s="76">
        <f t="shared" si="31"/>
        <v>0</v>
      </c>
      <c r="Y87" s="76">
        <f t="shared" si="31"/>
        <v>0</v>
      </c>
      <c r="Z87" s="76">
        <f t="shared" si="31"/>
        <v>0</v>
      </c>
      <c r="AA87" s="246"/>
      <c r="AB87" s="241"/>
      <c r="AD87" s="246"/>
      <c r="AE87" s="446">
        <f t="shared" si="30"/>
        <v>0</v>
      </c>
      <c r="AF87" s="447">
        <f t="shared" si="30"/>
        <v>0</v>
      </c>
      <c r="AG87" s="447">
        <f t="shared" si="30"/>
        <v>0</v>
      </c>
      <c r="AH87" s="447">
        <f t="shared" si="30"/>
        <v>0</v>
      </c>
      <c r="AI87" s="447">
        <f t="shared" si="30"/>
        <v>0</v>
      </c>
      <c r="AJ87" s="447">
        <f t="shared" si="30"/>
        <v>0</v>
      </c>
      <c r="AK87" s="447">
        <f t="shared" si="30"/>
        <v>0</v>
      </c>
      <c r="AL87" s="447">
        <f t="shared" si="30"/>
        <v>0</v>
      </c>
      <c r="AM87" s="447">
        <f t="shared" si="30"/>
        <v>0</v>
      </c>
      <c r="AN87" s="447">
        <f t="shared" si="30"/>
        <v>0</v>
      </c>
      <c r="AO87" s="246"/>
    </row>
    <row r="88" spans="2:41" ht="12.75">
      <c r="B88" s="237"/>
      <c r="C88" s="246"/>
      <c r="D88" s="412"/>
      <c r="E88" s="412"/>
      <c r="F88" s="239"/>
      <c r="G88" s="444"/>
      <c r="H88" s="239"/>
      <c r="I88" s="239"/>
      <c r="J88" s="246"/>
      <c r="K88" s="248">
        <f>IF(I88="geen",9999999999,I88)</f>
        <v>0</v>
      </c>
      <c r="L88" s="256">
        <f>F88*G88</f>
        <v>0</v>
      </c>
      <c r="M88" s="76">
        <f>IF(F88=0,0,(F88*G88)/K88)</f>
        <v>0</v>
      </c>
      <c r="N88" s="445" t="str">
        <f>IF(K88=0,"-",(IF(K88&gt;3000,"-",H88+K88-1)))</f>
        <v>-</v>
      </c>
      <c r="O88" s="76">
        <f t="shared" si="29"/>
        <v>0</v>
      </c>
      <c r="P88" s="246"/>
      <c r="Q88" s="76">
        <f t="shared" si="31"/>
        <v>0</v>
      </c>
      <c r="R88" s="76">
        <f t="shared" si="31"/>
        <v>0</v>
      </c>
      <c r="S88" s="76">
        <f t="shared" si="31"/>
        <v>0</v>
      </c>
      <c r="T88" s="76">
        <f t="shared" si="31"/>
        <v>0</v>
      </c>
      <c r="U88" s="76">
        <f t="shared" si="31"/>
        <v>0</v>
      </c>
      <c r="V88" s="76">
        <f t="shared" si="31"/>
        <v>0</v>
      </c>
      <c r="W88" s="76">
        <f t="shared" si="31"/>
        <v>0</v>
      </c>
      <c r="X88" s="76">
        <f t="shared" si="31"/>
        <v>0</v>
      </c>
      <c r="Y88" s="76">
        <f t="shared" si="31"/>
        <v>0</v>
      </c>
      <c r="Z88" s="76">
        <f t="shared" si="31"/>
        <v>0</v>
      </c>
      <c r="AA88" s="246"/>
      <c r="AB88" s="241"/>
      <c r="AD88" s="246"/>
      <c r="AE88" s="446">
        <f t="shared" si="30"/>
        <v>0</v>
      </c>
      <c r="AF88" s="447">
        <f t="shared" si="30"/>
        <v>0</v>
      </c>
      <c r="AG88" s="447">
        <f t="shared" si="30"/>
        <v>0</v>
      </c>
      <c r="AH88" s="447">
        <f t="shared" si="30"/>
        <v>0</v>
      </c>
      <c r="AI88" s="447">
        <f t="shared" si="30"/>
        <v>0</v>
      </c>
      <c r="AJ88" s="447">
        <f t="shared" si="30"/>
        <v>0</v>
      </c>
      <c r="AK88" s="447">
        <f t="shared" si="30"/>
        <v>0</v>
      </c>
      <c r="AL88" s="447">
        <f t="shared" si="30"/>
        <v>0</v>
      </c>
      <c r="AM88" s="447">
        <f t="shared" si="30"/>
        <v>0</v>
      </c>
      <c r="AN88" s="447">
        <f t="shared" si="30"/>
        <v>0</v>
      </c>
      <c r="AO88" s="246"/>
    </row>
    <row r="89" spans="2:41" ht="12.75">
      <c r="B89" s="237"/>
      <c r="C89" s="246"/>
      <c r="D89" s="448"/>
      <c r="E89" s="448"/>
      <c r="F89" s="248"/>
      <c r="G89" s="248"/>
      <c r="H89" s="248"/>
      <c r="I89" s="248"/>
      <c r="J89" s="246"/>
      <c r="K89" s="246"/>
      <c r="L89" s="246"/>
      <c r="M89" s="246"/>
      <c r="N89" s="246"/>
      <c r="O89" s="198">
        <f>SUM(O13:O88)</f>
        <v>0</v>
      </c>
      <c r="P89" s="246"/>
      <c r="Q89" s="198">
        <f aca="true" t="shared" si="32" ref="Q89:Z89">SUM(Q13:Q88)</f>
        <v>0</v>
      </c>
      <c r="R89" s="198">
        <f t="shared" si="32"/>
        <v>0</v>
      </c>
      <c r="S89" s="198">
        <f t="shared" si="32"/>
        <v>0</v>
      </c>
      <c r="T89" s="198">
        <f t="shared" si="32"/>
        <v>0</v>
      </c>
      <c r="U89" s="198">
        <f t="shared" si="32"/>
        <v>0</v>
      </c>
      <c r="V89" s="198">
        <f t="shared" si="32"/>
        <v>0</v>
      </c>
      <c r="W89" s="198">
        <f t="shared" si="32"/>
        <v>0</v>
      </c>
      <c r="X89" s="198">
        <f t="shared" si="32"/>
        <v>0</v>
      </c>
      <c r="Y89" s="198">
        <f t="shared" si="32"/>
        <v>0</v>
      </c>
      <c r="Z89" s="198">
        <f t="shared" si="32"/>
        <v>0</v>
      </c>
      <c r="AA89" s="246"/>
      <c r="AB89" s="241"/>
      <c r="AD89" s="246"/>
      <c r="AE89" s="491">
        <f aca="true" t="shared" si="33" ref="AE89:AN89">SUM(AE13:AE88)</f>
        <v>0</v>
      </c>
      <c r="AF89" s="491">
        <f t="shared" si="33"/>
        <v>0</v>
      </c>
      <c r="AG89" s="491">
        <f t="shared" si="33"/>
        <v>0</v>
      </c>
      <c r="AH89" s="491">
        <f t="shared" si="33"/>
        <v>0</v>
      </c>
      <c r="AI89" s="491">
        <f t="shared" si="33"/>
        <v>0</v>
      </c>
      <c r="AJ89" s="491">
        <f t="shared" si="33"/>
        <v>0</v>
      </c>
      <c r="AK89" s="491">
        <f t="shared" si="33"/>
        <v>0</v>
      </c>
      <c r="AL89" s="491">
        <f t="shared" si="33"/>
        <v>0</v>
      </c>
      <c r="AM89" s="491">
        <f t="shared" si="33"/>
        <v>0</v>
      </c>
      <c r="AN89" s="491">
        <f t="shared" si="33"/>
        <v>0</v>
      </c>
      <c r="AO89" s="246"/>
    </row>
    <row r="90" spans="2:41" ht="12.75">
      <c r="B90" s="237"/>
      <c r="C90" s="246"/>
      <c r="D90" s="448"/>
      <c r="E90" s="448"/>
      <c r="F90" s="248"/>
      <c r="G90" s="248"/>
      <c r="H90" s="248"/>
      <c r="I90" s="248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1"/>
      <c r="AD90" s="246"/>
      <c r="AE90" s="449"/>
      <c r="AF90" s="450"/>
      <c r="AG90" s="450"/>
      <c r="AH90" s="450"/>
      <c r="AI90" s="450"/>
      <c r="AJ90" s="450"/>
      <c r="AK90" s="450"/>
      <c r="AL90" s="450"/>
      <c r="AM90" s="450"/>
      <c r="AN90" s="450"/>
      <c r="AO90" s="246"/>
    </row>
    <row r="91" spans="2:28" ht="12.75">
      <c r="B91" s="237"/>
      <c r="AB91" s="241"/>
    </row>
    <row r="92" spans="2:28" ht="13.5" thickBot="1">
      <c r="B92" s="252"/>
      <c r="C92" s="253"/>
      <c r="D92" s="455"/>
      <c r="E92" s="455"/>
      <c r="F92" s="254"/>
      <c r="G92" s="254"/>
      <c r="H92" s="254"/>
      <c r="I92" s="254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5"/>
    </row>
  </sheetData>
  <sheetProtection password="DE55" sheet="1" objects="1" scenarios="1"/>
  <dataValidations count="2">
    <dataValidation type="list" allowBlank="1" showInputMessage="1" showErrorMessage="1" sqref="I13:I88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3:D88">
      <formula1>"gebouwen en terreinen, inventaris en apparatuur, leermiddelen PO, overige materiële vaste activa"</formula1>
    </dataValidation>
  </dataValidations>
  <printOptions/>
  <pageMargins left="0.75" right="0.75" top="1" bottom="1" header="0.5" footer="0.5"/>
  <pageSetup horizontalDpi="600" verticalDpi="600" orientation="landscape" paperSize="9" scale="40" r:id="rId3"/>
  <headerFooter alignWithMargins="0">
    <oddHeader>&amp;L&amp;"Arial,Vet"&amp;F&amp;R&amp;"Arial,Vet"&amp;A</oddHeader>
    <oddFooter>&amp;L&amp;"Arial,Vet"vos/abb&amp;C&amp;"Arial,Vet"&amp;P&amp;R&amp;"Arial,Vet"&amp;D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Z63"/>
  <sheetViews>
    <sheetView showGridLines="0" zoomScale="85" zoomScaleNormal="85" workbookViewId="0" topLeftCell="A1">
      <pane ySplit="9" topLeftCell="BM10" activePane="bottomLeft" state="frozen"/>
      <selection pane="topLeft" activeCell="C1" sqref="C1"/>
      <selection pane="bottomLeft" activeCell="B2" sqref="B2"/>
    </sheetView>
  </sheetViews>
  <sheetFormatPr defaultColWidth="9.140625" defaultRowHeight="12.75"/>
  <cols>
    <col min="1" max="1" width="5.7109375" style="238" customWidth="1"/>
    <col min="2" max="2" width="2.7109375" style="238" customWidth="1"/>
    <col min="3" max="3" width="2.57421875" style="238" customWidth="1"/>
    <col min="4" max="4" width="45.7109375" style="238" customWidth="1"/>
    <col min="5" max="5" width="2.7109375" style="238" customWidth="1"/>
    <col min="6" max="15" width="16.7109375" style="238" customWidth="1"/>
    <col min="16" max="17" width="2.7109375" style="238" customWidth="1"/>
    <col min="18" max="18" width="5.7109375" style="238" customWidth="1"/>
    <col min="19" max="19" width="2.7109375" style="238" customWidth="1"/>
    <col min="20" max="20" width="12.7109375" style="437" customWidth="1"/>
    <col min="21" max="22" width="12.7109375" style="438" customWidth="1"/>
    <col min="23" max="24" width="10.7109375" style="438" customWidth="1"/>
    <col min="25" max="25" width="2.7109375" style="238" customWidth="1"/>
    <col min="26" max="16384" width="9.140625" style="238" customWidth="1"/>
  </cols>
  <sheetData>
    <row r="1" ht="13.5" thickBot="1"/>
    <row r="2" spans="2:17" ht="12.75"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6"/>
    </row>
    <row r="3" spans="2:17" ht="12.75">
      <c r="B3" s="237"/>
      <c r="Q3" s="241"/>
    </row>
    <row r="4" spans="2:17" s="230" customFormat="1" ht="18" customHeight="1">
      <c r="B4" s="13"/>
      <c r="C4" s="14" t="s">
        <v>539</v>
      </c>
      <c r="D4" s="1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245"/>
    </row>
    <row r="5" spans="2:17" ht="12.75">
      <c r="B5" s="237"/>
      <c r="Q5" s="241"/>
    </row>
    <row r="6" spans="2:17" ht="12.75">
      <c r="B6" s="237"/>
      <c r="Q6" s="241"/>
    </row>
    <row r="7" spans="2:17" ht="12.75">
      <c r="B7" s="237"/>
      <c r="Q7" s="241"/>
    </row>
    <row r="8" spans="2:17" ht="12.75">
      <c r="B8" s="237"/>
      <c r="F8" s="22">
        <f>mip!Q10</f>
        <v>2007</v>
      </c>
      <c r="G8" s="22">
        <f>mip!R10</f>
        <v>2008</v>
      </c>
      <c r="H8" s="22">
        <f>mip!S10</f>
        <v>2009</v>
      </c>
      <c r="I8" s="22">
        <f>mip!T10</f>
        <v>2010</v>
      </c>
      <c r="J8" s="22">
        <f>mip!U10</f>
        <v>2011</v>
      </c>
      <c r="K8" s="22">
        <f>mip!V10</f>
        <v>2012</v>
      </c>
      <c r="L8" s="22">
        <f>mip!W10</f>
        <v>2013</v>
      </c>
      <c r="M8" s="22">
        <f>mip!X10</f>
        <v>2014</v>
      </c>
      <c r="N8" s="22">
        <f>mip!Y10</f>
        <v>2015</v>
      </c>
      <c r="O8" s="22">
        <f>mip!Z10</f>
        <v>2016</v>
      </c>
      <c r="Q8" s="241"/>
    </row>
    <row r="9" spans="2:17" ht="12.75">
      <c r="B9" s="237"/>
      <c r="Q9" s="241"/>
    </row>
    <row r="10" spans="2:17" ht="12.75">
      <c r="B10" s="237"/>
      <c r="Q10" s="241"/>
    </row>
    <row r="11" spans="2:26" ht="12.75">
      <c r="B11" s="237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1"/>
      <c r="U11" s="437"/>
      <c r="V11" s="437"/>
      <c r="W11" s="437"/>
      <c r="Y11" s="437"/>
      <c r="Z11" s="437"/>
    </row>
    <row r="12" spans="2:26" ht="12.75">
      <c r="B12" s="237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1"/>
      <c r="U12" s="437"/>
      <c r="V12" s="437"/>
      <c r="W12" s="437"/>
      <c r="Y12" s="437"/>
      <c r="Z12" s="437"/>
    </row>
    <row r="13" spans="2:26" ht="12.75">
      <c r="B13" s="237"/>
      <c r="C13" s="246"/>
      <c r="D13" s="27" t="s">
        <v>413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1"/>
      <c r="U13" s="437"/>
      <c r="V13" s="437"/>
      <c r="W13" s="437"/>
      <c r="Y13" s="437"/>
      <c r="Z13" s="437"/>
    </row>
    <row r="14" spans="2:26" ht="12.75">
      <c r="B14" s="237"/>
      <c r="C14" s="246"/>
      <c r="D14" s="27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1"/>
      <c r="U14" s="437"/>
      <c r="V14" s="437"/>
      <c r="W14" s="437"/>
      <c r="Y14" s="437"/>
      <c r="Z14" s="437"/>
    </row>
    <row r="15" spans="2:26" ht="12.75">
      <c r="B15" s="237"/>
      <c r="C15" s="246"/>
      <c r="D15" s="35" t="s">
        <v>253</v>
      </c>
      <c r="E15" s="246"/>
      <c r="F15" s="496">
        <f>SUMIF(mip!D13:D88,"gebouwen en terreinen",mip!O13:O88)</f>
        <v>0</v>
      </c>
      <c r="G15" s="440">
        <f>+F56</f>
        <v>0</v>
      </c>
      <c r="H15" s="440">
        <f aca="true" t="shared" si="0" ref="H15:O15">G56</f>
        <v>0</v>
      </c>
      <c r="I15" s="440">
        <f t="shared" si="0"/>
        <v>0</v>
      </c>
      <c r="J15" s="440">
        <f t="shared" si="0"/>
        <v>0</v>
      </c>
      <c r="K15" s="440">
        <f t="shared" si="0"/>
        <v>0</v>
      </c>
      <c r="L15" s="440">
        <f t="shared" si="0"/>
        <v>0</v>
      </c>
      <c r="M15" s="440">
        <f t="shared" si="0"/>
        <v>0</v>
      </c>
      <c r="N15" s="440">
        <f t="shared" si="0"/>
        <v>0</v>
      </c>
      <c r="O15" s="440">
        <f t="shared" si="0"/>
        <v>0</v>
      </c>
      <c r="P15" s="246"/>
      <c r="Q15" s="241"/>
      <c r="U15" s="437"/>
      <c r="V15" s="437"/>
      <c r="W15" s="437"/>
      <c r="Y15" s="437"/>
      <c r="Z15" s="437"/>
    </row>
    <row r="16" spans="2:26" ht="12.75">
      <c r="B16" s="237"/>
      <c r="C16" s="246"/>
      <c r="D16" s="35" t="s">
        <v>254</v>
      </c>
      <c r="E16" s="246"/>
      <c r="F16" s="496">
        <f>SUMIF(mip!D13:D88,"inventaris en apparatuur",mip!O13:O88)</f>
        <v>0</v>
      </c>
      <c r="G16" s="440">
        <f aca="true" t="shared" si="1" ref="G16:O16">F57</f>
        <v>0</v>
      </c>
      <c r="H16" s="440">
        <f t="shared" si="1"/>
        <v>0</v>
      </c>
      <c r="I16" s="440">
        <f t="shared" si="1"/>
        <v>0</v>
      </c>
      <c r="J16" s="440">
        <f t="shared" si="1"/>
        <v>0</v>
      </c>
      <c r="K16" s="440">
        <f t="shared" si="1"/>
        <v>0</v>
      </c>
      <c r="L16" s="440">
        <f t="shared" si="1"/>
        <v>0</v>
      </c>
      <c r="M16" s="440">
        <f t="shared" si="1"/>
        <v>0</v>
      </c>
      <c r="N16" s="440">
        <f t="shared" si="1"/>
        <v>0</v>
      </c>
      <c r="O16" s="440">
        <f t="shared" si="1"/>
        <v>0</v>
      </c>
      <c r="P16" s="246"/>
      <c r="Q16" s="241"/>
      <c r="U16" s="437"/>
      <c r="V16" s="437"/>
      <c r="W16" s="437"/>
      <c r="Y16" s="437"/>
      <c r="Z16" s="437"/>
    </row>
    <row r="17" spans="2:26" ht="12.75">
      <c r="B17" s="237"/>
      <c r="C17" s="246"/>
      <c r="D17" s="35" t="s">
        <v>255</v>
      </c>
      <c r="E17" s="246"/>
      <c r="F17" s="496">
        <f>SUMIF(mip!D13:D88,"leermiddelen po",mip!O13:O88)</f>
        <v>0</v>
      </c>
      <c r="G17" s="440">
        <f aca="true" t="shared" si="2" ref="G17:O17">F58</f>
        <v>0</v>
      </c>
      <c r="H17" s="440">
        <f t="shared" si="2"/>
        <v>0</v>
      </c>
      <c r="I17" s="440">
        <f t="shared" si="2"/>
        <v>0</v>
      </c>
      <c r="J17" s="440">
        <f t="shared" si="2"/>
        <v>0</v>
      </c>
      <c r="K17" s="440">
        <f t="shared" si="2"/>
        <v>0</v>
      </c>
      <c r="L17" s="440">
        <f t="shared" si="2"/>
        <v>0</v>
      </c>
      <c r="M17" s="440">
        <f t="shared" si="2"/>
        <v>0</v>
      </c>
      <c r="N17" s="440">
        <f t="shared" si="2"/>
        <v>0</v>
      </c>
      <c r="O17" s="440">
        <f t="shared" si="2"/>
        <v>0</v>
      </c>
      <c r="P17" s="246"/>
      <c r="Q17" s="241"/>
      <c r="U17" s="437"/>
      <c r="V17" s="437"/>
      <c r="W17" s="437"/>
      <c r="Y17" s="437"/>
      <c r="Z17" s="437"/>
    </row>
    <row r="18" spans="2:26" ht="12.75">
      <c r="B18" s="237"/>
      <c r="C18" s="246"/>
      <c r="D18" s="35" t="s">
        <v>256</v>
      </c>
      <c r="E18" s="246"/>
      <c r="F18" s="496">
        <f>SUMIF(mip!D13:D88,"overige materiële vaste activa",mip!O13:O88)</f>
        <v>0</v>
      </c>
      <c r="G18" s="440">
        <f aca="true" t="shared" si="3" ref="G18:O18">F59</f>
        <v>0</v>
      </c>
      <c r="H18" s="440">
        <f t="shared" si="3"/>
        <v>0</v>
      </c>
      <c r="I18" s="440">
        <f t="shared" si="3"/>
        <v>0</v>
      </c>
      <c r="J18" s="440">
        <f t="shared" si="3"/>
        <v>0</v>
      </c>
      <c r="K18" s="440">
        <f t="shared" si="3"/>
        <v>0</v>
      </c>
      <c r="L18" s="440">
        <f t="shared" si="3"/>
        <v>0</v>
      </c>
      <c r="M18" s="440">
        <f t="shared" si="3"/>
        <v>0</v>
      </c>
      <c r="N18" s="440">
        <f t="shared" si="3"/>
        <v>0</v>
      </c>
      <c r="O18" s="440">
        <f t="shared" si="3"/>
        <v>0</v>
      </c>
      <c r="P18" s="246"/>
      <c r="Q18" s="241"/>
      <c r="U18" s="437"/>
      <c r="V18" s="437"/>
      <c r="W18" s="437"/>
      <c r="Y18" s="437"/>
      <c r="Z18" s="437"/>
    </row>
    <row r="19" spans="2:26" ht="12.75">
      <c r="B19" s="237"/>
      <c r="C19" s="246"/>
      <c r="D19" s="39" t="s">
        <v>88</v>
      </c>
      <c r="E19" s="246"/>
      <c r="F19" s="40">
        <f aca="true" t="shared" si="4" ref="F19:O19">SUM(F15:F18)</f>
        <v>0</v>
      </c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 t="shared" si="4"/>
        <v>0</v>
      </c>
      <c r="L19" s="40">
        <f t="shared" si="4"/>
        <v>0</v>
      </c>
      <c r="M19" s="40">
        <f t="shared" si="4"/>
        <v>0</v>
      </c>
      <c r="N19" s="40">
        <f t="shared" si="4"/>
        <v>0</v>
      </c>
      <c r="O19" s="40">
        <f t="shared" si="4"/>
        <v>0</v>
      </c>
      <c r="P19" s="246"/>
      <c r="Q19" s="241"/>
      <c r="U19" s="437"/>
      <c r="V19" s="437"/>
      <c r="W19" s="437"/>
      <c r="Y19" s="437"/>
      <c r="Z19" s="437"/>
    </row>
    <row r="20" spans="2:26" ht="12.75">
      <c r="B20" s="237"/>
      <c r="C20" s="246"/>
      <c r="D20" s="39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1"/>
      <c r="U20" s="437"/>
      <c r="V20" s="437"/>
      <c r="W20" s="437"/>
      <c r="Y20" s="437"/>
      <c r="Z20" s="437"/>
    </row>
    <row r="21" spans="2:26" ht="12.75">
      <c r="B21" s="237"/>
      <c r="D21" s="135"/>
      <c r="Q21" s="241"/>
      <c r="U21" s="437"/>
      <c r="V21" s="437"/>
      <c r="W21" s="437"/>
      <c r="Y21" s="437"/>
      <c r="Z21" s="437"/>
    </row>
    <row r="22" spans="2:26" ht="12.75">
      <c r="B22" s="237"/>
      <c r="C22" s="246"/>
      <c r="D22" s="39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1"/>
      <c r="U22" s="437"/>
      <c r="V22" s="437"/>
      <c r="W22" s="437"/>
      <c r="Y22" s="437"/>
      <c r="Z22" s="437"/>
    </row>
    <row r="23" spans="2:26" ht="12.75">
      <c r="B23" s="237"/>
      <c r="C23" s="246"/>
      <c r="D23" s="27" t="s">
        <v>414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1"/>
      <c r="U23" s="437"/>
      <c r="V23" s="437"/>
      <c r="W23" s="437"/>
      <c r="Y23" s="437"/>
      <c r="Z23" s="437"/>
    </row>
    <row r="24" spans="2:26" ht="12.75">
      <c r="B24" s="237"/>
      <c r="C24" s="246"/>
      <c r="D24" s="27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1"/>
      <c r="U24" s="437"/>
      <c r="V24" s="437"/>
      <c r="W24" s="437"/>
      <c r="Y24" s="437"/>
      <c r="Z24" s="437"/>
    </row>
    <row r="25" spans="2:26" ht="12.75">
      <c r="B25" s="237"/>
      <c r="C25" s="246"/>
      <c r="D25" s="35" t="s">
        <v>253</v>
      </c>
      <c r="E25" s="246"/>
      <c r="F25" s="440">
        <f>SUMIF(mip!$D$13:$D$88,"gebouwen en terreinen",mip!AE$13:AE$88)</f>
        <v>0</v>
      </c>
      <c r="G25" s="440">
        <f>SUMIF(mip!$D$13:$D$88,"gebouwen en terreinen",mip!AF$13:AF$88)</f>
        <v>0</v>
      </c>
      <c r="H25" s="440">
        <f>SUMIF(mip!$D$13:$D$88,"gebouwen en terreinen",mip!AG$13:AG$88)</f>
        <v>0</v>
      </c>
      <c r="I25" s="440">
        <f>SUMIF(mip!$D$13:$D$88,"gebouwen en terreinen",mip!AH$13:AH$88)</f>
        <v>0</v>
      </c>
      <c r="J25" s="440">
        <f>SUMIF(mip!$D$13:$D$88,"gebouwen en terreinen",mip!AI$13:AI$88)</f>
        <v>0</v>
      </c>
      <c r="K25" s="440">
        <f>SUMIF(mip!$D$13:$D$88,"gebouwen en terreinen",mip!AJ$13:AJ$88)</f>
        <v>0</v>
      </c>
      <c r="L25" s="440">
        <f>SUMIF(mip!$D$13:$D$88,"gebouwen en terreinen",mip!AK$13:AK$88)</f>
        <v>0</v>
      </c>
      <c r="M25" s="440">
        <f>SUMIF(mip!$D$13:$D$88,"gebouwen en terreinen",mip!AL$13:AL$88)</f>
        <v>0</v>
      </c>
      <c r="N25" s="440">
        <f>SUMIF(mip!$D$13:$D$88,"gebouwen en terreinen",mip!AM$13:AM$88)</f>
        <v>0</v>
      </c>
      <c r="O25" s="440">
        <f>SUMIF(mip!$D$13:$D$88,"gebouwen en terreinen",mip!AN$13:AN$88)</f>
        <v>0</v>
      </c>
      <c r="P25" s="246"/>
      <c r="Q25" s="241"/>
      <c r="U25" s="437"/>
      <c r="V25" s="437"/>
      <c r="W25" s="437"/>
      <c r="Y25" s="437"/>
      <c r="Z25" s="437"/>
    </row>
    <row r="26" spans="2:26" ht="12.75">
      <c r="B26" s="237"/>
      <c r="C26" s="246"/>
      <c r="D26" s="35" t="s">
        <v>254</v>
      </c>
      <c r="E26" s="246"/>
      <c r="F26" s="440">
        <f>SUMIF(mip!$D$13:$D$88,"inventaris en apparatuur",mip!AE$13:AE$88)</f>
        <v>0</v>
      </c>
      <c r="G26" s="440">
        <f>SUMIF(mip!$D$13:$D$88,"inventaris en apparatuur",mip!AF$13:AF$88)</f>
        <v>0</v>
      </c>
      <c r="H26" s="440">
        <f>SUMIF(mip!$D$13:$D$88,"inventaris en apparatuur",mip!AG$13:AG$88)</f>
        <v>0</v>
      </c>
      <c r="I26" s="440">
        <f>SUMIF(mip!$D$13:$D$88,"inventaris en apparatuur",mip!AH$13:AH$88)</f>
        <v>0</v>
      </c>
      <c r="J26" s="440">
        <f>SUMIF(mip!$D$13:$D$88,"inventaris en apparatuur",mip!AI$13:AI$88)</f>
        <v>0</v>
      </c>
      <c r="K26" s="440">
        <f>SUMIF(mip!$D$13:$D$88,"inventaris en apparatuur",mip!AJ$13:AJ$88)</f>
        <v>0</v>
      </c>
      <c r="L26" s="440">
        <f>SUMIF(mip!$D$13:$D$88,"inventaris en apparatuur",mip!AK$13:AK$88)</f>
        <v>0</v>
      </c>
      <c r="M26" s="440">
        <f>SUMIF(mip!$D$13:$D$88,"inventaris en apparatuur",mip!AL$13:AL$88)</f>
        <v>0</v>
      </c>
      <c r="N26" s="440">
        <f>SUMIF(mip!$D$13:$D$88,"inventaris en apparatuur",mip!AM$13:AM$88)</f>
        <v>0</v>
      </c>
      <c r="O26" s="440">
        <f>SUMIF(mip!$D$13:$D$88,"inventaris en apparatuur",mip!AN$13:AN$88)</f>
        <v>0</v>
      </c>
      <c r="P26" s="246"/>
      <c r="Q26" s="241"/>
      <c r="U26" s="437"/>
      <c r="V26" s="437"/>
      <c r="W26" s="437"/>
      <c r="Y26" s="437"/>
      <c r="Z26" s="437"/>
    </row>
    <row r="27" spans="2:26" ht="12.75">
      <c r="B27" s="237"/>
      <c r="C27" s="246"/>
      <c r="D27" s="35" t="s">
        <v>255</v>
      </c>
      <c r="E27" s="246"/>
      <c r="F27" s="440">
        <f>SUMIF(mip!$D$13:$D$88,"leermiddelen po",mip!AE$13:AE$88)</f>
        <v>0</v>
      </c>
      <c r="G27" s="440">
        <f>SUMIF(mip!$D$13:$D$88,"leermiddelen po",mip!AF$13:AF$88)</f>
        <v>0</v>
      </c>
      <c r="H27" s="440">
        <f>SUMIF(mip!$D$13:$D$88,"leermiddelen po",mip!AG$13:AG$88)</f>
        <v>0</v>
      </c>
      <c r="I27" s="440">
        <f>SUMIF(mip!$D$13:$D$88,"leermiddelen po",mip!AH$13:AH$88)</f>
        <v>0</v>
      </c>
      <c r="J27" s="440">
        <f>SUMIF(mip!$D$13:$D$88,"leermiddelen po",mip!AI$13:AI$88)</f>
        <v>0</v>
      </c>
      <c r="K27" s="440">
        <f>SUMIF(mip!$D$13:$D$88,"leermiddelen po",mip!AJ$13:AJ$88)</f>
        <v>0</v>
      </c>
      <c r="L27" s="440">
        <f>SUMIF(mip!$D$13:$D$88,"leermiddelen po",mip!AK$13:AK$88)</f>
        <v>0</v>
      </c>
      <c r="M27" s="440">
        <f>SUMIF(mip!$D$13:$D$88,"leermiddelen po",mip!AL$13:AL$88)</f>
        <v>0</v>
      </c>
      <c r="N27" s="440">
        <f>SUMIF(mip!$D$13:$D$88,"leermiddelen po",mip!AM$13:AM$88)</f>
        <v>0</v>
      </c>
      <c r="O27" s="440">
        <f>SUMIF(mip!$D$13:$D$88,"leermiddelen po",mip!AN$13:AN$88)</f>
        <v>0</v>
      </c>
      <c r="P27" s="246"/>
      <c r="Q27" s="241"/>
      <c r="U27" s="437"/>
      <c r="V27" s="437"/>
      <c r="W27" s="437"/>
      <c r="Y27" s="437"/>
      <c r="Z27" s="437"/>
    </row>
    <row r="28" spans="2:26" ht="12.75">
      <c r="B28" s="237"/>
      <c r="C28" s="246"/>
      <c r="D28" s="35" t="s">
        <v>256</v>
      </c>
      <c r="E28" s="246"/>
      <c r="F28" s="440">
        <f>SUMIF(mip!$D$13:$D$88,"overige materiële vaste activa",mip!AE$13:AE$88)</f>
        <v>0</v>
      </c>
      <c r="G28" s="440">
        <f>SUMIF(mip!$D$13:$D$88,"overige materiële vaste activa",mip!AF$13:AF$88)</f>
        <v>0</v>
      </c>
      <c r="H28" s="440">
        <f>SUMIF(mip!$D$13:$D$88,"overige materiële vaste activa",mip!AG$13:AG$88)</f>
        <v>0</v>
      </c>
      <c r="I28" s="440">
        <f>SUMIF(mip!$D$13:$D$88,"overige materiële vaste activa",mip!AH$13:AH$88)</f>
        <v>0</v>
      </c>
      <c r="J28" s="440">
        <f>SUMIF(mip!$D$13:$D$88,"overige materiële vaste activa",mip!AI$13:AI$88)</f>
        <v>0</v>
      </c>
      <c r="K28" s="440">
        <f>SUMIF(mip!$D$13:$D$88,"overige materiële vaste activa",mip!AJ$13:AJ$88)</f>
        <v>0</v>
      </c>
      <c r="L28" s="440">
        <f>SUMIF(mip!$D$13:$D$88,"overige materiële vaste activa",mip!AK$13:AK$88)</f>
        <v>0</v>
      </c>
      <c r="M28" s="440">
        <f>SUMIF(mip!$D$13:$D$88,"overige materiële vaste activa",mip!AL$13:AL$88)</f>
        <v>0</v>
      </c>
      <c r="N28" s="440">
        <f>SUMIF(mip!$D$13:$D$88,"overige materiële vaste activa",mip!AM$13:AM$88)</f>
        <v>0</v>
      </c>
      <c r="O28" s="440">
        <f>SUMIF(mip!$D$13:$D$88,"overige materiële vaste activa",mip!AN$13:AN$88)</f>
        <v>0</v>
      </c>
      <c r="P28" s="246"/>
      <c r="Q28" s="241"/>
      <c r="U28" s="437"/>
      <c r="V28" s="437"/>
      <c r="W28" s="437"/>
      <c r="Y28" s="437"/>
      <c r="Z28" s="437"/>
    </row>
    <row r="29" spans="2:26" ht="12.75">
      <c r="B29" s="237"/>
      <c r="C29" s="246"/>
      <c r="D29" s="39" t="s">
        <v>88</v>
      </c>
      <c r="E29" s="246"/>
      <c r="F29" s="40">
        <f aca="true" t="shared" si="5" ref="F29:O29">SUM(F25:F28)</f>
        <v>0</v>
      </c>
      <c r="G29" s="40">
        <f t="shared" si="5"/>
        <v>0</v>
      </c>
      <c r="H29" s="40">
        <f t="shared" si="5"/>
        <v>0</v>
      </c>
      <c r="I29" s="40">
        <f t="shared" si="5"/>
        <v>0</v>
      </c>
      <c r="J29" s="40">
        <f t="shared" si="5"/>
        <v>0</v>
      </c>
      <c r="K29" s="40">
        <f t="shared" si="5"/>
        <v>0</v>
      </c>
      <c r="L29" s="40">
        <f t="shared" si="5"/>
        <v>0</v>
      </c>
      <c r="M29" s="40">
        <f t="shared" si="5"/>
        <v>0</v>
      </c>
      <c r="N29" s="40">
        <f t="shared" si="5"/>
        <v>0</v>
      </c>
      <c r="O29" s="40">
        <f t="shared" si="5"/>
        <v>0</v>
      </c>
      <c r="P29" s="246"/>
      <c r="Q29" s="241"/>
      <c r="U29" s="437"/>
      <c r="V29" s="437"/>
      <c r="W29" s="437"/>
      <c r="Y29" s="437"/>
      <c r="Z29" s="437"/>
    </row>
    <row r="30" spans="2:26" ht="12.75">
      <c r="B30" s="237"/>
      <c r="C30" s="246"/>
      <c r="D30" s="23"/>
      <c r="E30" s="246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246"/>
      <c r="Q30" s="241"/>
      <c r="U30" s="437"/>
      <c r="V30" s="437"/>
      <c r="W30" s="437"/>
      <c r="Y30" s="437"/>
      <c r="Z30" s="437"/>
    </row>
    <row r="31" spans="2:26" ht="12.75">
      <c r="B31" s="237"/>
      <c r="D31" s="10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Q31" s="241"/>
      <c r="U31" s="437"/>
      <c r="V31" s="437"/>
      <c r="W31" s="437"/>
      <c r="Y31" s="437"/>
      <c r="Z31" s="437"/>
    </row>
    <row r="32" spans="2:26" ht="12.75">
      <c r="B32" s="237"/>
      <c r="C32" s="246"/>
      <c r="D32" s="23"/>
      <c r="E32" s="246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246"/>
      <c r="Q32" s="241"/>
      <c r="U32" s="437"/>
      <c r="V32" s="437"/>
      <c r="W32" s="437"/>
      <c r="Y32" s="437"/>
      <c r="Z32" s="437"/>
    </row>
    <row r="33" spans="2:26" ht="12.75">
      <c r="B33" s="237"/>
      <c r="C33" s="246"/>
      <c r="D33" s="27" t="s">
        <v>242</v>
      </c>
      <c r="E33" s="246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246"/>
      <c r="Q33" s="241"/>
      <c r="U33" s="437"/>
      <c r="V33" s="437"/>
      <c r="W33" s="437"/>
      <c r="Y33" s="437"/>
      <c r="Z33" s="437"/>
    </row>
    <row r="34" spans="2:26" ht="12.75">
      <c r="B34" s="237"/>
      <c r="C34" s="246"/>
      <c r="D34" s="27"/>
      <c r="E34" s="246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246"/>
      <c r="Q34" s="241"/>
      <c r="U34" s="437"/>
      <c r="V34" s="437"/>
      <c r="W34" s="437"/>
      <c r="Y34" s="437"/>
      <c r="Z34" s="437"/>
    </row>
    <row r="35" spans="2:26" ht="12.75">
      <c r="B35" s="237"/>
      <c r="C35" s="246"/>
      <c r="D35" s="35" t="s">
        <v>253</v>
      </c>
      <c r="E35" s="246"/>
      <c r="F35" s="440">
        <f>SUMIF(mip!$D$13:$D$88,"gebouwen en terreinen",mip!Q$13:Q$88)</f>
        <v>0</v>
      </c>
      <c r="G35" s="440">
        <f>SUMIF(mip!$D$13:$D$88,"gebouwen en terreinen",mip!R$13:R$88)</f>
        <v>0</v>
      </c>
      <c r="H35" s="440">
        <f>SUMIF(mip!$D$13:$D$88,"gebouwen en terreinen",mip!S$13:S$88)</f>
        <v>0</v>
      </c>
      <c r="I35" s="440">
        <f>SUMIF(mip!$D$13:$D$88,"gebouwen en terreinen",mip!T$13:T$88)</f>
        <v>0</v>
      </c>
      <c r="J35" s="440">
        <f>SUMIF(mip!$D$13:$D$88,"gebouwen en terreinen",mip!U$13:U$88)</f>
        <v>0</v>
      </c>
      <c r="K35" s="440">
        <f>SUMIF(mip!$D$13:$D$88,"gebouwen en terreinen",mip!V$13:V$88)</f>
        <v>0</v>
      </c>
      <c r="L35" s="440">
        <f>SUMIF(mip!$D$13:$D$88,"gebouwen en terreinen",mip!W$13:W$88)</f>
        <v>0</v>
      </c>
      <c r="M35" s="440">
        <f>SUMIF(mip!$D$13:$D$88,"gebouwen en terreinen",mip!X$13:X$88)</f>
        <v>0</v>
      </c>
      <c r="N35" s="440">
        <f>SUMIF(mip!$D$13:$D$88,"gebouwen en terreinen",mip!Y$13:Y$88)</f>
        <v>0</v>
      </c>
      <c r="O35" s="440">
        <f>SUMIF(mip!$D$13:$D$88,"gebouwen en terreinen",mip!Z$13:Z$88)</f>
        <v>0</v>
      </c>
      <c r="P35" s="246"/>
      <c r="Q35" s="241"/>
      <c r="U35" s="437"/>
      <c r="V35" s="437"/>
      <c r="W35" s="437"/>
      <c r="Y35" s="437"/>
      <c r="Z35" s="437"/>
    </row>
    <row r="36" spans="2:26" ht="12.75">
      <c r="B36" s="237"/>
      <c r="C36" s="246"/>
      <c r="D36" s="35" t="s">
        <v>254</v>
      </c>
      <c r="E36" s="246"/>
      <c r="F36" s="440">
        <f>SUMIF(mip!$D$13:$D$88,"inventaris en apparatuur",mip!Q$13:Q$88)</f>
        <v>0</v>
      </c>
      <c r="G36" s="440">
        <f>SUMIF(mip!$D$13:$D$88,"inventaris en apparatuur",mip!R$13:R$88)</f>
        <v>0</v>
      </c>
      <c r="H36" s="440">
        <f>SUMIF(mip!$D$13:$D$88,"inventaris en apparatuur",mip!S$13:S$88)</f>
        <v>0</v>
      </c>
      <c r="I36" s="440">
        <f>SUMIF(mip!$D$13:$D$88,"inventaris en apparatuur",mip!T$13:T$88)</f>
        <v>0</v>
      </c>
      <c r="J36" s="440">
        <f>SUMIF(mip!$D$13:$D$88,"inventaris en apparatuur",mip!U$13:U$88)</f>
        <v>0</v>
      </c>
      <c r="K36" s="440">
        <f>SUMIF(mip!$D$13:$D$88,"inventaris en apparatuur",mip!V$13:V$88)</f>
        <v>0</v>
      </c>
      <c r="L36" s="440">
        <f>SUMIF(mip!$D$13:$D$88,"inventaris en apparatuur",mip!W$13:W$88)</f>
        <v>0</v>
      </c>
      <c r="M36" s="440">
        <f>SUMIF(mip!$D$13:$D$88,"inventaris en apparatuur",mip!X$13:X$88)</f>
        <v>0</v>
      </c>
      <c r="N36" s="440">
        <f>SUMIF(mip!$D$13:$D$88,"inventaris en apparatuur",mip!Y$13:Y$88)</f>
        <v>0</v>
      </c>
      <c r="O36" s="440">
        <f>SUMIF(mip!$D$13:$D$88,"inventaris en apparatuur",mip!Z$13:Z$88)</f>
        <v>0</v>
      </c>
      <c r="P36" s="246"/>
      <c r="Q36" s="241"/>
      <c r="U36" s="437"/>
      <c r="V36" s="437"/>
      <c r="W36" s="437"/>
      <c r="Y36" s="437"/>
      <c r="Z36" s="437"/>
    </row>
    <row r="37" spans="2:26" ht="12.75">
      <c r="B37" s="237"/>
      <c r="C37" s="246"/>
      <c r="D37" s="35" t="s">
        <v>255</v>
      </c>
      <c r="E37" s="246"/>
      <c r="F37" s="440">
        <f>SUMIF(mip!$D$13:$D$88,"leermiddelen po",mip!Q$13:Q$88)</f>
        <v>0</v>
      </c>
      <c r="G37" s="440">
        <f>SUMIF(mip!$D$13:$D$88,"leermiddelen po",mip!R$13:R$88)</f>
        <v>0</v>
      </c>
      <c r="H37" s="440">
        <f>SUMIF(mip!$D$13:$D$88,"leermiddelen po",mip!S$13:S$88)</f>
        <v>0</v>
      </c>
      <c r="I37" s="440">
        <f>SUMIF(mip!$D$13:$D$88,"leermiddelen po",mip!T$13:T$88)</f>
        <v>0</v>
      </c>
      <c r="J37" s="440">
        <f>SUMIF(mip!$D$13:$D$88,"leermiddelen po",mip!U$13:U$88)</f>
        <v>0</v>
      </c>
      <c r="K37" s="440">
        <f>SUMIF(mip!$D$13:$D$88,"leermiddelen po",mip!V$13:V$88)</f>
        <v>0</v>
      </c>
      <c r="L37" s="440">
        <f>SUMIF(mip!$D$13:$D$88,"leermiddelen po",mip!W$13:W$88)</f>
        <v>0</v>
      </c>
      <c r="M37" s="440">
        <f>SUMIF(mip!$D$13:$D$88,"leermiddelen po",mip!X$13:X$88)</f>
        <v>0</v>
      </c>
      <c r="N37" s="440">
        <f>SUMIF(mip!$D$13:$D$88,"leermiddelen po",mip!Y$13:Y$88)</f>
        <v>0</v>
      </c>
      <c r="O37" s="440">
        <f>SUMIF(mip!$D$13:$D$88,"leermiddelen po",mip!Z$13:Z$88)</f>
        <v>0</v>
      </c>
      <c r="P37" s="246"/>
      <c r="Q37" s="241"/>
      <c r="U37" s="437"/>
      <c r="V37" s="437"/>
      <c r="W37" s="437"/>
      <c r="Y37" s="437"/>
      <c r="Z37" s="437"/>
    </row>
    <row r="38" spans="2:26" ht="12.75">
      <c r="B38" s="237"/>
      <c r="C38" s="246"/>
      <c r="D38" s="35" t="s">
        <v>256</v>
      </c>
      <c r="E38" s="246"/>
      <c r="F38" s="440">
        <f>SUMIF(mip!$D$13:$D$88,"overige materiële vaste activa",mip!Q$13:Q$88)</f>
        <v>0</v>
      </c>
      <c r="G38" s="440">
        <f>SUMIF(mip!$D$13:$D$88,"overige materiële vaste activa",mip!R$13:R$88)</f>
        <v>0</v>
      </c>
      <c r="H38" s="440">
        <f>SUMIF(mip!$D$13:$D$88,"overige materiële vaste activa",mip!S$13:S$88)</f>
        <v>0</v>
      </c>
      <c r="I38" s="440">
        <f>SUMIF(mip!$D$13:$D$88,"overige materiële vaste activa",mip!T$13:T$88)</f>
        <v>0</v>
      </c>
      <c r="J38" s="440">
        <f>SUMIF(mip!$D$13:$D$88,"overige materiële vaste activa",mip!U$13:U$88)</f>
        <v>0</v>
      </c>
      <c r="K38" s="440">
        <f>SUMIF(mip!$D$13:$D$88,"overige materiële vaste activa",mip!V$13:V$88)</f>
        <v>0</v>
      </c>
      <c r="L38" s="440">
        <f>SUMIF(mip!$D$13:$D$88,"overige materiële vaste activa",mip!W$13:W$88)</f>
        <v>0</v>
      </c>
      <c r="M38" s="440">
        <f>SUMIF(mip!$D$13:$D$88,"overige materiële vaste activa",mip!X$13:X$88)</f>
        <v>0</v>
      </c>
      <c r="N38" s="440">
        <f>SUMIF(mip!$D$13:$D$88,"overige materiële vaste activa",mip!Y$13:Y$88)</f>
        <v>0</v>
      </c>
      <c r="O38" s="440">
        <f>SUMIF(mip!$D$13:$D$88,"overige materiële vaste activa",mip!Z$13:Z$88)</f>
        <v>0</v>
      </c>
      <c r="P38" s="246"/>
      <c r="Q38" s="241"/>
      <c r="U38" s="437"/>
      <c r="V38" s="437"/>
      <c r="W38" s="437"/>
      <c r="Y38" s="437"/>
      <c r="Z38" s="437"/>
    </row>
    <row r="39" spans="2:26" ht="12.75">
      <c r="B39" s="237"/>
      <c r="C39" s="246"/>
      <c r="D39" s="39" t="s">
        <v>88</v>
      </c>
      <c r="E39" s="246"/>
      <c r="F39" s="40">
        <f aca="true" t="shared" si="6" ref="F39:O39">SUM(F35:F38)</f>
        <v>0</v>
      </c>
      <c r="G39" s="40">
        <f t="shared" si="6"/>
        <v>0</v>
      </c>
      <c r="H39" s="40">
        <f t="shared" si="6"/>
        <v>0</v>
      </c>
      <c r="I39" s="40">
        <f t="shared" si="6"/>
        <v>0</v>
      </c>
      <c r="J39" s="40">
        <f t="shared" si="6"/>
        <v>0</v>
      </c>
      <c r="K39" s="40">
        <f t="shared" si="6"/>
        <v>0</v>
      </c>
      <c r="L39" s="40">
        <f t="shared" si="6"/>
        <v>0</v>
      </c>
      <c r="M39" s="40">
        <f t="shared" si="6"/>
        <v>0</v>
      </c>
      <c r="N39" s="40">
        <f t="shared" si="6"/>
        <v>0</v>
      </c>
      <c r="O39" s="40">
        <f t="shared" si="6"/>
        <v>0</v>
      </c>
      <c r="P39" s="246"/>
      <c r="Q39" s="241"/>
      <c r="U39" s="437"/>
      <c r="V39" s="437"/>
      <c r="W39" s="437"/>
      <c r="Y39" s="437"/>
      <c r="Z39" s="437"/>
    </row>
    <row r="40" spans="2:26" ht="12.75">
      <c r="B40" s="237"/>
      <c r="C40" s="246"/>
      <c r="D40" s="23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1"/>
      <c r="U40" s="437"/>
      <c r="V40" s="437"/>
      <c r="W40" s="437"/>
      <c r="Y40" s="437"/>
      <c r="Z40" s="437"/>
    </row>
    <row r="41" spans="2:26" ht="12.75">
      <c r="B41" s="237"/>
      <c r="C41" s="246"/>
      <c r="D41" s="23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1"/>
      <c r="U41" s="437"/>
      <c r="V41" s="437"/>
      <c r="W41" s="437"/>
      <c r="Y41" s="437"/>
      <c r="Z41" s="437"/>
    </row>
    <row r="42" spans="2:26" ht="12.75">
      <c r="B42" s="237"/>
      <c r="C42" s="246"/>
      <c r="D42" s="27" t="s">
        <v>541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1"/>
      <c r="U42" s="437"/>
      <c r="V42" s="437"/>
      <c r="W42" s="437"/>
      <c r="Y42" s="437"/>
      <c r="Z42" s="437"/>
    </row>
    <row r="43" spans="2:26" ht="12.75">
      <c r="B43" s="237"/>
      <c r="C43" s="246"/>
      <c r="D43" s="2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1"/>
      <c r="U43" s="437"/>
      <c r="V43" s="437"/>
      <c r="W43" s="437"/>
      <c r="Y43" s="437"/>
      <c r="Z43" s="437"/>
    </row>
    <row r="44" spans="2:26" ht="12.75">
      <c r="B44" s="237"/>
      <c r="C44" s="246"/>
      <c r="D44" s="35" t="s">
        <v>253</v>
      </c>
      <c r="E44" s="246"/>
      <c r="F44" s="495">
        <v>0</v>
      </c>
      <c r="G44" s="495">
        <v>0</v>
      </c>
      <c r="H44" s="495">
        <v>0</v>
      </c>
      <c r="I44" s="495">
        <v>0</v>
      </c>
      <c r="J44" s="495">
        <v>0</v>
      </c>
      <c r="K44" s="495">
        <v>0</v>
      </c>
      <c r="L44" s="495">
        <v>0</v>
      </c>
      <c r="M44" s="495">
        <v>0</v>
      </c>
      <c r="N44" s="495">
        <v>0</v>
      </c>
      <c r="O44" s="495">
        <v>0</v>
      </c>
      <c r="P44" s="246"/>
      <c r="Q44" s="241"/>
      <c r="U44" s="437"/>
      <c r="V44" s="437"/>
      <c r="W44" s="437"/>
      <c r="Y44" s="437"/>
      <c r="Z44" s="437"/>
    </row>
    <row r="45" spans="2:26" ht="12.75">
      <c r="B45" s="237"/>
      <c r="C45" s="246"/>
      <c r="D45" s="35" t="s">
        <v>254</v>
      </c>
      <c r="E45" s="246"/>
      <c r="F45" s="495">
        <v>0</v>
      </c>
      <c r="G45" s="495">
        <v>0</v>
      </c>
      <c r="H45" s="495">
        <v>0</v>
      </c>
      <c r="I45" s="495">
        <v>0</v>
      </c>
      <c r="J45" s="495">
        <v>0</v>
      </c>
      <c r="K45" s="495">
        <v>0</v>
      </c>
      <c r="L45" s="495">
        <v>0</v>
      </c>
      <c r="M45" s="495">
        <v>0</v>
      </c>
      <c r="N45" s="495">
        <v>0</v>
      </c>
      <c r="O45" s="495">
        <v>0</v>
      </c>
      <c r="P45" s="246"/>
      <c r="Q45" s="241"/>
      <c r="U45" s="437"/>
      <c r="V45" s="437"/>
      <c r="W45" s="437"/>
      <c r="Y45" s="437"/>
      <c r="Z45" s="437"/>
    </row>
    <row r="46" spans="2:26" ht="12.75">
      <c r="B46" s="237"/>
      <c r="C46" s="246"/>
      <c r="D46" s="35" t="s">
        <v>255</v>
      </c>
      <c r="E46" s="246"/>
      <c r="F46" s="495">
        <v>0</v>
      </c>
      <c r="G46" s="495">
        <v>0</v>
      </c>
      <c r="H46" s="495">
        <v>0</v>
      </c>
      <c r="I46" s="495">
        <v>0</v>
      </c>
      <c r="J46" s="495">
        <v>0</v>
      </c>
      <c r="K46" s="495">
        <v>0</v>
      </c>
      <c r="L46" s="495">
        <v>0</v>
      </c>
      <c r="M46" s="495">
        <v>0</v>
      </c>
      <c r="N46" s="495">
        <v>0</v>
      </c>
      <c r="O46" s="495">
        <v>0</v>
      </c>
      <c r="P46" s="246"/>
      <c r="Q46" s="241"/>
      <c r="U46" s="437"/>
      <c r="V46" s="437"/>
      <c r="W46" s="437"/>
      <c r="Y46" s="437"/>
      <c r="Z46" s="437"/>
    </row>
    <row r="47" spans="2:26" ht="12.75">
      <c r="B47" s="237"/>
      <c r="C47" s="246"/>
      <c r="D47" s="35" t="s">
        <v>256</v>
      </c>
      <c r="E47" s="246"/>
      <c r="F47" s="495">
        <v>0</v>
      </c>
      <c r="G47" s="495">
        <v>0</v>
      </c>
      <c r="H47" s="495">
        <v>0</v>
      </c>
      <c r="I47" s="495">
        <v>0</v>
      </c>
      <c r="J47" s="495">
        <v>0</v>
      </c>
      <c r="K47" s="495">
        <v>0</v>
      </c>
      <c r="L47" s="495">
        <v>0</v>
      </c>
      <c r="M47" s="495">
        <v>0</v>
      </c>
      <c r="N47" s="495">
        <v>0</v>
      </c>
      <c r="O47" s="495">
        <v>0</v>
      </c>
      <c r="P47" s="246"/>
      <c r="Q47" s="241"/>
      <c r="U47" s="437"/>
      <c r="V47" s="437"/>
      <c r="W47" s="437"/>
      <c r="Y47" s="437"/>
      <c r="Z47" s="437"/>
    </row>
    <row r="48" spans="2:26" ht="12.75">
      <c r="B48" s="237"/>
      <c r="C48" s="246"/>
      <c r="D48" s="39" t="s">
        <v>88</v>
      </c>
      <c r="E48" s="246"/>
      <c r="F48" s="40">
        <f aca="true" t="shared" si="7" ref="F48:O48">SUM(F44:F47)</f>
        <v>0</v>
      </c>
      <c r="G48" s="40">
        <f t="shared" si="7"/>
        <v>0</v>
      </c>
      <c r="H48" s="40">
        <f t="shared" si="7"/>
        <v>0</v>
      </c>
      <c r="I48" s="40">
        <f t="shared" si="7"/>
        <v>0</v>
      </c>
      <c r="J48" s="40">
        <f t="shared" si="7"/>
        <v>0</v>
      </c>
      <c r="K48" s="40">
        <f t="shared" si="7"/>
        <v>0</v>
      </c>
      <c r="L48" s="40">
        <f t="shared" si="7"/>
        <v>0</v>
      </c>
      <c r="M48" s="40">
        <f t="shared" si="7"/>
        <v>0</v>
      </c>
      <c r="N48" s="40">
        <f t="shared" si="7"/>
        <v>0</v>
      </c>
      <c r="O48" s="40">
        <f t="shared" si="7"/>
        <v>0</v>
      </c>
      <c r="P48" s="246"/>
      <c r="Q48" s="241"/>
      <c r="U48" s="437"/>
      <c r="V48" s="437"/>
      <c r="W48" s="437"/>
      <c r="Y48" s="437"/>
      <c r="Z48" s="437"/>
    </row>
    <row r="49" spans="2:26" ht="12.75">
      <c r="B49" s="237"/>
      <c r="C49" s="246"/>
      <c r="D49" s="23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1"/>
      <c r="U49" s="437"/>
      <c r="V49" s="437"/>
      <c r="W49" s="437"/>
      <c r="Y49" s="437"/>
      <c r="Z49" s="437"/>
    </row>
    <row r="50" spans="2:26" s="37" customFormat="1" ht="12.75">
      <c r="B50" s="33"/>
      <c r="C50" s="34"/>
      <c r="D50" s="34" t="s">
        <v>540</v>
      </c>
      <c r="E50" s="34"/>
      <c r="F50" s="40">
        <f>F39+F48</f>
        <v>0</v>
      </c>
      <c r="G50" s="40">
        <f aca="true" t="shared" si="8" ref="G50:O50">G39+G48</f>
        <v>0</v>
      </c>
      <c r="H50" s="40">
        <f t="shared" si="8"/>
        <v>0</v>
      </c>
      <c r="I50" s="40">
        <f t="shared" si="8"/>
        <v>0</v>
      </c>
      <c r="J50" s="40">
        <f t="shared" si="8"/>
        <v>0</v>
      </c>
      <c r="K50" s="40">
        <f t="shared" si="8"/>
        <v>0</v>
      </c>
      <c r="L50" s="40">
        <f t="shared" si="8"/>
        <v>0</v>
      </c>
      <c r="M50" s="40">
        <f t="shared" si="8"/>
        <v>0</v>
      </c>
      <c r="N50" s="40">
        <f t="shared" si="8"/>
        <v>0</v>
      </c>
      <c r="O50" s="40">
        <f t="shared" si="8"/>
        <v>0</v>
      </c>
      <c r="P50" s="34"/>
      <c r="Q50" s="497"/>
      <c r="T50" s="498"/>
      <c r="U50" s="498"/>
      <c r="V50" s="498"/>
      <c r="W50" s="498"/>
      <c r="X50" s="498"/>
      <c r="Y50" s="498"/>
      <c r="Z50" s="498"/>
    </row>
    <row r="51" spans="2:26" ht="12.75">
      <c r="B51" s="237"/>
      <c r="C51" s="246"/>
      <c r="D51" s="23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1"/>
      <c r="U51" s="437"/>
      <c r="V51" s="437"/>
      <c r="W51" s="437"/>
      <c r="Y51" s="437"/>
      <c r="Z51" s="437"/>
    </row>
    <row r="52" spans="2:26" ht="12.75">
      <c r="B52" s="237"/>
      <c r="D52" s="10"/>
      <c r="Q52" s="241"/>
      <c r="U52" s="437"/>
      <c r="V52" s="437"/>
      <c r="W52" s="437"/>
      <c r="Y52" s="437"/>
      <c r="Z52" s="437"/>
    </row>
    <row r="53" spans="2:26" ht="12.75">
      <c r="B53" s="237"/>
      <c r="C53" s="246"/>
      <c r="D53" s="23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1"/>
      <c r="U53" s="437"/>
      <c r="V53" s="437"/>
      <c r="W53" s="437"/>
      <c r="Y53" s="437"/>
      <c r="Z53" s="437"/>
    </row>
    <row r="54" spans="2:26" ht="12.75">
      <c r="B54" s="237"/>
      <c r="C54" s="246"/>
      <c r="D54" s="27" t="s">
        <v>415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1"/>
      <c r="U54" s="437"/>
      <c r="V54" s="437"/>
      <c r="W54" s="437"/>
      <c r="Y54" s="437"/>
      <c r="Z54" s="437"/>
    </row>
    <row r="55" spans="2:26" ht="12.75">
      <c r="B55" s="237"/>
      <c r="C55" s="246"/>
      <c r="D55" s="27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1"/>
      <c r="U55" s="437"/>
      <c r="V55" s="437"/>
      <c r="W55" s="437"/>
      <c r="Y55" s="437"/>
      <c r="Z55" s="437"/>
    </row>
    <row r="56" spans="2:26" ht="12.75">
      <c r="B56" s="237"/>
      <c r="C56" s="246"/>
      <c r="D56" s="35" t="s">
        <v>253</v>
      </c>
      <c r="E56" s="246"/>
      <c r="F56" s="440">
        <f>F15+F25-F35-F44</f>
        <v>0</v>
      </c>
      <c r="G56" s="440">
        <f aca="true" t="shared" si="9" ref="G56:O56">G15+G25-G35-G44</f>
        <v>0</v>
      </c>
      <c r="H56" s="440">
        <f t="shared" si="9"/>
        <v>0</v>
      </c>
      <c r="I56" s="440">
        <f t="shared" si="9"/>
        <v>0</v>
      </c>
      <c r="J56" s="440">
        <f t="shared" si="9"/>
        <v>0</v>
      </c>
      <c r="K56" s="440">
        <f t="shared" si="9"/>
        <v>0</v>
      </c>
      <c r="L56" s="440">
        <f t="shared" si="9"/>
        <v>0</v>
      </c>
      <c r="M56" s="440">
        <f t="shared" si="9"/>
        <v>0</v>
      </c>
      <c r="N56" s="440">
        <f t="shared" si="9"/>
        <v>0</v>
      </c>
      <c r="O56" s="440">
        <f t="shared" si="9"/>
        <v>0</v>
      </c>
      <c r="P56" s="246"/>
      <c r="Q56" s="241"/>
      <c r="U56" s="437"/>
      <c r="V56" s="437"/>
      <c r="W56" s="437"/>
      <c r="Y56" s="437"/>
      <c r="Z56" s="437"/>
    </row>
    <row r="57" spans="2:26" ht="12.75">
      <c r="B57" s="237"/>
      <c r="C57" s="246"/>
      <c r="D57" s="35" t="s">
        <v>254</v>
      </c>
      <c r="E57" s="246"/>
      <c r="F57" s="440">
        <f aca="true" t="shared" si="10" ref="F57:O59">F16+F26-F36-F45</f>
        <v>0</v>
      </c>
      <c r="G57" s="440">
        <f t="shared" si="10"/>
        <v>0</v>
      </c>
      <c r="H57" s="440">
        <f t="shared" si="10"/>
        <v>0</v>
      </c>
      <c r="I57" s="440">
        <f t="shared" si="10"/>
        <v>0</v>
      </c>
      <c r="J57" s="440">
        <f t="shared" si="10"/>
        <v>0</v>
      </c>
      <c r="K57" s="440">
        <f t="shared" si="10"/>
        <v>0</v>
      </c>
      <c r="L57" s="440">
        <f t="shared" si="10"/>
        <v>0</v>
      </c>
      <c r="M57" s="440">
        <f t="shared" si="10"/>
        <v>0</v>
      </c>
      <c r="N57" s="440">
        <f t="shared" si="10"/>
        <v>0</v>
      </c>
      <c r="O57" s="440">
        <f t="shared" si="10"/>
        <v>0</v>
      </c>
      <c r="P57" s="246"/>
      <c r="Q57" s="241"/>
      <c r="U57" s="437"/>
      <c r="V57" s="437"/>
      <c r="W57" s="437"/>
      <c r="Y57" s="437"/>
      <c r="Z57" s="437"/>
    </row>
    <row r="58" spans="2:26" ht="12.75">
      <c r="B58" s="237"/>
      <c r="C58" s="246"/>
      <c r="D58" s="35" t="s">
        <v>255</v>
      </c>
      <c r="E58" s="246"/>
      <c r="F58" s="440">
        <f t="shared" si="10"/>
        <v>0</v>
      </c>
      <c r="G58" s="440">
        <f t="shared" si="10"/>
        <v>0</v>
      </c>
      <c r="H58" s="440">
        <f t="shared" si="10"/>
        <v>0</v>
      </c>
      <c r="I58" s="440">
        <f t="shared" si="10"/>
        <v>0</v>
      </c>
      <c r="J58" s="440">
        <f t="shared" si="10"/>
        <v>0</v>
      </c>
      <c r="K58" s="440">
        <f t="shared" si="10"/>
        <v>0</v>
      </c>
      <c r="L58" s="440">
        <f t="shared" si="10"/>
        <v>0</v>
      </c>
      <c r="M58" s="440">
        <f t="shared" si="10"/>
        <v>0</v>
      </c>
      <c r="N58" s="440">
        <f t="shared" si="10"/>
        <v>0</v>
      </c>
      <c r="O58" s="440">
        <f t="shared" si="10"/>
        <v>0</v>
      </c>
      <c r="P58" s="246"/>
      <c r="Q58" s="241"/>
      <c r="U58" s="437"/>
      <c r="V58" s="437"/>
      <c r="W58" s="437"/>
      <c r="Y58" s="437"/>
      <c r="Z58" s="437"/>
    </row>
    <row r="59" spans="2:26" ht="12.75">
      <c r="B59" s="237"/>
      <c r="C59" s="246"/>
      <c r="D59" s="35" t="s">
        <v>256</v>
      </c>
      <c r="E59" s="246"/>
      <c r="F59" s="440">
        <f t="shared" si="10"/>
        <v>0</v>
      </c>
      <c r="G59" s="440">
        <f t="shared" si="10"/>
        <v>0</v>
      </c>
      <c r="H59" s="440">
        <f t="shared" si="10"/>
        <v>0</v>
      </c>
      <c r="I59" s="440">
        <f t="shared" si="10"/>
        <v>0</v>
      </c>
      <c r="J59" s="440">
        <f t="shared" si="10"/>
        <v>0</v>
      </c>
      <c r="K59" s="440">
        <f t="shared" si="10"/>
        <v>0</v>
      </c>
      <c r="L59" s="440">
        <f t="shared" si="10"/>
        <v>0</v>
      </c>
      <c r="M59" s="440">
        <f t="shared" si="10"/>
        <v>0</v>
      </c>
      <c r="N59" s="440">
        <f t="shared" si="10"/>
        <v>0</v>
      </c>
      <c r="O59" s="440">
        <f t="shared" si="10"/>
        <v>0</v>
      </c>
      <c r="P59" s="246"/>
      <c r="Q59" s="241"/>
      <c r="U59" s="437"/>
      <c r="V59" s="437"/>
      <c r="W59" s="437"/>
      <c r="Y59" s="437"/>
      <c r="Z59" s="437"/>
    </row>
    <row r="60" spans="2:26" ht="12.75">
      <c r="B60" s="237"/>
      <c r="C60" s="246"/>
      <c r="D60" s="39" t="s">
        <v>88</v>
      </c>
      <c r="E60" s="246"/>
      <c r="F60" s="40">
        <f aca="true" t="shared" si="11" ref="F60:O60">SUM(F56:F59)</f>
        <v>0</v>
      </c>
      <c r="G60" s="40">
        <f t="shared" si="11"/>
        <v>0</v>
      </c>
      <c r="H60" s="40">
        <f t="shared" si="11"/>
        <v>0</v>
      </c>
      <c r="I60" s="40">
        <f t="shared" si="11"/>
        <v>0</v>
      </c>
      <c r="J60" s="40">
        <f t="shared" si="11"/>
        <v>0</v>
      </c>
      <c r="K60" s="40">
        <f t="shared" si="11"/>
        <v>0</v>
      </c>
      <c r="L60" s="40">
        <f t="shared" si="11"/>
        <v>0</v>
      </c>
      <c r="M60" s="40">
        <f t="shared" si="11"/>
        <v>0</v>
      </c>
      <c r="N60" s="40">
        <f t="shared" si="11"/>
        <v>0</v>
      </c>
      <c r="O60" s="40">
        <f t="shared" si="11"/>
        <v>0</v>
      </c>
      <c r="P60" s="246"/>
      <c r="Q60" s="241"/>
      <c r="U60" s="437"/>
      <c r="V60" s="437"/>
      <c r="W60" s="437"/>
      <c r="Y60" s="437"/>
      <c r="Z60" s="437"/>
    </row>
    <row r="61" spans="2:26" ht="12.75">
      <c r="B61" s="237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1"/>
      <c r="U61" s="437"/>
      <c r="V61" s="437"/>
      <c r="W61" s="437"/>
      <c r="Y61" s="437"/>
      <c r="Z61" s="437"/>
    </row>
    <row r="62" spans="2:26" ht="12.75">
      <c r="B62" s="237"/>
      <c r="Q62" s="241"/>
      <c r="U62" s="437"/>
      <c r="V62" s="437"/>
      <c r="W62" s="437"/>
      <c r="Y62" s="437"/>
      <c r="Z62" s="437"/>
    </row>
    <row r="63" spans="2:17" ht="13.5" thickBot="1">
      <c r="B63" s="252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5"/>
    </row>
  </sheetData>
  <sheetProtection password="DE55" sheet="1" objects="1" scenarios="1"/>
  <printOptions/>
  <pageMargins left="0.75" right="0.75" top="1" bottom="1" header="0.5" footer="0.5"/>
  <pageSetup horizontalDpi="600" verticalDpi="600" orientation="landscape" paperSize="9" scale="54" r:id="rId3"/>
  <headerFooter alignWithMargins="0">
    <oddHeader>&amp;L&amp;"Arial,Vet"&amp;F&amp;R&amp;"Arial,Vet"&amp;A</oddHeader>
    <oddFooter>&amp;L&amp;"Arial,Vet"vos/abb&amp;C&amp;"Arial,Vet"&amp;P&amp;R&amp;"Arial,Vet"&amp;D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00"/>
  <sheetViews>
    <sheetView showGridLines="0" zoomScale="85" zoomScaleNormal="85" workbookViewId="0" topLeftCell="A1">
      <pane ySplit="9" topLeftCell="BM10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7109375" style="10" customWidth="1"/>
    <col min="2" max="3" width="2.7109375" style="10" customWidth="1"/>
    <col min="4" max="4" width="45.7109375" style="504" customWidth="1"/>
    <col min="5" max="5" width="2.7109375" style="10" customWidth="1"/>
    <col min="6" max="9" width="16.8515625" style="10" customWidth="1"/>
    <col min="10" max="11" width="2.7109375" style="10" customWidth="1"/>
    <col min="12" max="16384" width="9.140625" style="10" customWidth="1"/>
  </cols>
  <sheetData>
    <row r="1" ht="13.5" thickBot="1"/>
    <row r="2" spans="2:11" ht="12.75">
      <c r="B2" s="7"/>
      <c r="C2" s="8"/>
      <c r="D2" s="505"/>
      <c r="E2" s="8"/>
      <c r="F2" s="8"/>
      <c r="G2" s="8"/>
      <c r="H2" s="8"/>
      <c r="I2" s="8"/>
      <c r="J2" s="8"/>
      <c r="K2" s="9"/>
    </row>
    <row r="3" spans="2:11" ht="12.75">
      <c r="B3" s="11"/>
      <c r="K3" s="12"/>
    </row>
    <row r="4" spans="2:11" ht="18">
      <c r="B4" s="13"/>
      <c r="C4" s="14" t="s">
        <v>236</v>
      </c>
      <c r="D4" s="506"/>
      <c r="F4" s="15"/>
      <c r="I4" s="42"/>
      <c r="K4" s="12"/>
    </row>
    <row r="5" spans="2:11" ht="12.75">
      <c r="B5" s="11"/>
      <c r="K5" s="12"/>
    </row>
    <row r="6" spans="2:11" ht="12.75">
      <c r="B6" s="11"/>
      <c r="F6" s="16"/>
      <c r="G6" s="16"/>
      <c r="H6" s="16"/>
      <c r="I6" s="17"/>
      <c r="K6" s="12"/>
    </row>
    <row r="7" spans="2:11" ht="12.75">
      <c r="B7" s="11"/>
      <c r="E7" s="18"/>
      <c r="F7" s="19"/>
      <c r="G7" s="19"/>
      <c r="H7" s="19"/>
      <c r="I7" s="19"/>
      <c r="J7" s="20"/>
      <c r="K7" s="21"/>
    </row>
    <row r="8" spans="2:11" ht="12.75">
      <c r="B8" s="11"/>
      <c r="E8" s="18"/>
      <c r="F8" s="22">
        <f>tab!H12</f>
        <v>2008</v>
      </c>
      <c r="G8" s="22">
        <f>F8+1</f>
        <v>2009</v>
      </c>
      <c r="H8" s="22">
        <f>G8+1</f>
        <v>2010</v>
      </c>
      <c r="I8" s="22">
        <f>H8+1</f>
        <v>2011</v>
      </c>
      <c r="J8" s="20"/>
      <c r="K8" s="21"/>
    </row>
    <row r="9" spans="2:11" ht="12.75">
      <c r="B9" s="11"/>
      <c r="E9" s="18"/>
      <c r="J9" s="20"/>
      <c r="K9" s="21"/>
    </row>
    <row r="10" spans="2:11" ht="12.75">
      <c r="B10" s="11"/>
      <c r="E10" s="18"/>
      <c r="J10" s="20"/>
      <c r="K10" s="21"/>
    </row>
    <row r="11" spans="2:11" ht="12.75">
      <c r="B11" s="11"/>
      <c r="C11" s="23"/>
      <c r="D11" s="507"/>
      <c r="E11" s="24"/>
      <c r="F11" s="23"/>
      <c r="G11" s="23"/>
      <c r="H11" s="23"/>
      <c r="I11" s="23"/>
      <c r="J11" s="25"/>
      <c r="K11" s="21"/>
    </row>
    <row r="12" spans="2:11" ht="12.75">
      <c r="B12" s="26"/>
      <c r="C12" s="27"/>
      <c r="D12" s="508" t="s">
        <v>514</v>
      </c>
      <c r="E12" s="23"/>
      <c r="F12" s="23"/>
      <c r="G12" s="23"/>
      <c r="H12" s="23"/>
      <c r="I12" s="23"/>
      <c r="J12" s="23"/>
      <c r="K12" s="12"/>
    </row>
    <row r="13" spans="2:11" ht="12.75">
      <c r="B13" s="11"/>
      <c r="C13" s="23"/>
      <c r="D13" s="509"/>
      <c r="E13" s="23"/>
      <c r="F13" s="30"/>
      <c r="G13" s="31"/>
      <c r="H13" s="31"/>
      <c r="I13" s="23"/>
      <c r="J13" s="23"/>
      <c r="K13" s="12"/>
    </row>
    <row r="14" spans="2:11" ht="12.75">
      <c r="B14" s="11"/>
      <c r="C14" s="23"/>
      <c r="D14" s="510" t="s">
        <v>506</v>
      </c>
      <c r="E14" s="23"/>
      <c r="F14" s="30"/>
      <c r="G14" s="31"/>
      <c r="H14" s="31"/>
      <c r="I14" s="23"/>
      <c r="J14" s="23"/>
      <c r="K14" s="12"/>
    </row>
    <row r="15" spans="2:11" ht="12.75">
      <c r="B15" s="11"/>
      <c r="C15" s="23"/>
      <c r="D15" s="509"/>
      <c r="E15" s="23"/>
      <c r="F15" s="30"/>
      <c r="G15" s="31"/>
      <c r="H15" s="31"/>
      <c r="I15" s="23"/>
      <c r="J15" s="23"/>
      <c r="K15" s="12"/>
    </row>
    <row r="16" spans="2:11" ht="12.75">
      <c r="B16" s="11"/>
      <c r="C16" s="23"/>
      <c r="D16" s="509" t="s">
        <v>237</v>
      </c>
      <c r="E16" s="23"/>
      <c r="F16" s="36"/>
      <c r="G16" s="31"/>
      <c r="H16" s="31"/>
      <c r="I16" s="23"/>
      <c r="J16" s="23"/>
      <c r="K16" s="12"/>
    </row>
    <row r="17" spans="2:11" ht="12.75">
      <c r="B17" s="11"/>
      <c r="C17" s="23"/>
      <c r="D17" s="507" t="s">
        <v>238</v>
      </c>
      <c r="E17" s="23"/>
      <c r="F17" s="36"/>
      <c r="G17" s="31"/>
      <c r="H17" s="31"/>
      <c r="I17" s="23"/>
      <c r="J17" s="23"/>
      <c r="K17" s="12"/>
    </row>
    <row r="18" spans="2:11" ht="12.75">
      <c r="B18" s="11"/>
      <c r="C18" s="23"/>
      <c r="D18" s="507" t="s">
        <v>269</v>
      </c>
      <c r="E18" s="23"/>
      <c r="F18" s="410">
        <f>+begr!G14*7/12+begr!H14*5/12</f>
        <v>830622.9166666667</v>
      </c>
      <c r="G18" s="410">
        <f>+begr!H14*7/12+begr!I14*5/12</f>
        <v>836563</v>
      </c>
      <c r="H18" s="410">
        <f>+begr!I14*7/12+begr!J14*5/12</f>
        <v>836563</v>
      </c>
      <c r="I18" s="410">
        <f>+begr!J14*7/12+begr!K14*5/12</f>
        <v>836563</v>
      </c>
      <c r="J18" s="23"/>
      <c r="K18" s="12"/>
    </row>
    <row r="19" spans="2:11" ht="12" customHeight="1">
      <c r="B19" s="11"/>
      <c r="C19" s="23"/>
      <c r="D19" s="507" t="s">
        <v>270</v>
      </c>
      <c r="E19" s="23"/>
      <c r="F19" s="410">
        <f>+begr!H123</f>
        <v>40253</v>
      </c>
      <c r="G19" s="410">
        <f>+begr!I123</f>
        <v>40253</v>
      </c>
      <c r="H19" s="410">
        <f>+begr!J123</f>
        <v>40253</v>
      </c>
      <c r="I19" s="410">
        <f>+begr!K123</f>
        <v>40253</v>
      </c>
      <c r="J19" s="23"/>
      <c r="K19" s="12"/>
    </row>
    <row r="20" spans="2:11" s="42" customFormat="1" ht="12" customHeight="1">
      <c r="B20" s="51"/>
      <c r="C20" s="28"/>
      <c r="D20" s="507" t="s">
        <v>239</v>
      </c>
      <c r="E20" s="28"/>
      <c r="F20" s="410">
        <f>+begr!G15*7/12+begr!H15*5/12</f>
        <v>13618.9725</v>
      </c>
      <c r="G20" s="410">
        <f>+begr!H15*7/12+begr!I15*5/12</f>
        <v>13275.150000000001</v>
      </c>
      <c r="H20" s="410">
        <f>+begr!I15*7/12+begr!J15*5/12</f>
        <v>13275.150000000001</v>
      </c>
      <c r="I20" s="410">
        <f>+begr!J15*7/12+begr!K15*5/12</f>
        <v>13275.150000000001</v>
      </c>
      <c r="J20" s="28"/>
      <c r="K20" s="56"/>
    </row>
    <row r="21" spans="2:11" s="42" customFormat="1" ht="12" customHeight="1">
      <c r="B21" s="51"/>
      <c r="C21" s="28"/>
      <c r="D21" s="508"/>
      <c r="E21" s="28"/>
      <c r="F21" s="198">
        <f>SUM(F18:F20)</f>
        <v>884494.8891666668</v>
      </c>
      <c r="G21" s="198">
        <f>SUM(G18:G20)</f>
        <v>890091.15</v>
      </c>
      <c r="H21" s="198">
        <f>SUM(H18:H20)</f>
        <v>890091.15</v>
      </c>
      <c r="I21" s="198">
        <f>SUM(I18:I20)</f>
        <v>890091.15</v>
      </c>
      <c r="J21" s="28"/>
      <c r="K21" s="56"/>
    </row>
    <row r="22" spans="2:11" ht="12" customHeight="1">
      <c r="B22" s="11"/>
      <c r="C22" s="23"/>
      <c r="D22" s="509" t="s">
        <v>240</v>
      </c>
      <c r="E22" s="23"/>
      <c r="F22" s="23"/>
      <c r="G22" s="23"/>
      <c r="H22" s="23"/>
      <c r="I22" s="23"/>
      <c r="J22" s="23"/>
      <c r="K22" s="12"/>
    </row>
    <row r="23" spans="2:11" ht="12" customHeight="1">
      <c r="B23" s="11"/>
      <c r="C23" s="23"/>
      <c r="D23" s="507" t="s">
        <v>273</v>
      </c>
      <c r="E23" s="23"/>
      <c r="F23" s="48">
        <f>+begr!G19*7/12+begr!H19*5/12+begr!G70*7/12+begr!H70*5/12</f>
        <v>0</v>
      </c>
      <c r="G23" s="48">
        <f>+begr!H19*7/12+begr!I19*5/12+begr!H70*7/12+begr!I70*5/12</f>
        <v>0</v>
      </c>
      <c r="H23" s="48">
        <f>+begr!I19*7/12+begr!J19*5/12+begr!I70*7/12+begr!J70*5/12</f>
        <v>0</v>
      </c>
      <c r="I23" s="48">
        <f>+begr!J19*7/12+begr!K19*5/12+begr!J70*7/12+begr!K70*5/12</f>
        <v>0</v>
      </c>
      <c r="J23" s="23"/>
      <c r="K23" s="12"/>
    </row>
    <row r="24" spans="2:11" s="42" customFormat="1" ht="12" customHeight="1">
      <c r="B24" s="51"/>
      <c r="C24" s="28"/>
      <c r="D24" s="508"/>
      <c r="E24" s="28"/>
      <c r="F24" s="483">
        <f>SUM(F23)</f>
        <v>0</v>
      </c>
      <c r="G24" s="483">
        <f>SUM(G23)</f>
        <v>0</v>
      </c>
      <c r="H24" s="483">
        <f>SUM(H23)</f>
        <v>0</v>
      </c>
      <c r="I24" s="483">
        <f>SUM(I23)</f>
        <v>0</v>
      </c>
      <c r="J24" s="28"/>
      <c r="K24" s="56"/>
    </row>
    <row r="25" spans="2:11" ht="12" customHeight="1">
      <c r="B25" s="11"/>
      <c r="C25" s="23"/>
      <c r="D25" s="509" t="s">
        <v>241</v>
      </c>
      <c r="E25" s="23"/>
      <c r="F25" s="23"/>
      <c r="G25" s="23"/>
      <c r="H25" s="23"/>
      <c r="I25" s="23"/>
      <c r="J25" s="23"/>
      <c r="K25" s="12"/>
    </row>
    <row r="26" spans="2:11" ht="12" customHeight="1">
      <c r="B26" s="11"/>
      <c r="C26" s="23"/>
      <c r="D26" s="507" t="s">
        <v>271</v>
      </c>
      <c r="E26" s="23"/>
      <c r="F26" s="48">
        <f>+begr!G17*7/12+begr!H17*5/12+begr!G68*7/12+begr!H68*5/12</f>
        <v>0</v>
      </c>
      <c r="G26" s="48">
        <f>+begr!H17*7/12+begr!I17*5/12+begr!H68*7/12+begr!I68*5/12</f>
        <v>0</v>
      </c>
      <c r="H26" s="48">
        <f>+begr!I17*7/12+begr!J17*5/12+begr!I68*7/12+begr!J68*5/12</f>
        <v>0</v>
      </c>
      <c r="I26" s="48">
        <f>+begr!J17*7/12+begr!K17*5/12+begr!J68*7/12+begr!K68*5/12</f>
        <v>0</v>
      </c>
      <c r="J26" s="23"/>
      <c r="K26" s="12"/>
    </row>
    <row r="27" spans="2:11" ht="12" customHeight="1">
      <c r="B27" s="11"/>
      <c r="C27" s="23"/>
      <c r="D27" s="507" t="s">
        <v>272</v>
      </c>
      <c r="E27" s="23"/>
      <c r="F27" s="48">
        <f>+begr!G18*7/12+begr!H18*5/12+begr!H124</f>
        <v>68401.16666666666</v>
      </c>
      <c r="G27" s="48">
        <f>+begr!H18*7/12+begr!I18*5/12+begr!I124</f>
        <v>62961</v>
      </c>
      <c r="H27" s="48">
        <f>+begr!I18*7/12+begr!J18*5/12+begr!J124</f>
        <v>62961</v>
      </c>
      <c r="I27" s="48">
        <f>+begr!J18*7/12+begr!K18*5/12+begr!K124</f>
        <v>62961</v>
      </c>
      <c r="J27" s="23"/>
      <c r="K27" s="12"/>
    </row>
    <row r="28" spans="2:11" ht="12" customHeight="1">
      <c r="B28" s="11"/>
      <c r="C28" s="23"/>
      <c r="D28" s="507" t="s">
        <v>274</v>
      </c>
      <c r="E28" s="23"/>
      <c r="F28" s="48">
        <f>(SUM(begr!G20:G22)*7/12)+(SUM(begr!H20:H22)*5/12)+(SUM(begr!G71:G73)*7/12)+(SUM(begr!H71:H73)*5/12)</f>
        <v>0</v>
      </c>
      <c r="G28" s="48">
        <f>(SUM(begr!H20:H22)*7/12)+(SUM(begr!I20:I22)*5/12)+(SUM(begr!H71:H73)*7/12)+(SUM(begr!I71:I73)*5/12)</f>
        <v>0</v>
      </c>
      <c r="H28" s="48">
        <f>(SUM(begr!I20:I22)*7/12)+(SUM(begr!J20:J22)*5/12)+(SUM(begr!I71:I73)*7/12)+(SUM(begr!J71:J73)*5/12)</f>
        <v>0</v>
      </c>
      <c r="I28" s="48">
        <f>(SUM(begr!J20:J22)*7/12)+(SUM(begr!K20:K22)*5/12)+(SUM(begr!J71:J73)*7/12)+(SUM(begr!K71:K73)*5/12)</f>
        <v>0</v>
      </c>
      <c r="J28" s="23"/>
      <c r="K28" s="12"/>
    </row>
    <row r="29" spans="2:11" ht="12.75">
      <c r="B29" s="11"/>
      <c r="C29" s="23"/>
      <c r="D29" s="507"/>
      <c r="E29" s="28"/>
      <c r="F29" s="500">
        <f>SUM(F26:F28)</f>
        <v>68401.16666666666</v>
      </c>
      <c r="G29" s="500">
        <f>SUM(G26:G28)</f>
        <v>62961</v>
      </c>
      <c r="H29" s="500">
        <f>SUM(H26:H28)</f>
        <v>62961</v>
      </c>
      <c r="I29" s="500">
        <f>SUM(I26:I28)</f>
        <v>62961</v>
      </c>
      <c r="J29" s="23"/>
      <c r="K29" s="12"/>
    </row>
    <row r="30" spans="2:11" ht="12.75">
      <c r="B30" s="11"/>
      <c r="C30" s="23"/>
      <c r="D30" s="507"/>
      <c r="E30" s="28"/>
      <c r="F30" s="484"/>
      <c r="G30" s="484"/>
      <c r="H30" s="484"/>
      <c r="I30" s="484"/>
      <c r="J30" s="23"/>
      <c r="K30" s="12"/>
    </row>
    <row r="31" spans="2:11" ht="12.75">
      <c r="B31" s="11"/>
      <c r="C31" s="28"/>
      <c r="D31" s="508" t="s">
        <v>542</v>
      </c>
      <c r="E31" s="28"/>
      <c r="F31" s="500">
        <f>F21+F24+F29</f>
        <v>952896.0558333334</v>
      </c>
      <c r="G31" s="500">
        <f>G21+G24+G29</f>
        <v>953052.15</v>
      </c>
      <c r="H31" s="500">
        <f>H21+H24+H29</f>
        <v>953052.15</v>
      </c>
      <c r="I31" s="500">
        <f>I21+I24+I29</f>
        <v>953052.15</v>
      </c>
      <c r="J31" s="23"/>
      <c r="K31" s="12"/>
    </row>
    <row r="32" spans="2:11" ht="12.75">
      <c r="B32" s="11"/>
      <c r="C32" s="23"/>
      <c r="D32" s="507"/>
      <c r="E32" s="28"/>
      <c r="F32" s="484"/>
      <c r="G32" s="484"/>
      <c r="H32" s="484"/>
      <c r="I32" s="484"/>
      <c r="J32" s="23"/>
      <c r="K32" s="12"/>
    </row>
    <row r="33" spans="2:11" ht="12.75">
      <c r="B33" s="11"/>
      <c r="C33" s="23"/>
      <c r="D33" s="507"/>
      <c r="E33" s="28"/>
      <c r="F33" s="484"/>
      <c r="G33" s="484"/>
      <c r="H33" s="484"/>
      <c r="I33" s="484"/>
      <c r="J33" s="23"/>
      <c r="K33" s="12"/>
    </row>
    <row r="34" spans="2:11" ht="12.75">
      <c r="B34" s="26"/>
      <c r="C34" s="27"/>
      <c r="D34" s="510" t="s">
        <v>507</v>
      </c>
      <c r="E34" s="28"/>
      <c r="F34" s="43"/>
      <c r="G34" s="43"/>
      <c r="H34" s="43"/>
      <c r="I34" s="43"/>
      <c r="J34" s="23"/>
      <c r="K34" s="12"/>
    </row>
    <row r="35" spans="2:11" ht="12.75">
      <c r="B35" s="11"/>
      <c r="C35" s="23"/>
      <c r="D35" s="507"/>
      <c r="E35" s="23"/>
      <c r="F35" s="28"/>
      <c r="G35" s="28"/>
      <c r="H35" s="28"/>
      <c r="I35" s="28"/>
      <c r="J35" s="23"/>
      <c r="K35" s="12"/>
    </row>
    <row r="36" spans="2:11" ht="12.75">
      <c r="B36" s="11"/>
      <c r="C36" s="23"/>
      <c r="D36" s="509" t="s">
        <v>307</v>
      </c>
      <c r="E36" s="23"/>
      <c r="F36" s="23"/>
      <c r="G36" s="23"/>
      <c r="H36" s="23"/>
      <c r="I36" s="23"/>
      <c r="J36" s="23"/>
      <c r="K36" s="12"/>
    </row>
    <row r="37" spans="2:11" ht="12.75">
      <c r="B37" s="11"/>
      <c r="C37" s="23"/>
      <c r="D37" s="507" t="s">
        <v>425</v>
      </c>
      <c r="E37" s="23"/>
      <c r="F37" s="590">
        <f>begr!G40*7/12+begr!H40*5/12</f>
        <v>0</v>
      </c>
      <c r="G37" s="590">
        <f>begr!H40*7/12+begr!I40*5/12</f>
        <v>0</v>
      </c>
      <c r="H37" s="590">
        <f>begr!I40*7/12+begr!J40*5/12</f>
        <v>0</v>
      </c>
      <c r="I37" s="590">
        <f>begr!J40*7/12+begr!K40*5/12</f>
        <v>0</v>
      </c>
      <c r="J37" s="23"/>
      <c r="K37" s="12"/>
    </row>
    <row r="38" spans="2:11" ht="12.75">
      <c r="B38" s="11"/>
      <c r="C38" s="23"/>
      <c r="D38" s="507" t="s">
        <v>426</v>
      </c>
      <c r="E38" s="23"/>
      <c r="F38" s="590">
        <f>begr!G41*7/12+begr!H41*5/12</f>
        <v>0</v>
      </c>
      <c r="G38" s="590">
        <f>begr!H41*7/12+begr!I41*5/12</f>
        <v>0</v>
      </c>
      <c r="H38" s="590">
        <f>begr!I41*7/12+begr!J41*5/12</f>
        <v>0</v>
      </c>
      <c r="I38" s="590">
        <f>begr!J41*7/12+begr!K41*5/12</f>
        <v>0</v>
      </c>
      <c r="J38" s="23"/>
      <c r="K38" s="12"/>
    </row>
    <row r="39" spans="2:11" ht="12.75">
      <c r="B39" s="11"/>
      <c r="C39" s="23"/>
      <c r="D39" s="508"/>
      <c r="E39" s="23"/>
      <c r="F39" s="499">
        <f>SUM(F37:F38)</f>
        <v>0</v>
      </c>
      <c r="G39" s="499">
        <f>SUM(G37:G38)</f>
        <v>0</v>
      </c>
      <c r="H39" s="499">
        <f>SUM(H37:H38)</f>
        <v>0</v>
      </c>
      <c r="I39" s="499">
        <f>SUM(I37:I38)</f>
        <v>0</v>
      </c>
      <c r="J39" s="23"/>
      <c r="K39" s="12"/>
    </row>
    <row r="40" spans="2:11" ht="12.75">
      <c r="B40" s="11"/>
      <c r="C40" s="23"/>
      <c r="D40" s="508"/>
      <c r="E40" s="23"/>
      <c r="F40" s="31"/>
      <c r="G40" s="31"/>
      <c r="H40" s="31"/>
      <c r="I40" s="31"/>
      <c r="J40" s="23"/>
      <c r="K40" s="12"/>
    </row>
    <row r="41" spans="2:11" ht="12.75">
      <c r="B41" s="11"/>
      <c r="C41" s="23"/>
      <c r="D41" s="509" t="s">
        <v>242</v>
      </c>
      <c r="E41" s="23"/>
      <c r="F41" s="46">
        <f>act!G50</f>
        <v>0</v>
      </c>
      <c r="G41" s="46">
        <f>act!H50</f>
        <v>0</v>
      </c>
      <c r="H41" s="46">
        <f>act!I50</f>
        <v>0</v>
      </c>
      <c r="I41" s="46">
        <f>act!J50</f>
        <v>0</v>
      </c>
      <c r="J41" s="23"/>
      <c r="K41" s="12"/>
    </row>
    <row r="42" spans="2:11" ht="12.75">
      <c r="B42" s="11"/>
      <c r="C42" s="23"/>
      <c r="D42" s="508"/>
      <c r="E42" s="23"/>
      <c r="F42" s="31"/>
      <c r="G42" s="31"/>
      <c r="H42" s="31"/>
      <c r="I42" s="31"/>
      <c r="J42" s="23"/>
      <c r="K42" s="12"/>
    </row>
    <row r="43" spans="2:11" ht="12.75">
      <c r="B43" s="11"/>
      <c r="C43" s="23"/>
      <c r="D43" s="509" t="s">
        <v>243</v>
      </c>
      <c r="E43" s="23"/>
      <c r="F43" s="47">
        <f>+begr!G90*7/12+begr!H90*5/12</f>
        <v>0</v>
      </c>
      <c r="G43" s="47">
        <f>+begr!H90*7/12+begr!I90*5/12</f>
        <v>0</v>
      </c>
      <c r="H43" s="47">
        <f>+begr!I90*7/12+begr!J90*5/12</f>
        <v>0</v>
      </c>
      <c r="I43" s="47">
        <f>+begr!J90*7/12+begr!K90*5/12</f>
        <v>0</v>
      </c>
      <c r="J43" s="23"/>
      <c r="K43" s="12"/>
    </row>
    <row r="44" spans="2:11" ht="12.75">
      <c r="B44" s="11"/>
      <c r="C44" s="23"/>
      <c r="D44" s="507"/>
      <c r="E44" s="23"/>
      <c r="F44" s="28"/>
      <c r="G44" s="28"/>
      <c r="H44" s="28"/>
      <c r="I44" s="28"/>
      <c r="J44" s="23"/>
      <c r="K44" s="12"/>
    </row>
    <row r="45" spans="2:11" ht="12.75">
      <c r="B45" s="11"/>
      <c r="C45" s="23"/>
      <c r="D45" s="509" t="s">
        <v>308</v>
      </c>
      <c r="E45" s="23"/>
      <c r="F45" s="36"/>
      <c r="G45" s="23"/>
      <c r="H45" s="23"/>
      <c r="I45" s="23"/>
      <c r="J45" s="23"/>
      <c r="K45" s="12"/>
    </row>
    <row r="46" spans="2:11" ht="12.75">
      <c r="B46" s="11"/>
      <c r="C46" s="23"/>
      <c r="D46" s="507" t="s">
        <v>277</v>
      </c>
      <c r="E46" s="23"/>
      <c r="F46" s="44">
        <f>+(begr!G34+begr!G55+begr!G81+begr!G105)*7/12+(begr!H34+begr!H55+begr!H81+begr!H105)*5/12</f>
        <v>332642.6666666667</v>
      </c>
      <c r="G46" s="44">
        <f>+(begr!H34+begr!H55+begr!H81+begr!H105)*7/12+(begr!I34+begr!I55+begr!I81+begr!I105)*5/12</f>
        <v>341339</v>
      </c>
      <c r="H46" s="44">
        <f>+(begr!I34+begr!I55+begr!I81+begr!I105)*7/12+(begr!J34+begr!J55+begr!J81+begr!J105)*5/12</f>
        <v>341339</v>
      </c>
      <c r="I46" s="44">
        <f>+(begr!J34+begr!J55+begr!J81+begr!J105)*7/12+(begr!K34+begr!K55+begr!K81+begr!K105)*5/12</f>
        <v>341339</v>
      </c>
      <c r="J46" s="23"/>
      <c r="K46" s="12"/>
    </row>
    <row r="47" spans="2:11" ht="12.75">
      <c r="B47" s="11"/>
      <c r="C47" s="23"/>
      <c r="D47" s="511" t="s">
        <v>275</v>
      </c>
      <c r="E47" s="23"/>
      <c r="F47" s="46">
        <f>+(begr!G36+begr!G37+begr!G38+begr!G83+begr!G84)*7/12+(+begr!H36+begr!H37+begr!H38+begr!H83+begr!H84)*5/12+begr!H125</f>
        <v>48687.666666666664</v>
      </c>
      <c r="G47" s="46">
        <f>+(begr!H36+begr!H37+begr!H38+begr!H83+begr!H84)*7/12+(+begr!I36+begr!I37+begr!I38+begr!I83+begr!I84)*5/12+begr!I125</f>
        <v>47514</v>
      </c>
      <c r="H47" s="46">
        <f>+(begr!I36+begr!I37+begr!I38+begr!I83+begr!I84)*7/12+(+begr!J36+begr!J37+begr!J38+begr!J83+begr!J84)*5/12+begr!J125</f>
        <v>47514</v>
      </c>
      <c r="I47" s="46">
        <f>+(begr!J36+begr!J37+begr!J38+begr!J83+begr!J84)*7/12+(+begr!K36+begr!K37+begr!K38+begr!K83+begr!K84)*5/12+begr!K125</f>
        <v>47514</v>
      </c>
      <c r="J47" s="23"/>
      <c r="K47" s="12"/>
    </row>
    <row r="48" spans="2:11" ht="12.75">
      <c r="B48" s="11"/>
      <c r="C48" s="23"/>
      <c r="D48" s="511" t="s">
        <v>271</v>
      </c>
      <c r="E48" s="23"/>
      <c r="F48" s="46">
        <f>+begr!G39*7/12+begr!H39*5/12++begr!G86*7/12+begr!H86*5/12</f>
        <v>0</v>
      </c>
      <c r="G48" s="46">
        <f>+begr!H39*7/12+begr!I39*5/12++begr!H86*7/12+begr!I86*5/12</f>
        <v>0</v>
      </c>
      <c r="H48" s="46">
        <f>+begr!I39*7/12+begr!J39*5/12++begr!I86*7/12+begr!J86*5/12</f>
        <v>0</v>
      </c>
      <c r="I48" s="46">
        <f>+begr!J39*7/12+begr!K39*5/12++begr!J86*7/12+begr!K86*5/12</f>
        <v>0</v>
      </c>
      <c r="J48" s="23"/>
      <c r="K48" s="12"/>
    </row>
    <row r="49" spans="2:11" ht="12.75">
      <c r="B49" s="11"/>
      <c r="C49" s="23"/>
      <c r="D49" s="511" t="s">
        <v>276</v>
      </c>
      <c r="E49" s="23"/>
      <c r="F49" s="46">
        <f>begr!G53*7/12+begr!H53*5/12+begr!G103*7/12+begr!H103*5/12</f>
        <v>0</v>
      </c>
      <c r="G49" s="46">
        <f>begr!H53*7/12+begr!I53*5/12+begr!H103*7/12+begr!I103*5/12</f>
        <v>0</v>
      </c>
      <c r="H49" s="46">
        <f>begr!I53*7/12+begr!J53*5/12+begr!I103*7/12+begr!J103*5/12</f>
        <v>0</v>
      </c>
      <c r="I49" s="46">
        <f>begr!J53*7/12+begr!K53*5/12+begr!J103*7/12+begr!K103*5/12</f>
        <v>0</v>
      </c>
      <c r="J49" s="23"/>
      <c r="K49" s="12"/>
    </row>
    <row r="50" spans="2:11" ht="12.75">
      <c r="B50" s="11"/>
      <c r="C50" s="23"/>
      <c r="D50" s="511" t="s">
        <v>543</v>
      </c>
      <c r="E50" s="23"/>
      <c r="F50" s="46">
        <f>+(SUM(begr!G43:begr!G51))*7/12+(SUM(begr!H43:begr!H51))*5/12</f>
        <v>0</v>
      </c>
      <c r="G50" s="46">
        <f>+(SUM(begr!H43:begr!H51))*7/12+(SUM(begr!I43:begr!I51))*5/12</f>
        <v>0</v>
      </c>
      <c r="H50" s="46">
        <f>+(SUM(begr!I43:begr!I51))*7/12+(SUM(begr!J43:begr!J51))*5/12</f>
        <v>0</v>
      </c>
      <c r="I50" s="46">
        <f>+(SUM(begr!J43:begr!J51))*7/12+(SUM(begr!K43:begr!K51))*5/12</f>
        <v>0</v>
      </c>
      <c r="J50" s="23"/>
      <c r="K50" s="12"/>
    </row>
    <row r="51" spans="2:11" ht="12.75">
      <c r="B51" s="11"/>
      <c r="C51" s="23"/>
      <c r="D51" s="507" t="s">
        <v>301</v>
      </c>
      <c r="E51" s="23"/>
      <c r="F51" s="536">
        <f>+(SUM(begr!G93:begr!G101)+begr!G87+begr!G88)*7/12+(SUM(begr!H93:begr!H101)+begr!H87+begr!H88)*5/12</f>
        <v>0</v>
      </c>
      <c r="G51" s="536">
        <f>+(SUM(begr!H93:begr!H101)+begr!H87+begr!H88)*7/12+(SUM(begr!I93:begr!I101)+begr!I87+begr!I88)*5/12</f>
        <v>0</v>
      </c>
      <c r="H51" s="536">
        <f>+(SUM(begr!I93:begr!I101)+begr!I87+begr!I88)*7/12+(SUM(begr!J93:begr!J101)+begr!J87+begr!J88)*5/12</f>
        <v>0</v>
      </c>
      <c r="I51" s="536">
        <f>+(SUM(begr!J93:begr!J101)+begr!J87+begr!J88)*7/12+(SUM(begr!K93:begr!K101)+begr!K87+begr!K88)*5/12</f>
        <v>0</v>
      </c>
      <c r="J51" s="23"/>
      <c r="K51" s="12"/>
    </row>
    <row r="52" spans="2:11" ht="12.75">
      <c r="B52" s="11"/>
      <c r="C52" s="23"/>
      <c r="D52" s="507" t="s">
        <v>244</v>
      </c>
      <c r="E52" s="23"/>
      <c r="F52" s="536">
        <f>+begr!G91*7/12+begr!H91*5/12</f>
        <v>0</v>
      </c>
      <c r="G52" s="536">
        <f>+begr!H91*7/12+begr!I91*5/12</f>
        <v>0</v>
      </c>
      <c r="H52" s="536">
        <f>+begr!I91*7/12+begr!J91*5/12</f>
        <v>0</v>
      </c>
      <c r="I52" s="536">
        <f>+begr!J91*7/12+begr!K91*5/12</f>
        <v>0</v>
      </c>
      <c r="J52" s="23"/>
      <c r="K52" s="12"/>
    </row>
    <row r="53" spans="2:11" ht="12.75">
      <c r="B53" s="11"/>
      <c r="C53" s="23"/>
      <c r="D53" s="507"/>
      <c r="E53" s="23"/>
      <c r="F53" s="501">
        <f>SUM(F46:F52)</f>
        <v>381330.3333333334</v>
      </c>
      <c r="G53" s="501">
        <f>SUM(G46:G52)</f>
        <v>388853</v>
      </c>
      <c r="H53" s="501">
        <f>SUM(H46:H52)</f>
        <v>388853</v>
      </c>
      <c r="I53" s="501">
        <f>SUM(I46:I52)</f>
        <v>388853</v>
      </c>
      <c r="J53" s="23"/>
      <c r="K53" s="12"/>
    </row>
    <row r="54" spans="2:11" ht="12.75">
      <c r="B54" s="11"/>
      <c r="C54" s="23"/>
      <c r="D54" s="507"/>
      <c r="E54" s="23"/>
      <c r="F54" s="55"/>
      <c r="G54" s="55"/>
      <c r="H54" s="55"/>
      <c r="I54" s="55"/>
      <c r="J54" s="23"/>
      <c r="K54" s="12"/>
    </row>
    <row r="55" spans="2:11" ht="12.75">
      <c r="B55" s="11"/>
      <c r="C55" s="23"/>
      <c r="D55" s="508" t="s">
        <v>552</v>
      </c>
      <c r="E55" s="23"/>
      <c r="F55" s="50">
        <f>F41+F39+F43+F53</f>
        <v>381330.3333333334</v>
      </c>
      <c r="G55" s="50">
        <f>G41+G39+G43+G53</f>
        <v>388853</v>
      </c>
      <c r="H55" s="50">
        <f>H41+H39+H43+H53</f>
        <v>388853</v>
      </c>
      <c r="I55" s="50">
        <f>I41+I39+I43+I53</f>
        <v>388853</v>
      </c>
      <c r="J55" s="23"/>
      <c r="K55" s="12"/>
    </row>
    <row r="56" spans="2:11" ht="12.75">
      <c r="B56" s="11"/>
      <c r="C56" s="23"/>
      <c r="D56" s="507"/>
      <c r="E56" s="23"/>
      <c r="F56" s="55"/>
      <c r="G56" s="55"/>
      <c r="H56" s="55"/>
      <c r="I56" s="55"/>
      <c r="J56" s="23"/>
      <c r="K56" s="12"/>
    </row>
    <row r="57" spans="2:11" ht="12.75">
      <c r="B57" s="11"/>
      <c r="C57" s="23"/>
      <c r="D57" s="508" t="s">
        <v>515</v>
      </c>
      <c r="E57" s="23"/>
      <c r="F57" s="50">
        <f>F31-F55</f>
        <v>571565.7225</v>
      </c>
      <c r="G57" s="50">
        <f>G31-G55</f>
        <v>564199.15</v>
      </c>
      <c r="H57" s="50">
        <f>H31-H55</f>
        <v>564199.15</v>
      </c>
      <c r="I57" s="50">
        <f>I31-I55</f>
        <v>564199.15</v>
      </c>
      <c r="J57" s="23"/>
      <c r="K57" s="12"/>
    </row>
    <row r="58" spans="2:11" ht="12.75">
      <c r="B58" s="11"/>
      <c r="C58" s="23"/>
      <c r="D58" s="507"/>
      <c r="E58" s="23"/>
      <c r="F58" s="55"/>
      <c r="G58" s="55"/>
      <c r="H58" s="55"/>
      <c r="I58" s="55"/>
      <c r="J58" s="23"/>
      <c r="K58" s="12"/>
    </row>
    <row r="59" spans="2:11" ht="12.75">
      <c r="B59" s="11"/>
      <c r="D59" s="512"/>
      <c r="F59" s="58"/>
      <c r="G59" s="58"/>
      <c r="H59" s="58"/>
      <c r="I59" s="58"/>
      <c r="K59" s="12"/>
    </row>
    <row r="60" spans="2:11" ht="12.75">
      <c r="B60" s="11"/>
      <c r="C60" s="23"/>
      <c r="D60" s="509"/>
      <c r="E60" s="32"/>
      <c r="F60" s="477"/>
      <c r="G60" s="477"/>
      <c r="H60" s="477"/>
      <c r="I60" s="477"/>
      <c r="J60" s="23"/>
      <c r="K60" s="12"/>
    </row>
    <row r="61" spans="2:11" ht="12.75">
      <c r="B61" s="11"/>
      <c r="C61" s="23"/>
      <c r="D61" s="508" t="s">
        <v>516</v>
      </c>
      <c r="E61" s="32"/>
      <c r="F61" s="477"/>
      <c r="G61" s="477"/>
      <c r="H61" s="477"/>
      <c r="I61" s="477"/>
      <c r="J61" s="23"/>
      <c r="K61" s="12"/>
    </row>
    <row r="62" spans="2:11" ht="12.75">
      <c r="B62" s="11"/>
      <c r="C62" s="23"/>
      <c r="D62" s="509"/>
      <c r="E62" s="32"/>
      <c r="F62" s="477"/>
      <c r="G62" s="477"/>
      <c r="H62" s="477"/>
      <c r="I62" s="477"/>
      <c r="J62" s="23"/>
      <c r="K62" s="12"/>
    </row>
    <row r="63" spans="2:11" ht="12.75">
      <c r="B63" s="11"/>
      <c r="C63" s="23"/>
      <c r="D63" s="507" t="s">
        <v>245</v>
      </c>
      <c r="E63" s="32"/>
      <c r="F63" s="478">
        <v>0</v>
      </c>
      <c r="G63" s="479">
        <f aca="true" t="shared" si="0" ref="G63:I64">F63</f>
        <v>0</v>
      </c>
      <c r="H63" s="479">
        <f t="shared" si="0"/>
        <v>0</v>
      </c>
      <c r="I63" s="479">
        <f t="shared" si="0"/>
        <v>0</v>
      </c>
      <c r="J63" s="23"/>
      <c r="K63" s="12"/>
    </row>
    <row r="64" spans="2:11" ht="12.75">
      <c r="B64" s="11"/>
      <c r="C64" s="23"/>
      <c r="D64" s="507" t="s">
        <v>246</v>
      </c>
      <c r="E64" s="32"/>
      <c r="F64" s="478">
        <v>0</v>
      </c>
      <c r="G64" s="479">
        <f t="shared" si="0"/>
        <v>0</v>
      </c>
      <c r="H64" s="479">
        <f t="shared" si="0"/>
        <v>0</v>
      </c>
      <c r="I64" s="479">
        <f t="shared" si="0"/>
        <v>0</v>
      </c>
      <c r="J64" s="23"/>
      <c r="K64" s="12"/>
    </row>
    <row r="65" spans="2:11" ht="12.75">
      <c r="B65" s="11"/>
      <c r="C65" s="23"/>
      <c r="D65" s="507"/>
      <c r="E65" s="32"/>
      <c r="F65" s="477"/>
      <c r="G65" s="477"/>
      <c r="H65" s="477"/>
      <c r="I65" s="477"/>
      <c r="J65" s="23"/>
      <c r="K65" s="12"/>
    </row>
    <row r="66" spans="2:11" ht="12.75">
      <c r="B66" s="11"/>
      <c r="C66" s="28"/>
      <c r="D66" s="508" t="s">
        <v>517</v>
      </c>
      <c r="E66" s="28"/>
      <c r="F66" s="475">
        <f>F57+F63-F64</f>
        <v>571565.7225</v>
      </c>
      <c r="G66" s="475">
        <f>G57+G63-G64</f>
        <v>564199.15</v>
      </c>
      <c r="H66" s="475">
        <f>H57+H63-H64</f>
        <v>564199.15</v>
      </c>
      <c r="I66" s="475">
        <f>I57+I63-I64</f>
        <v>564199.15</v>
      </c>
      <c r="J66" s="28"/>
      <c r="K66" s="12"/>
    </row>
    <row r="67" spans="2:11" ht="12.75">
      <c r="B67" s="11"/>
      <c r="C67" s="23"/>
      <c r="D67" s="507"/>
      <c r="E67" s="32"/>
      <c r="F67" s="477"/>
      <c r="G67" s="477"/>
      <c r="H67" s="477"/>
      <c r="I67" s="477"/>
      <c r="J67" s="23"/>
      <c r="K67" s="12"/>
    </row>
    <row r="68" spans="2:11" ht="12.75">
      <c r="B68" s="11"/>
      <c r="E68" s="53"/>
      <c r="F68" s="476"/>
      <c r="G68" s="476"/>
      <c r="H68" s="476"/>
      <c r="I68" s="476"/>
      <c r="K68" s="12"/>
    </row>
    <row r="69" spans="2:11" ht="12.75">
      <c r="B69" s="11"/>
      <c r="C69" s="23"/>
      <c r="D69" s="507"/>
      <c r="E69" s="32"/>
      <c r="F69" s="477"/>
      <c r="G69" s="477"/>
      <c r="H69" s="477"/>
      <c r="I69" s="477"/>
      <c r="J69" s="23"/>
      <c r="K69" s="12"/>
    </row>
    <row r="70" spans="2:11" ht="12.75">
      <c r="B70" s="11"/>
      <c r="C70" s="23"/>
      <c r="D70" s="508" t="s">
        <v>518</v>
      </c>
      <c r="E70" s="32"/>
      <c r="F70" s="477"/>
      <c r="G70" s="477"/>
      <c r="H70" s="477"/>
      <c r="I70" s="477"/>
      <c r="J70" s="23"/>
      <c r="K70" s="12"/>
    </row>
    <row r="71" spans="2:11" ht="12.75">
      <c r="B71" s="11"/>
      <c r="C71" s="23"/>
      <c r="D71" s="507"/>
      <c r="E71" s="32"/>
      <c r="F71" s="477"/>
      <c r="G71" s="477"/>
      <c r="H71" s="477"/>
      <c r="I71" s="477"/>
      <c r="J71" s="23"/>
      <c r="K71" s="12"/>
    </row>
    <row r="72" spans="2:11" ht="12.75">
      <c r="B72" s="11"/>
      <c r="C72" s="23"/>
      <c r="D72" s="507" t="s">
        <v>247</v>
      </c>
      <c r="E72" s="32"/>
      <c r="F72" s="478">
        <v>0</v>
      </c>
      <c r="G72" s="479">
        <f aca="true" t="shared" si="1" ref="G72:I73">F72</f>
        <v>0</v>
      </c>
      <c r="H72" s="479">
        <f t="shared" si="1"/>
        <v>0</v>
      </c>
      <c r="I72" s="479">
        <f t="shared" si="1"/>
        <v>0</v>
      </c>
      <c r="J72" s="23"/>
      <c r="K72" s="12"/>
    </row>
    <row r="73" spans="2:11" ht="12.75">
      <c r="B73" s="11"/>
      <c r="C73" s="23"/>
      <c r="D73" s="507" t="s">
        <v>248</v>
      </c>
      <c r="E73" s="32"/>
      <c r="F73" s="478">
        <v>0</v>
      </c>
      <c r="G73" s="479">
        <f t="shared" si="1"/>
        <v>0</v>
      </c>
      <c r="H73" s="479">
        <f t="shared" si="1"/>
        <v>0</v>
      </c>
      <c r="I73" s="479">
        <f t="shared" si="1"/>
        <v>0</v>
      </c>
      <c r="J73" s="23"/>
      <c r="K73" s="12"/>
    </row>
    <row r="74" spans="2:11" ht="12.75">
      <c r="B74" s="11"/>
      <c r="C74" s="23"/>
      <c r="D74" s="507"/>
      <c r="E74" s="32"/>
      <c r="F74" s="477"/>
      <c r="G74" s="477"/>
      <c r="H74" s="477"/>
      <c r="I74" s="477"/>
      <c r="J74" s="23"/>
      <c r="K74" s="12"/>
    </row>
    <row r="75" spans="2:11" ht="15">
      <c r="B75" s="11"/>
      <c r="C75" s="480"/>
      <c r="D75" s="513" t="s">
        <v>519</v>
      </c>
      <c r="E75" s="480"/>
      <c r="F75" s="481">
        <f>F66+F72-F73</f>
        <v>571565.7225</v>
      </c>
      <c r="G75" s="481">
        <f>G66+G72-G73</f>
        <v>564199.15</v>
      </c>
      <c r="H75" s="481">
        <f>H66+H72-H73</f>
        <v>564199.15</v>
      </c>
      <c r="I75" s="481">
        <f>I66+I72-I73</f>
        <v>564199.15</v>
      </c>
      <c r="J75" s="480"/>
      <c r="K75" s="12"/>
    </row>
    <row r="76" spans="2:11" ht="12.75">
      <c r="B76" s="11"/>
      <c r="C76" s="23"/>
      <c r="D76" s="507"/>
      <c r="E76" s="32"/>
      <c r="F76" s="477"/>
      <c r="G76" s="477"/>
      <c r="H76" s="477"/>
      <c r="I76" s="477"/>
      <c r="J76" s="23"/>
      <c r="K76" s="12"/>
    </row>
    <row r="77" spans="2:11" ht="12.75">
      <c r="B77" s="11"/>
      <c r="D77" s="512"/>
      <c r="F77" s="58"/>
      <c r="G77" s="58"/>
      <c r="H77" s="58"/>
      <c r="I77" s="58"/>
      <c r="K77" s="12"/>
    </row>
    <row r="78" spans="2:11" ht="13.5" thickBot="1">
      <c r="B78" s="59"/>
      <c r="C78" s="60"/>
      <c r="D78" s="514"/>
      <c r="E78" s="60"/>
      <c r="F78" s="61"/>
      <c r="G78" s="61"/>
      <c r="H78" s="61"/>
      <c r="I78" s="61"/>
      <c r="J78" s="60"/>
      <c r="K78" s="62"/>
    </row>
    <row r="79" ht="12.75">
      <c r="H79" s="63"/>
    </row>
    <row r="80" ht="12.75">
      <c r="H80" s="63"/>
    </row>
    <row r="81" spans="6:9" ht="12.75">
      <c r="F81" s="65"/>
      <c r="G81" s="65"/>
      <c r="H81" s="65"/>
      <c r="I81" s="65"/>
    </row>
    <row r="82" spans="6:9" ht="12.75">
      <c r="F82" s="65"/>
      <c r="G82" s="65"/>
      <c r="H82" s="65"/>
      <c r="I82" s="65"/>
    </row>
    <row r="83" spans="6:9" ht="12.75">
      <c r="F83" s="65"/>
      <c r="G83" s="65"/>
      <c r="H83" s="65"/>
      <c r="I83" s="65"/>
    </row>
    <row r="84" spans="4:10" s="42" customFormat="1" ht="12.75">
      <c r="D84" s="4"/>
      <c r="E84" s="4"/>
      <c r="F84" s="515"/>
      <c r="G84" s="515"/>
      <c r="H84" s="515"/>
      <c r="I84" s="515"/>
      <c r="J84" s="515">
        <f>begr!K24+begr!K75</f>
        <v>953052.15</v>
      </c>
    </row>
    <row r="85" spans="4:10" ht="12.75">
      <c r="D85" s="4"/>
      <c r="E85" s="4"/>
      <c r="F85" s="515"/>
      <c r="G85" s="515"/>
      <c r="H85" s="515"/>
      <c r="I85" s="515"/>
      <c r="J85" s="515">
        <f>begr!K57+begr!K107</f>
        <v>388853</v>
      </c>
    </row>
    <row r="86" ht="12.75">
      <c r="H86" s="63"/>
    </row>
    <row r="87" ht="12.75">
      <c r="H87" s="63"/>
    </row>
    <row r="88" ht="12.75">
      <c r="H88" s="63"/>
    </row>
    <row r="89" ht="12.75">
      <c r="H89" s="63"/>
    </row>
    <row r="90" ht="12.75">
      <c r="H90" s="63"/>
    </row>
    <row r="91" ht="12.75">
      <c r="H91" s="63"/>
    </row>
    <row r="92" ht="12.75">
      <c r="H92" s="63"/>
    </row>
    <row r="93" ht="12.75">
      <c r="H93" s="63"/>
    </row>
    <row r="94" spans="4:8" s="42" customFormat="1" ht="12.75">
      <c r="D94" s="512"/>
      <c r="H94" s="378"/>
    </row>
    <row r="95" ht="12.75">
      <c r="H95" s="63"/>
    </row>
    <row r="96" ht="12.75">
      <c r="H96" s="63"/>
    </row>
    <row r="97" ht="12.75">
      <c r="H97" s="63"/>
    </row>
    <row r="98" ht="12.75">
      <c r="H98" s="63"/>
    </row>
    <row r="99" spans="4:8" s="42" customFormat="1" ht="12.75">
      <c r="D99" s="512"/>
      <c r="H99" s="378"/>
    </row>
    <row r="100" ht="12.75">
      <c r="H100" s="63"/>
    </row>
    <row r="101" ht="12.75">
      <c r="H101" s="63"/>
    </row>
    <row r="102" ht="12.75">
      <c r="H102" s="63"/>
    </row>
    <row r="103" ht="12.75">
      <c r="H103" s="63"/>
    </row>
    <row r="104" spans="4:8" s="42" customFormat="1" ht="12.75">
      <c r="D104" s="512"/>
      <c r="H104" s="378"/>
    </row>
    <row r="105" ht="12.75">
      <c r="H105" s="63"/>
    </row>
    <row r="106" ht="12.75">
      <c r="H106" s="63"/>
    </row>
    <row r="107" ht="12.75">
      <c r="H107" s="63"/>
    </row>
    <row r="108" ht="12.75">
      <c r="H108" s="63"/>
    </row>
    <row r="109" spans="4:8" s="42" customFormat="1" ht="12.75">
      <c r="D109" s="512"/>
      <c r="H109" s="378"/>
    </row>
    <row r="110" ht="12.75">
      <c r="H110" s="63"/>
    </row>
    <row r="111" ht="12.75">
      <c r="H111" s="63"/>
    </row>
    <row r="112" ht="12.75">
      <c r="H112" s="63"/>
    </row>
    <row r="113" ht="12.75">
      <c r="H113" s="63"/>
    </row>
    <row r="114" spans="4:8" s="42" customFormat="1" ht="12.75">
      <c r="D114" s="512"/>
      <c r="H114" s="378"/>
    </row>
    <row r="115" ht="12.75">
      <c r="H115" s="63"/>
    </row>
    <row r="116" ht="12.75">
      <c r="H116" s="63"/>
    </row>
    <row r="117" ht="12.75">
      <c r="H117" s="63"/>
    </row>
    <row r="118" ht="12.75">
      <c r="H118" s="63"/>
    </row>
    <row r="119" spans="4:8" s="42" customFormat="1" ht="12.75">
      <c r="D119" s="512"/>
      <c r="H119" s="378"/>
    </row>
    <row r="120" ht="12.75">
      <c r="H120" s="63"/>
    </row>
    <row r="121" ht="12.75">
      <c r="H121" s="63"/>
    </row>
    <row r="122" ht="12.75">
      <c r="H122" s="63"/>
    </row>
    <row r="123" ht="12.75">
      <c r="H123" s="63"/>
    </row>
    <row r="124" ht="12.75">
      <c r="H124" s="63"/>
    </row>
    <row r="125" ht="12.75">
      <c r="H125" s="63"/>
    </row>
    <row r="126" ht="12.75">
      <c r="H126" s="63"/>
    </row>
    <row r="127" ht="12.75">
      <c r="H127" s="63"/>
    </row>
    <row r="128" ht="12.75">
      <c r="H128" s="63"/>
    </row>
    <row r="129" ht="12.75">
      <c r="H129" s="63"/>
    </row>
    <row r="130" spans="4:8" s="42" customFormat="1" ht="12.75">
      <c r="D130" s="512"/>
      <c r="H130" s="378"/>
    </row>
    <row r="131" ht="12.75">
      <c r="H131" s="63"/>
    </row>
    <row r="132" ht="12.75">
      <c r="H132" s="63"/>
    </row>
    <row r="133" ht="12.75">
      <c r="H133" s="63"/>
    </row>
    <row r="134" ht="12.75">
      <c r="H134" s="63"/>
    </row>
    <row r="135" spans="4:8" s="42" customFormat="1" ht="12.75">
      <c r="D135" s="512"/>
      <c r="H135" s="378"/>
    </row>
    <row r="136" ht="12.75">
      <c r="H136" s="63"/>
    </row>
    <row r="137" ht="12.75">
      <c r="H137" s="63"/>
    </row>
    <row r="138" ht="12.75">
      <c r="H138" s="63"/>
    </row>
    <row r="139" ht="12.75">
      <c r="H139" s="63"/>
    </row>
    <row r="140" spans="4:8" s="42" customFormat="1" ht="12.75">
      <c r="D140" s="512"/>
      <c r="H140" s="378"/>
    </row>
    <row r="141" ht="12.75">
      <c r="H141" s="63"/>
    </row>
    <row r="142" ht="12.75">
      <c r="H142" s="63"/>
    </row>
    <row r="143" ht="12.75">
      <c r="H143" s="63"/>
    </row>
    <row r="144" ht="12.75">
      <c r="H144" s="63"/>
    </row>
    <row r="145" spans="4:8" s="42" customFormat="1" ht="12.75">
      <c r="D145" s="512"/>
      <c r="H145" s="378"/>
    </row>
    <row r="146" ht="12.75">
      <c r="H146" s="63"/>
    </row>
    <row r="147" ht="12.75">
      <c r="H147" s="63"/>
    </row>
    <row r="148" ht="12.75">
      <c r="H148" s="63"/>
    </row>
    <row r="149" ht="12.75">
      <c r="H149" s="63"/>
    </row>
    <row r="150" spans="4:8" s="42" customFormat="1" ht="12.75">
      <c r="D150" s="512"/>
      <c r="H150" s="378"/>
    </row>
    <row r="151" ht="12.75">
      <c r="H151" s="63"/>
    </row>
    <row r="152" ht="12.75">
      <c r="H152" s="63"/>
    </row>
    <row r="153" spans="4:8" ht="12.75">
      <c r="D153" s="512"/>
      <c r="E153" s="42"/>
      <c r="F153" s="42"/>
      <c r="G153" s="42"/>
      <c r="H153" s="378"/>
    </row>
    <row r="154" spans="4:8" ht="12.75">
      <c r="D154" s="512"/>
      <c r="E154" s="42"/>
      <c r="F154" s="42"/>
      <c r="G154" s="42"/>
      <c r="H154" s="378"/>
    </row>
    <row r="155" spans="4:8" s="42" customFormat="1" ht="12.75">
      <c r="D155" s="512"/>
      <c r="H155" s="378"/>
    </row>
    <row r="156" ht="12.75">
      <c r="H156" s="63"/>
    </row>
    <row r="157" ht="12.75">
      <c r="H157" s="63"/>
    </row>
    <row r="158" ht="12.75">
      <c r="H158" s="63"/>
    </row>
    <row r="159" ht="12.75">
      <c r="H159" s="63"/>
    </row>
    <row r="160" ht="12.75">
      <c r="H160" s="63"/>
    </row>
    <row r="161" ht="12.75">
      <c r="H161" s="63"/>
    </row>
    <row r="162" ht="12.75">
      <c r="H162" s="63"/>
    </row>
    <row r="163" ht="12.75">
      <c r="H163" s="63"/>
    </row>
    <row r="164" ht="12.75">
      <c r="H164" s="63"/>
    </row>
    <row r="165" ht="12.75">
      <c r="H165" s="63"/>
    </row>
    <row r="166" ht="12.75">
      <c r="H166" s="63"/>
    </row>
    <row r="167" ht="12.75">
      <c r="H167" s="63"/>
    </row>
    <row r="168" ht="12.75">
      <c r="H168" s="63"/>
    </row>
    <row r="169" ht="12.75">
      <c r="H169" s="63"/>
    </row>
    <row r="170" ht="12.75">
      <c r="H170" s="63"/>
    </row>
    <row r="171" ht="12.75">
      <c r="H171" s="63"/>
    </row>
    <row r="172" ht="12.75">
      <c r="H172" s="63"/>
    </row>
    <row r="173" ht="12.75">
      <c r="H173" s="63"/>
    </row>
    <row r="174" ht="12.75">
      <c r="H174" s="63"/>
    </row>
    <row r="175" ht="12.75">
      <c r="H175" s="63"/>
    </row>
    <row r="176" ht="12.75">
      <c r="H176" s="63"/>
    </row>
    <row r="177" ht="12.75">
      <c r="H177" s="63"/>
    </row>
    <row r="178" ht="12.75">
      <c r="H178" s="63"/>
    </row>
    <row r="179" ht="12.75">
      <c r="H179" s="63"/>
    </row>
    <row r="180" ht="12.75">
      <c r="H180" s="63"/>
    </row>
    <row r="181" ht="12.75">
      <c r="H181" s="63"/>
    </row>
    <row r="182" ht="12.75">
      <c r="H182" s="63"/>
    </row>
    <row r="183" ht="12.75">
      <c r="H183" s="63"/>
    </row>
    <row r="184" ht="12.75">
      <c r="H184" s="63"/>
    </row>
    <row r="185" ht="12.75">
      <c r="H185" s="63"/>
    </row>
    <row r="186" ht="12.75">
      <c r="H186" s="63"/>
    </row>
    <row r="187" ht="12.75">
      <c r="H187" s="63"/>
    </row>
    <row r="188" ht="12.75">
      <c r="H188" s="63"/>
    </row>
    <row r="189" ht="12.75">
      <c r="H189" s="63"/>
    </row>
    <row r="190" ht="12.75">
      <c r="H190" s="63"/>
    </row>
    <row r="191" ht="12.75">
      <c r="H191" s="63"/>
    </row>
    <row r="192" ht="12.75">
      <c r="H192" s="63"/>
    </row>
    <row r="193" ht="12.75">
      <c r="H193" s="63"/>
    </row>
    <row r="194" ht="12.75">
      <c r="H194" s="63"/>
    </row>
    <row r="195" ht="12.75">
      <c r="H195" s="63"/>
    </row>
    <row r="196" ht="12.75">
      <c r="H196" s="63"/>
    </row>
    <row r="197" ht="12.75">
      <c r="H197" s="63"/>
    </row>
    <row r="198" ht="12.75">
      <c r="H198" s="63"/>
    </row>
    <row r="199" ht="12.75">
      <c r="H199" s="63"/>
    </row>
    <row r="200" ht="12.75">
      <c r="H200" s="63"/>
    </row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60" r:id="rId1"/>
  <headerFooter alignWithMargins="0">
    <oddHeader>&amp;L&amp;"Arial,Vet"&amp;F&amp;R&amp;"Arial,Vet"&amp;A</oddHeader>
    <oddFooter>&amp;L&amp;"Arial,Vet"vos/abb&amp;C&amp;"Arial,Vet"&amp;P&amp;R&amp;D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U123"/>
  <sheetViews>
    <sheetView zoomScale="85" zoomScaleNormal="85" workbookViewId="0" topLeftCell="A1">
      <pane ySplit="9" topLeftCell="BM10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7109375" style="10" customWidth="1"/>
    <col min="2" max="2" width="2.7109375" style="10" customWidth="1"/>
    <col min="3" max="3" width="1.7109375" style="10" customWidth="1"/>
    <col min="4" max="4" width="41.28125" style="10" customWidth="1"/>
    <col min="5" max="5" width="2.7109375" style="10" customWidth="1"/>
    <col min="6" max="6" width="16.8515625" style="10" customWidth="1"/>
    <col min="7" max="7" width="2.7109375" style="10" customWidth="1"/>
    <col min="8" max="11" width="16.8515625" style="66" customWidth="1"/>
    <col min="12" max="12" width="1.57421875" style="66" customWidth="1"/>
    <col min="13" max="13" width="2.7109375" style="10" customWidth="1"/>
    <col min="14" max="14" width="11.421875" style="65" customWidth="1"/>
    <col min="15" max="15" width="33.7109375" style="10" customWidth="1"/>
    <col min="16" max="16" width="2.57421875" style="10" customWidth="1"/>
    <col min="17" max="21" width="10.7109375" style="10" customWidth="1"/>
    <col min="22" max="22" width="2.7109375" style="10" customWidth="1"/>
    <col min="23" max="16384" width="9.140625" style="10" customWidth="1"/>
  </cols>
  <sheetData>
    <row r="1" ht="13.5" thickBot="1"/>
    <row r="2" spans="2:13" ht="12.75">
      <c r="B2" s="7"/>
      <c r="C2" s="8"/>
      <c r="D2" s="8"/>
      <c r="E2" s="8"/>
      <c r="F2" s="8"/>
      <c r="G2" s="8"/>
      <c r="H2" s="64"/>
      <c r="I2" s="64"/>
      <c r="J2" s="64"/>
      <c r="K2" s="64"/>
      <c r="L2" s="64"/>
      <c r="M2" s="9"/>
    </row>
    <row r="3" spans="2:13" ht="12.75">
      <c r="B3" s="11"/>
      <c r="M3" s="12"/>
    </row>
    <row r="4" spans="2:13" ht="18.75">
      <c r="B4" s="67"/>
      <c r="C4" s="14" t="s">
        <v>249</v>
      </c>
      <c r="K4" s="88"/>
      <c r="M4" s="12"/>
    </row>
    <row r="5" spans="2:13" ht="12.75">
      <c r="B5" s="68"/>
      <c r="C5" s="53"/>
      <c r="M5" s="12"/>
    </row>
    <row r="6" spans="2:13" ht="12.75">
      <c r="B6" s="33"/>
      <c r="C6" s="37"/>
      <c r="M6" s="12"/>
    </row>
    <row r="7" spans="2:13" ht="12.75">
      <c r="B7" s="33"/>
      <c r="C7" s="37"/>
      <c r="M7" s="12"/>
    </row>
    <row r="8" spans="2:13" ht="12.75">
      <c r="B8" s="51"/>
      <c r="C8" s="42"/>
      <c r="D8" s="53"/>
      <c r="F8" s="22">
        <f>tab!G12</f>
        <v>2007</v>
      </c>
      <c r="H8" s="22">
        <f>+expl!F8</f>
        <v>2008</v>
      </c>
      <c r="I8" s="22">
        <f>+expl!G8</f>
        <v>2009</v>
      </c>
      <c r="J8" s="22">
        <f>+expl!H8</f>
        <v>2010</v>
      </c>
      <c r="K8" s="22">
        <f>+expl!I8</f>
        <v>2011</v>
      </c>
      <c r="L8" s="22"/>
      <c r="M8" s="12"/>
    </row>
    <row r="9" spans="2:13" ht="12.75">
      <c r="B9" s="51"/>
      <c r="C9" s="42"/>
      <c r="D9" s="53"/>
      <c r="H9" s="19"/>
      <c r="I9" s="19"/>
      <c r="J9" s="19"/>
      <c r="K9" s="19"/>
      <c r="L9" s="19"/>
      <c r="M9" s="12"/>
    </row>
    <row r="10" spans="2:13" ht="12.75">
      <c r="B10" s="51"/>
      <c r="C10" s="42"/>
      <c r="D10" s="53"/>
      <c r="H10" s="19"/>
      <c r="I10" s="19"/>
      <c r="J10" s="19"/>
      <c r="K10" s="19"/>
      <c r="L10" s="19"/>
      <c r="M10" s="12"/>
    </row>
    <row r="11" spans="2:13" ht="12.75">
      <c r="B11" s="51"/>
      <c r="C11" s="28"/>
      <c r="D11" s="32"/>
      <c r="E11" s="23"/>
      <c r="F11" s="23"/>
      <c r="G11" s="23"/>
      <c r="H11" s="70"/>
      <c r="I11" s="70"/>
      <c r="J11" s="70"/>
      <c r="K11" s="70"/>
      <c r="L11" s="70"/>
      <c r="M11" s="12"/>
    </row>
    <row r="12" spans="2:13" ht="12.75">
      <c r="B12" s="11"/>
      <c r="C12" s="23"/>
      <c r="D12" s="28" t="s">
        <v>520</v>
      </c>
      <c r="E12" s="23"/>
      <c r="F12" s="23"/>
      <c r="G12" s="23"/>
      <c r="H12" s="70"/>
      <c r="I12" s="70"/>
      <c r="J12" s="70"/>
      <c r="K12" s="70"/>
      <c r="L12" s="70"/>
      <c r="M12" s="12"/>
    </row>
    <row r="13" spans="2:17" ht="12.75">
      <c r="B13" s="1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71"/>
      <c r="N13" s="72"/>
      <c r="O13" s="66"/>
      <c r="P13" s="66"/>
      <c r="Q13" s="66"/>
    </row>
    <row r="14" spans="2:13" ht="12.75">
      <c r="B14" s="11"/>
      <c r="C14" s="23"/>
      <c r="D14" s="28" t="s">
        <v>250</v>
      </c>
      <c r="E14" s="23"/>
      <c r="F14" s="23"/>
      <c r="G14" s="23"/>
      <c r="H14" s="23"/>
      <c r="I14" s="23"/>
      <c r="J14" s="23"/>
      <c r="K14" s="23"/>
      <c r="L14" s="23"/>
      <c r="M14" s="12"/>
    </row>
    <row r="15" spans="2:13" ht="12.75">
      <c r="B15" s="11"/>
      <c r="C15" s="23"/>
      <c r="D15" s="23" t="s">
        <v>251</v>
      </c>
      <c r="E15" s="23"/>
      <c r="F15" s="73">
        <v>0</v>
      </c>
      <c r="G15" s="23"/>
      <c r="H15" s="74">
        <f>F15</f>
        <v>0</v>
      </c>
      <c r="I15" s="74">
        <f aca="true" t="shared" si="0" ref="I15:K17">H15</f>
        <v>0</v>
      </c>
      <c r="J15" s="74">
        <f t="shared" si="0"/>
        <v>0</v>
      </c>
      <c r="K15" s="74">
        <f t="shared" si="0"/>
        <v>0</v>
      </c>
      <c r="L15" s="75"/>
      <c r="M15" s="12"/>
    </row>
    <row r="16" spans="2:13" ht="12.75">
      <c r="B16" s="11"/>
      <c r="C16" s="23"/>
      <c r="D16" s="23" t="s">
        <v>252</v>
      </c>
      <c r="E16" s="23"/>
      <c r="F16" s="502">
        <f>act!F60</f>
        <v>0</v>
      </c>
      <c r="G16" s="23"/>
      <c r="H16" s="502">
        <f>act!G60</f>
        <v>0</v>
      </c>
      <c r="I16" s="502">
        <f>act!H60</f>
        <v>0</v>
      </c>
      <c r="J16" s="502">
        <f>act!I60</f>
        <v>0</v>
      </c>
      <c r="K16" s="502">
        <f>act!J60</f>
        <v>0</v>
      </c>
      <c r="L16" s="36"/>
      <c r="M16" s="12"/>
    </row>
    <row r="17" spans="2:13" ht="12.75">
      <c r="B17" s="11"/>
      <c r="C17" s="23"/>
      <c r="D17" s="23" t="s">
        <v>257</v>
      </c>
      <c r="E17" s="23"/>
      <c r="F17" s="73">
        <v>0</v>
      </c>
      <c r="G17" s="23"/>
      <c r="H17" s="74">
        <f>F17</f>
        <v>0</v>
      </c>
      <c r="I17" s="74">
        <f t="shared" si="0"/>
        <v>0</v>
      </c>
      <c r="J17" s="74">
        <f t="shared" si="0"/>
        <v>0</v>
      </c>
      <c r="K17" s="74">
        <f t="shared" si="0"/>
        <v>0</v>
      </c>
      <c r="L17" s="75"/>
      <c r="M17" s="12"/>
    </row>
    <row r="18" spans="2:13" ht="12.75">
      <c r="B18" s="11"/>
      <c r="C18" s="23"/>
      <c r="D18" s="27" t="s">
        <v>258</v>
      </c>
      <c r="E18" s="23"/>
      <c r="F18" s="77">
        <f>SUM(F15:F17)</f>
        <v>0</v>
      </c>
      <c r="G18" s="23"/>
      <c r="H18" s="77">
        <f>SUM(H15:H17)</f>
        <v>0</v>
      </c>
      <c r="I18" s="77">
        <f>SUM(I15:I17)</f>
        <v>0</v>
      </c>
      <c r="J18" s="77">
        <f>SUM(J15:J17)</f>
        <v>0</v>
      </c>
      <c r="K18" s="77">
        <f>SUM(K15:K17)</f>
        <v>0</v>
      </c>
      <c r="L18" s="78"/>
      <c r="M18" s="12"/>
    </row>
    <row r="19" spans="2:13" ht="12.75">
      <c r="B19" s="1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2"/>
    </row>
    <row r="20" spans="2:13" ht="12.75">
      <c r="B20" s="11"/>
      <c r="C20" s="23"/>
      <c r="D20" s="28" t="s">
        <v>259</v>
      </c>
      <c r="E20" s="23"/>
      <c r="F20" s="23"/>
      <c r="G20" s="23"/>
      <c r="H20" s="75"/>
      <c r="I20" s="75"/>
      <c r="J20" s="75"/>
      <c r="K20" s="75"/>
      <c r="L20" s="75"/>
      <c r="M20" s="12"/>
    </row>
    <row r="21" spans="2:13" ht="12.75">
      <c r="B21" s="11"/>
      <c r="C21" s="23"/>
      <c r="D21" s="23" t="s">
        <v>260</v>
      </c>
      <c r="E21" s="23"/>
      <c r="F21" s="73">
        <v>0</v>
      </c>
      <c r="G21" s="23"/>
      <c r="H21" s="74">
        <f>F21</f>
        <v>0</v>
      </c>
      <c r="I21" s="74">
        <f>H21</f>
        <v>0</v>
      </c>
      <c r="J21" s="74">
        <f>I21</f>
        <v>0</v>
      </c>
      <c r="K21" s="74">
        <f>J21</f>
        <v>0</v>
      </c>
      <c r="L21" s="75"/>
      <c r="M21" s="12"/>
    </row>
    <row r="22" spans="2:13" ht="12.75">
      <c r="B22" s="11"/>
      <c r="C22" s="23"/>
      <c r="D22" s="23" t="s">
        <v>261</v>
      </c>
      <c r="E22" s="23"/>
      <c r="F22" s="73">
        <v>55555</v>
      </c>
      <c r="G22" s="23"/>
      <c r="H22" s="74">
        <f>+F22</f>
        <v>55555</v>
      </c>
      <c r="I22" s="74">
        <f aca="true" t="shared" si="1" ref="I22:K23">H22</f>
        <v>55555</v>
      </c>
      <c r="J22" s="74">
        <f t="shared" si="1"/>
        <v>55555</v>
      </c>
      <c r="K22" s="74">
        <f t="shared" si="1"/>
        <v>55555</v>
      </c>
      <c r="L22" s="75"/>
      <c r="M22" s="12"/>
    </row>
    <row r="23" spans="2:13" ht="12.75">
      <c r="B23" s="11"/>
      <c r="C23" s="23"/>
      <c r="D23" s="23" t="s">
        <v>521</v>
      </c>
      <c r="E23" s="23"/>
      <c r="F23" s="73">
        <v>0</v>
      </c>
      <c r="G23" s="23"/>
      <c r="H23" s="74">
        <f>F23</f>
        <v>0</v>
      </c>
      <c r="I23" s="74">
        <f t="shared" si="1"/>
        <v>0</v>
      </c>
      <c r="J23" s="74">
        <f t="shared" si="1"/>
        <v>0</v>
      </c>
      <c r="K23" s="74">
        <f t="shared" si="1"/>
        <v>0</v>
      </c>
      <c r="L23" s="75"/>
      <c r="M23" s="12"/>
    </row>
    <row r="24" spans="2:13" ht="12.75">
      <c r="B24" s="11"/>
      <c r="C24" s="23"/>
      <c r="D24" s="23" t="s">
        <v>262</v>
      </c>
      <c r="E24" s="23"/>
      <c r="F24" s="73">
        <v>66666</v>
      </c>
      <c r="G24" s="23"/>
      <c r="H24" s="76">
        <f>H40-(H18+(SUM(H21:H23)))</f>
        <v>638231.7225</v>
      </c>
      <c r="I24" s="76">
        <f>I40-(I18+(SUM(I21:I23)))</f>
        <v>1202430.8725</v>
      </c>
      <c r="J24" s="76">
        <f>J40-(J18+(SUM(J21:J23)))</f>
        <v>1766630.0225</v>
      </c>
      <c r="K24" s="76">
        <f>K40-(K18+(SUM(K21:K23)))</f>
        <v>2330829.1725</v>
      </c>
      <c r="L24" s="75"/>
      <c r="M24" s="12"/>
    </row>
    <row r="25" spans="2:13" ht="12.75">
      <c r="B25" s="11"/>
      <c r="C25" s="23"/>
      <c r="D25" s="27" t="s">
        <v>263</v>
      </c>
      <c r="E25" s="23"/>
      <c r="F25" s="77">
        <f>SUM(F22:F24)</f>
        <v>122221</v>
      </c>
      <c r="G25" s="23"/>
      <c r="H25" s="77">
        <f>SUM(H21:H24)</f>
        <v>693786.7225</v>
      </c>
      <c r="I25" s="77">
        <f>SUM(I21:I24)</f>
        <v>1257985.8725</v>
      </c>
      <c r="J25" s="77">
        <f>SUM(J21:J24)</f>
        <v>1822185.0225</v>
      </c>
      <c r="K25" s="77">
        <f>SUM(K21:K24)</f>
        <v>2386384.1725</v>
      </c>
      <c r="L25" s="78"/>
      <c r="M25" s="12"/>
    </row>
    <row r="26" spans="2:13" ht="12.75">
      <c r="B26" s="1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2"/>
    </row>
    <row r="27" spans="2:13" ht="12.75">
      <c r="B27" s="11"/>
      <c r="C27" s="23"/>
      <c r="D27" s="27" t="s">
        <v>522</v>
      </c>
      <c r="E27" s="79"/>
      <c r="F27" s="77">
        <f>F18+F25</f>
        <v>122221</v>
      </c>
      <c r="G27" s="79"/>
      <c r="H27" s="77">
        <f>H18+H25</f>
        <v>693786.7225</v>
      </c>
      <c r="I27" s="77">
        <f>I18+I25</f>
        <v>1257985.8725</v>
      </c>
      <c r="J27" s="77">
        <f>J18+J25</f>
        <v>1822185.0225</v>
      </c>
      <c r="K27" s="77">
        <f>K18+K25</f>
        <v>2386384.1725</v>
      </c>
      <c r="L27" s="78"/>
      <c r="M27" s="12"/>
    </row>
    <row r="28" spans="2:21" ht="12.75">
      <c r="B28" s="11"/>
      <c r="C28" s="23"/>
      <c r="D28" s="23"/>
      <c r="E28" s="79"/>
      <c r="F28" s="79"/>
      <c r="G28" s="79"/>
      <c r="H28" s="36"/>
      <c r="I28" s="36"/>
      <c r="J28" s="36"/>
      <c r="K28" s="36"/>
      <c r="L28" s="36"/>
      <c r="M28" s="12"/>
      <c r="O28" s="41"/>
      <c r="Q28" s="80"/>
      <c r="R28" s="80"/>
      <c r="S28" s="80"/>
      <c r="T28" s="80"/>
      <c r="U28" s="80"/>
    </row>
    <row r="29" spans="2:21" ht="12.75">
      <c r="B29" s="11"/>
      <c r="E29" s="15"/>
      <c r="F29" s="15"/>
      <c r="G29" s="15"/>
      <c r="M29" s="12"/>
      <c r="O29" s="41"/>
      <c r="Q29" s="80"/>
      <c r="R29" s="80"/>
      <c r="S29" s="80"/>
      <c r="T29" s="80"/>
      <c r="U29" s="80"/>
    </row>
    <row r="30" spans="2:21" ht="12.75">
      <c r="B30" s="11"/>
      <c r="C30" s="23"/>
      <c r="D30" s="23"/>
      <c r="E30" s="79"/>
      <c r="F30" s="79"/>
      <c r="G30" s="79"/>
      <c r="H30" s="36"/>
      <c r="I30" s="36"/>
      <c r="J30" s="36"/>
      <c r="K30" s="36"/>
      <c r="L30" s="36"/>
      <c r="M30" s="12"/>
      <c r="O30" s="41"/>
      <c r="Q30" s="80"/>
      <c r="R30" s="80"/>
      <c r="S30" s="80"/>
      <c r="T30" s="80"/>
      <c r="U30" s="80"/>
    </row>
    <row r="31" spans="2:21" ht="12.75">
      <c r="B31" s="11"/>
      <c r="C31" s="23"/>
      <c r="D31" s="28" t="s">
        <v>264</v>
      </c>
      <c r="E31" s="79"/>
      <c r="F31" s="79"/>
      <c r="G31" s="79"/>
      <c r="H31" s="79"/>
      <c r="I31" s="79"/>
      <c r="J31" s="79"/>
      <c r="K31" s="79"/>
      <c r="L31" s="79"/>
      <c r="M31" s="12"/>
      <c r="O31" s="41"/>
      <c r="Q31" s="80"/>
      <c r="R31" s="80"/>
      <c r="S31" s="80"/>
      <c r="T31" s="80"/>
      <c r="U31" s="80"/>
    </row>
    <row r="32" spans="2:21" ht="12.75">
      <c r="B32" s="11"/>
      <c r="C32" s="34"/>
      <c r="D32" s="23"/>
      <c r="E32" s="23"/>
      <c r="F32" s="79"/>
      <c r="G32" s="23"/>
      <c r="H32" s="36"/>
      <c r="I32" s="36"/>
      <c r="J32" s="36"/>
      <c r="K32" s="36"/>
      <c r="L32" s="36"/>
      <c r="M32" s="12"/>
      <c r="O32" s="41"/>
      <c r="Q32" s="80"/>
      <c r="R32" s="80"/>
      <c r="S32" s="80"/>
      <c r="T32" s="80"/>
      <c r="U32" s="80"/>
    </row>
    <row r="33" spans="2:21" ht="12.75">
      <c r="B33" s="33"/>
      <c r="C33" s="23"/>
      <c r="D33" s="23" t="s">
        <v>265</v>
      </c>
      <c r="E33" s="79"/>
      <c r="F33" s="482">
        <f>F27-(SUM(F34:F37))</f>
        <v>44444</v>
      </c>
      <c r="G33" s="79"/>
      <c r="H33" s="76">
        <f>F33+expl!F75</f>
        <v>616009.7225</v>
      </c>
      <c r="I33" s="76">
        <f>H33+expl!G75</f>
        <v>1180208.8725</v>
      </c>
      <c r="J33" s="76">
        <f>I33+expl!H75</f>
        <v>1744408.0225</v>
      </c>
      <c r="K33" s="76">
        <f>J33+expl!I75</f>
        <v>2308607.1725</v>
      </c>
      <c r="L33" s="36"/>
      <c r="M33" s="12"/>
      <c r="O33" s="41"/>
      <c r="Q33" s="80"/>
      <c r="R33" s="80"/>
      <c r="S33" s="80"/>
      <c r="T33" s="80"/>
      <c r="U33" s="80"/>
    </row>
    <row r="34" spans="2:21" ht="12.75">
      <c r="B34" s="11"/>
      <c r="C34" s="23"/>
      <c r="D34" s="23" t="s">
        <v>489</v>
      </c>
      <c r="E34" s="23"/>
      <c r="F34" s="73">
        <v>0</v>
      </c>
      <c r="G34" s="23"/>
      <c r="H34" s="74">
        <f>+F34</f>
        <v>0</v>
      </c>
      <c r="I34" s="74">
        <f>+H34</f>
        <v>0</v>
      </c>
      <c r="J34" s="74">
        <f aca="true" t="shared" si="2" ref="J34:K37">+I34</f>
        <v>0</v>
      </c>
      <c r="K34" s="74">
        <f t="shared" si="2"/>
        <v>0</v>
      </c>
      <c r="L34" s="36"/>
      <c r="M34" s="12"/>
      <c r="O34" s="41"/>
      <c r="Q34" s="80"/>
      <c r="R34" s="80"/>
      <c r="S34" s="80"/>
      <c r="T34" s="80"/>
      <c r="U34" s="80"/>
    </row>
    <row r="35" spans="2:13" ht="12.75">
      <c r="B35" s="11"/>
      <c r="C35" s="23"/>
      <c r="D35" s="23" t="s">
        <v>266</v>
      </c>
      <c r="E35" s="23"/>
      <c r="F35" s="73">
        <v>33333</v>
      </c>
      <c r="G35" s="23"/>
      <c r="H35" s="74">
        <f>+F35</f>
        <v>33333</v>
      </c>
      <c r="I35" s="74">
        <f>+H35</f>
        <v>33333</v>
      </c>
      <c r="J35" s="74">
        <f t="shared" si="2"/>
        <v>33333</v>
      </c>
      <c r="K35" s="74">
        <f t="shared" si="2"/>
        <v>33333</v>
      </c>
      <c r="L35" s="23"/>
      <c r="M35" s="12"/>
    </row>
    <row r="36" spans="2:13" ht="12.75">
      <c r="B36" s="11"/>
      <c r="C36" s="23"/>
      <c r="D36" s="23" t="s">
        <v>267</v>
      </c>
      <c r="E36" s="23"/>
      <c r="F36" s="73">
        <v>0</v>
      </c>
      <c r="G36" s="23"/>
      <c r="H36" s="74">
        <f>+F36</f>
        <v>0</v>
      </c>
      <c r="I36" s="74">
        <f>+H36</f>
        <v>0</v>
      </c>
      <c r="J36" s="74">
        <f t="shared" si="2"/>
        <v>0</v>
      </c>
      <c r="K36" s="74">
        <f t="shared" si="2"/>
        <v>0</v>
      </c>
      <c r="L36" s="23"/>
      <c r="M36" s="12"/>
    </row>
    <row r="37" spans="2:14" s="42" customFormat="1" ht="12.75">
      <c r="B37" s="51"/>
      <c r="C37" s="23"/>
      <c r="D37" s="23" t="s">
        <v>268</v>
      </c>
      <c r="E37" s="28"/>
      <c r="F37" s="73">
        <v>44444</v>
      </c>
      <c r="G37" s="23"/>
      <c r="H37" s="74">
        <f>+F37</f>
        <v>44444</v>
      </c>
      <c r="I37" s="74">
        <f>+H37</f>
        <v>44444</v>
      </c>
      <c r="J37" s="74">
        <f t="shared" si="2"/>
        <v>44444</v>
      </c>
      <c r="K37" s="74">
        <f t="shared" si="2"/>
        <v>44444</v>
      </c>
      <c r="L37" s="78"/>
      <c r="M37" s="56"/>
      <c r="N37" s="377"/>
    </row>
    <row r="38" spans="2:13" ht="12.75">
      <c r="B38" s="11"/>
      <c r="C38" s="23"/>
      <c r="D38" s="23"/>
      <c r="E38" s="23"/>
      <c r="F38" s="23"/>
      <c r="G38" s="23"/>
      <c r="H38" s="75"/>
      <c r="I38" s="75"/>
      <c r="J38" s="75"/>
      <c r="K38" s="75"/>
      <c r="L38" s="75"/>
      <c r="M38" s="12"/>
    </row>
    <row r="39" spans="2:13" ht="12.75">
      <c r="B39" s="11"/>
      <c r="C39" s="23"/>
      <c r="D39" s="27" t="s">
        <v>523</v>
      </c>
      <c r="E39" s="23"/>
      <c r="F39" s="23"/>
      <c r="G39" s="23"/>
      <c r="H39" s="23"/>
      <c r="I39" s="23"/>
      <c r="J39" s="23"/>
      <c r="K39" s="23"/>
      <c r="L39" s="23"/>
      <c r="M39" s="12"/>
    </row>
    <row r="40" spans="2:13" ht="12.75">
      <c r="B40" s="11"/>
      <c r="C40" s="23"/>
      <c r="D40" s="27"/>
      <c r="E40" s="23"/>
      <c r="F40" s="77">
        <f>SUM(F33:F37)</f>
        <v>122221</v>
      </c>
      <c r="G40" s="23"/>
      <c r="H40" s="77">
        <f>SUM(H33:H37)</f>
        <v>693786.7225</v>
      </c>
      <c r="I40" s="77">
        <f>SUM(I33:I37)</f>
        <v>1257985.8725</v>
      </c>
      <c r="J40" s="77">
        <f>SUM(J33:J37)</f>
        <v>1822185.0225</v>
      </c>
      <c r="K40" s="77">
        <f>SUM(K33:K37)</f>
        <v>2386384.1725</v>
      </c>
      <c r="L40" s="78"/>
      <c r="M40" s="12"/>
    </row>
    <row r="41" spans="2:13" ht="12.75">
      <c r="B41" s="11"/>
      <c r="C41" s="23"/>
      <c r="D41" s="27"/>
      <c r="E41" s="23"/>
      <c r="F41" s="78"/>
      <c r="G41" s="23"/>
      <c r="H41" s="78"/>
      <c r="I41" s="78"/>
      <c r="J41" s="78"/>
      <c r="K41" s="78"/>
      <c r="L41" s="78"/>
      <c r="M41" s="12"/>
    </row>
    <row r="42" spans="2:13" ht="12.75">
      <c r="B42" s="11"/>
      <c r="H42" s="10"/>
      <c r="I42" s="10"/>
      <c r="J42" s="10"/>
      <c r="K42" s="10"/>
      <c r="L42" s="10"/>
      <c r="M42" s="12"/>
    </row>
    <row r="43" spans="2:13" ht="12.75">
      <c r="B43" s="11"/>
      <c r="H43" s="10"/>
      <c r="I43" s="10"/>
      <c r="J43" s="10"/>
      <c r="K43" s="10"/>
      <c r="L43" s="10"/>
      <c r="M43" s="12"/>
    </row>
    <row r="44" spans="2:13" ht="12.75">
      <c r="B44" s="11"/>
      <c r="H44" s="10"/>
      <c r="I44" s="10"/>
      <c r="J44" s="10"/>
      <c r="K44" s="10"/>
      <c r="L44" s="10"/>
      <c r="M44" s="12"/>
    </row>
    <row r="45" spans="2:13" ht="12.75">
      <c r="B45" s="11"/>
      <c r="C45" s="23"/>
      <c r="D45" s="23"/>
      <c r="E45" s="23"/>
      <c r="F45" s="79"/>
      <c r="G45" s="79"/>
      <c r="H45" s="79"/>
      <c r="I45" s="79"/>
      <c r="J45" s="79"/>
      <c r="K45" s="79"/>
      <c r="L45" s="79"/>
      <c r="M45" s="489"/>
    </row>
    <row r="46" spans="2:13" ht="12.75">
      <c r="B46" s="11"/>
      <c r="C46" s="23"/>
      <c r="D46" s="28" t="s">
        <v>524</v>
      </c>
      <c r="E46" s="23"/>
      <c r="F46" s="22" t="s">
        <v>525</v>
      </c>
      <c r="G46" s="23"/>
      <c r="H46" s="79"/>
      <c r="I46" s="23"/>
      <c r="J46" s="23"/>
      <c r="K46" s="23"/>
      <c r="L46" s="23"/>
      <c r="M46" s="489"/>
    </row>
    <row r="47" spans="2:13" ht="12.75">
      <c r="B47" s="11"/>
      <c r="C47" s="23"/>
      <c r="D47" s="23"/>
      <c r="E47" s="23"/>
      <c r="F47" s="79"/>
      <c r="G47" s="23"/>
      <c r="H47" s="79"/>
      <c r="I47" s="79"/>
      <c r="J47" s="79"/>
      <c r="K47" s="79"/>
      <c r="L47" s="79"/>
      <c r="M47" s="489"/>
    </row>
    <row r="48" spans="2:13" ht="12.75">
      <c r="B48" s="11"/>
      <c r="C48" s="23"/>
      <c r="D48" s="23" t="s">
        <v>526</v>
      </c>
      <c r="E48" s="23"/>
      <c r="F48" s="486">
        <v>0.5</v>
      </c>
      <c r="G48" s="23"/>
      <c r="H48" s="592">
        <f>H33/H40</f>
        <v>0.887894943103354</v>
      </c>
      <c r="I48" s="592">
        <f>I33/I40</f>
        <v>0.9381733915298799</v>
      </c>
      <c r="J48" s="592">
        <f>J33/J40</f>
        <v>0.9573166286410962</v>
      </c>
      <c r="K48" s="592">
        <f>K33/K40</f>
        <v>0.9674080138075505</v>
      </c>
      <c r="L48" s="36"/>
      <c r="M48" s="490"/>
    </row>
    <row r="49" spans="2:13" ht="12.75">
      <c r="B49" s="11"/>
      <c r="C49" s="23"/>
      <c r="D49" s="23" t="s">
        <v>527</v>
      </c>
      <c r="E49" s="23"/>
      <c r="F49" s="187">
        <v>1.5</v>
      </c>
      <c r="G49" s="23"/>
      <c r="H49" s="158">
        <f>H25/H37</f>
        <v>15.610357359823599</v>
      </c>
      <c r="I49" s="158">
        <f>I25/I37</f>
        <v>28.30496518090181</v>
      </c>
      <c r="J49" s="158">
        <f>J25/J37</f>
        <v>40.99957300198002</v>
      </c>
      <c r="K49" s="158">
        <f>K25/K37</f>
        <v>53.694180823058225</v>
      </c>
      <c r="L49" s="36"/>
      <c r="M49" s="489"/>
    </row>
    <row r="50" spans="2:13" ht="12.75">
      <c r="B50" s="11"/>
      <c r="C50" s="23"/>
      <c r="D50" s="23" t="s">
        <v>528</v>
      </c>
      <c r="E50" s="23"/>
      <c r="F50" s="487">
        <v>0</v>
      </c>
      <c r="G50" s="23"/>
      <c r="H50" s="592">
        <f>expl!F57/expl!F31</f>
        <v>0.5998195910257498</v>
      </c>
      <c r="I50" s="592">
        <f>expl!G57/expl!G31</f>
        <v>0.5919918967708115</v>
      </c>
      <c r="J50" s="592">
        <f>expl!H57/expl!H31</f>
        <v>0.5919918967708115</v>
      </c>
      <c r="K50" s="592">
        <f>expl!I57/expl!I31</f>
        <v>0.5919918967708115</v>
      </c>
      <c r="L50" s="36"/>
      <c r="M50" s="489"/>
    </row>
    <row r="51" spans="2:13" ht="12.75">
      <c r="B51" s="11"/>
      <c r="C51" s="23"/>
      <c r="D51" s="23" t="s">
        <v>529</v>
      </c>
      <c r="E51" s="23"/>
      <c r="F51" s="488">
        <v>0.05</v>
      </c>
      <c r="G51" s="23"/>
      <c r="H51" s="592">
        <f>(H33-H16)/expl!F21</f>
        <v>0.6964536822596884</v>
      </c>
      <c r="I51" s="592">
        <f>(I33-I16)/expl!G21</f>
        <v>1.3259415875553868</v>
      </c>
      <c r="J51" s="592">
        <f>(J33-J16)/expl!H21</f>
        <v>1.9598082988466967</v>
      </c>
      <c r="K51" s="592">
        <f>(K33-K16)/expl!I21</f>
        <v>2.5936750101380066</v>
      </c>
      <c r="L51" s="36"/>
      <c r="M51" s="489"/>
    </row>
    <row r="52" spans="2:13" ht="12.75">
      <c r="B52" s="1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12"/>
    </row>
    <row r="53" spans="2:13" ht="12.75">
      <c r="B53" s="11"/>
      <c r="H53" s="10"/>
      <c r="I53" s="10"/>
      <c r="J53" s="10"/>
      <c r="K53" s="10"/>
      <c r="L53" s="10"/>
      <c r="M53" s="12"/>
    </row>
    <row r="54" spans="2:13" ht="13.5" thickBot="1">
      <c r="B54" s="59"/>
      <c r="C54" s="60"/>
      <c r="D54" s="83"/>
      <c r="E54" s="60"/>
      <c r="F54" s="60"/>
      <c r="G54" s="60"/>
      <c r="H54" s="84"/>
      <c r="I54" s="84"/>
      <c r="J54" s="84"/>
      <c r="K54" s="84"/>
      <c r="L54" s="84"/>
      <c r="M54" s="62"/>
    </row>
    <row r="55" spans="2:13" ht="12.7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2:13" ht="12.7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2:14" s="85" customFormat="1" ht="18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6"/>
    </row>
    <row r="58" spans="2:13" ht="12.7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3" ht="12.7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 ht="12.7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2:13" ht="12.7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4" s="42" customFormat="1" ht="12.75"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377"/>
    </row>
    <row r="63" spans="2:13" ht="12.7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2:13" ht="12.7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 ht="12.7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 ht="12.7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4" s="42" customFormat="1" ht="12.75"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377"/>
    </row>
    <row r="68" spans="2:13" ht="12.7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 ht="12.7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 ht="12.7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 ht="12.7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4" s="42" customFormat="1" ht="12.75"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377"/>
    </row>
    <row r="73" spans="2:13" ht="12.7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2:13" ht="12.7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2:13" ht="12.7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2:13" ht="12.7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2:14" s="42" customFormat="1" ht="12.75"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377"/>
    </row>
    <row r="78" spans="2:13" ht="12.7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2:13" ht="12.7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 ht="12.7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2:13" ht="12.7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2:14" s="42" customFormat="1" ht="12.75"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377"/>
    </row>
    <row r="83" spans="2:13" ht="12.7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2:13" ht="12.7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2:13" ht="12.7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2:13" ht="12.7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2:14" s="42" customFormat="1" ht="12.75"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377"/>
    </row>
    <row r="88" spans="2:13" ht="12.7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2:13" ht="12.7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2:13" ht="12.7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2:13" ht="12.7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2:13" ht="12.7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2:13" ht="12.7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2:13" ht="12.7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2:13" ht="12.7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2:13" ht="12.7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8" spans="8:14" s="42" customFormat="1" ht="12.75">
      <c r="H98" s="88"/>
      <c r="I98" s="88"/>
      <c r="J98" s="88"/>
      <c r="K98" s="88"/>
      <c r="L98" s="88"/>
      <c r="N98" s="377"/>
    </row>
    <row r="103" spans="8:14" s="42" customFormat="1" ht="12.75">
      <c r="H103" s="88"/>
      <c r="I103" s="88"/>
      <c r="J103" s="88"/>
      <c r="K103" s="88"/>
      <c r="L103" s="88"/>
      <c r="N103" s="377"/>
    </row>
    <row r="108" spans="8:14" s="42" customFormat="1" ht="12.75">
      <c r="H108" s="88"/>
      <c r="I108" s="88"/>
      <c r="J108" s="88"/>
      <c r="K108" s="88"/>
      <c r="L108" s="88"/>
      <c r="N108" s="377"/>
    </row>
    <row r="113" spans="8:14" s="42" customFormat="1" ht="12.75">
      <c r="H113" s="88"/>
      <c r="I113" s="88"/>
      <c r="J113" s="88"/>
      <c r="K113" s="88"/>
      <c r="L113" s="88"/>
      <c r="N113" s="377"/>
    </row>
    <row r="118" spans="8:14" s="42" customFormat="1" ht="12.75">
      <c r="H118" s="88"/>
      <c r="I118" s="88"/>
      <c r="J118" s="88"/>
      <c r="K118" s="88"/>
      <c r="L118" s="88"/>
      <c r="N118" s="377"/>
    </row>
    <row r="121" spans="4:10" ht="12.75">
      <c r="D121" s="42"/>
      <c r="E121" s="42"/>
      <c r="F121" s="42"/>
      <c r="G121" s="42"/>
      <c r="H121" s="88"/>
      <c r="I121" s="88"/>
      <c r="J121" s="88"/>
    </row>
    <row r="122" spans="4:10" ht="12.75">
      <c r="D122" s="42"/>
      <c r="E122" s="42"/>
      <c r="F122" s="42"/>
      <c r="G122" s="42"/>
      <c r="H122" s="88"/>
      <c r="I122" s="88"/>
      <c r="J122" s="88"/>
    </row>
    <row r="123" spans="8:14" s="42" customFormat="1" ht="12.75">
      <c r="H123" s="88"/>
      <c r="I123" s="88"/>
      <c r="J123" s="88"/>
      <c r="K123" s="88"/>
      <c r="L123" s="88"/>
      <c r="N123" s="377"/>
    </row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56" r:id="rId1"/>
  <headerFooter alignWithMargins="0">
    <oddHeader>&amp;L&amp;"Arial,Vet"&amp;F&amp;R&amp;"Arial,Vet"&amp;A</oddHeader>
    <oddFooter>&amp;L&amp;"Arial,Vet"vos/abb&amp;C&amp;"Arial,Vet"&amp;P&amp;R&amp;"Arial,Vet"&amp;D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VOS/ABB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 Meerjarenbegroting WSNS</dc:title>
  <dc:subject/>
  <dc:creator>Keizer/Goedhart</dc:creator>
  <cp:keywords/>
  <dc:description/>
  <cp:lastModifiedBy>Bé Keizer</cp:lastModifiedBy>
  <cp:lastPrinted>2007-12-02T22:32:48Z</cp:lastPrinted>
  <dcterms:created xsi:type="dcterms:W3CDTF">2000-01-17T20:34:37Z</dcterms:created>
  <dcterms:modified xsi:type="dcterms:W3CDTF">2008-05-20T19:50:30Z</dcterms:modified>
  <cp:category/>
  <cp:version/>
  <cp:contentType/>
  <cp:contentStatus/>
</cp:coreProperties>
</file>