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0" windowWidth="7650" windowHeight="9255" tabRatio="762" activeTab="2"/>
  </bookViews>
  <sheets>
    <sheet name="Toelichting" sheetId="1" r:id="rId1"/>
    <sheet name="WAO-WIA" sheetId="2" state="hidden" r:id="rId2"/>
    <sheet name="Werkgeverslasten" sheetId="3" r:id="rId3"/>
    <sheet name="Ouderschapsverlof" sheetId="4" r:id="rId4"/>
    <sheet name="Functiedifferentiatie" sheetId="5" r:id="rId5"/>
    <sheet name="Extra periodieken" sheetId="6" r:id="rId6"/>
    <sheet name="tabellen" sheetId="7" r:id="rId7"/>
  </sheets>
  <definedNames>
    <definedName name="_xlnm.Print_Area" localSheetId="5">'Extra periodieken'!$B$2:$J$52</definedName>
    <definedName name="_xlnm.Print_Area" localSheetId="4">'Functiedifferentiatie'!$B$2:$J$50</definedName>
    <definedName name="_xlnm.Print_Area" localSheetId="3">'Ouderschapsverlof'!$B$2:$L$66</definedName>
    <definedName name="_xlnm.Print_Area" localSheetId="0">'Toelichting'!$B$2:$P$165</definedName>
    <definedName name="_xlnm.Print_Area" localSheetId="2">'Werkgeverslasten'!$B$2:$O$87</definedName>
    <definedName name="arbeidskorting">'tabellen'!$B$114:$D$117</definedName>
    <definedName name="bindingstoelage">'tabellen'!$B$81:$C$83</definedName>
    <definedName name="eindejaarsuitkering_OOP">'tabellen'!$C$91:$D$94</definedName>
    <definedName name="premies">'tabellen'!$B$55:$G$68</definedName>
    <definedName name="salaristabellen">'tabellen'!$A$7:$V$50</definedName>
    <definedName name="uitlooptoeslag">'tabellen'!$B$73:$C$76</definedName>
  </definedNames>
  <calcPr fullCalcOnLoad="1"/>
</workbook>
</file>

<file path=xl/comments3.xml><?xml version="1.0" encoding="utf-8"?>
<comments xmlns="http://schemas.openxmlformats.org/spreadsheetml/2006/main">
  <authors>
    <author>Keizer</author>
    <author>B? Keizer</author>
  </authors>
  <commentList>
    <comment ref="E46" authorId="0">
      <text>
        <r>
          <rPr>
            <sz val="9"/>
            <rFont val="Tahoma"/>
            <family val="2"/>
          </rPr>
          <t xml:space="preserve">
Voor de WAO/WIA geldt een basispremie (5,70%) voor werknemers die op 1 januari 2008 in dienst waren en per 1 januari 2010 nog geen 56,5 jaar waren en een uniforme premie van 0,07% plus WGA-premie. De WGA rekenpremie is gesteld op 0,59%. Daarnaast geldt nog een voor de werkgever variabele WGA-werkgeversopslag die door de Belastingdienst wordt vastgesteld. Die opslag dient u in hetwerkblad tabellen in te voeren (cel C60).
Voor de premieheffing voor oudere werknemers, zie de toelichting en het bericht op de website over premiekorting en premievrijstelling.</t>
        </r>
      </text>
    </comment>
    <comment ref="G49" authorId="1">
      <text>
        <r>
          <rPr>
            <sz val="9"/>
            <rFont val="Tahoma"/>
            <family val="2"/>
          </rPr>
          <t xml:space="preserve">
1 = premie verplichte verzekering (7,56%)
2 = premie vrijwillige verzekering (7,56%)
3 = eigenrisicodrager (0,00%)</t>
        </r>
      </text>
    </comment>
    <comment ref="G31" authorId="1">
      <text>
        <r>
          <rPr>
            <sz val="9"/>
            <rFont val="Tahoma"/>
            <family val="2"/>
          </rPr>
          <t xml:space="preserve">
De uitkering bedraagt bij een normbetrekking 200 euro die in de maanden januari t/m oktober wordt opgebouwd en uitgekeerd in oktober. </t>
        </r>
      </text>
    </comment>
    <comment ref="G37" authorId="0">
      <text>
        <r>
          <rPr>
            <sz val="9"/>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G13" authorId="1">
      <text>
        <r>
          <rPr>
            <sz val="8"/>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1" authorId="1">
      <text>
        <r>
          <rPr>
            <sz val="9"/>
            <rFont val="Tahoma"/>
            <family val="2"/>
          </rPr>
          <t xml:space="preserve">
Geldt voor de leraren schaal LA en LB die op 31 juli 2010 al tenminste op regel 15 van hun schaal zaten, tenzij beoordeling niet-voldoende functioneren aangeeft.</t>
        </r>
      </text>
    </comment>
    <comment ref="F25" authorId="0">
      <text>
        <r>
          <rPr>
            <sz val="9"/>
            <rFont val="Tahoma"/>
            <family val="2"/>
          </rPr>
          <t>Deze eindejaarsuitkering wordt toegekend aan de schalen 1  t/m 8. Zie tabellen.</t>
        </r>
      </text>
    </comment>
    <comment ref="F26" authorId="1">
      <text>
        <r>
          <rPr>
            <sz val="9"/>
            <rFont val="Tahoma"/>
            <family val="2"/>
          </rPr>
          <t xml:space="preserve">
Geldt voor de directeuren verbonden aan een school PO die benoemd zijn in de schalen DA t/m DCuitloop (incl. meerhoofdig).</t>
        </r>
      </text>
    </comment>
    <comment ref="E41" authorId="1">
      <text>
        <r>
          <rPr>
            <sz val="9"/>
            <rFont val="Tahoma"/>
            <family val="2"/>
          </rPr>
          <t xml:space="preserve">
Het jaarinkomen ABP wordt eigenlijk per januari van het jaar bepaald. </t>
        </r>
      </text>
    </comment>
  </commentList>
</comments>
</file>

<file path=xl/comments4.xml><?xml version="1.0" encoding="utf-8"?>
<comments xmlns="http://schemas.openxmlformats.org/spreadsheetml/2006/main">
  <authors>
    <author>B? Keizer</author>
    <author>Keizer</author>
    <author>Gebruiker</author>
  </authors>
  <commentList>
    <comment ref="D13" authorId="0">
      <text>
        <r>
          <rPr>
            <sz val="8"/>
            <rFont val="Tahoma"/>
            <family val="2"/>
          </rPr>
          <t>Alleen bij de functie ID1 geldt dat er sprake is van een aanloopschaal van twee regels. De officiele regel 1 van deze schaal is daarom in dit instrument regel 3 enz. en de gehele schaal omvat daarom in dit instrument 9 regels i.p.v. 7. Zie de tabellen rij 46.</t>
        </r>
      </text>
    </comment>
    <comment ref="H45" authorId="1">
      <text>
        <r>
          <rPr>
            <b/>
            <sz val="8"/>
            <rFont val="Tahoma"/>
            <family val="2"/>
          </rPr>
          <t>Betreft niveau 2010</t>
        </r>
      </text>
    </comment>
    <comment ref="H54" authorId="1">
      <text>
        <r>
          <rPr>
            <sz val="8"/>
            <rFont val="Tahoma"/>
            <family val="2"/>
          </rPr>
          <t>Vaststellen op basis van totaal aantal fte gedeeld door het totaal aantal personeelsleden bij het betreffende bestuur. 
De 74,9% is een landelijk cijfer van 2007.</t>
        </r>
      </text>
    </comment>
    <comment ref="J43" authorId="0">
      <text>
        <r>
          <rPr>
            <sz val="9"/>
            <rFont val="Tahoma"/>
            <family val="2"/>
          </rPr>
          <t xml:space="preserve">
Betreft niveau 2010 en geldt voor 26 weken.De korting is niet meer dan het bedrag dat u in 2010 minder krijgt aan belastbaar loon in vergelijking met 2009. De korting bedraagt € 4,07 per opgenomen uur (Belastingen, inkomstenbelasting 2010).
</t>
        </r>
      </text>
    </comment>
    <comment ref="E28" authorId="2">
      <text>
        <r>
          <rPr>
            <sz val="8"/>
            <rFont val="Tahoma"/>
            <family val="2"/>
          </rPr>
          <t xml:space="preserve">
</t>
        </r>
        <r>
          <rPr>
            <sz val="10"/>
            <rFont val="Tahoma"/>
            <family val="2"/>
          </rPr>
          <t>delen van een maand als hele maand rekenen</t>
        </r>
      </text>
    </comment>
  </commentList>
</comments>
</file>

<file path=xl/comments6.xml><?xml version="1.0" encoding="utf-8"?>
<comments xmlns="http://schemas.openxmlformats.org/spreadsheetml/2006/main">
  <authors>
    <author>Keizer</author>
  </authors>
  <commentList>
    <comment ref="F40" authorId="0">
      <text>
        <r>
          <rPr>
            <sz val="8"/>
            <rFont val="Tahoma"/>
            <family val="2"/>
          </rPr>
          <t>Omvang personeelsbestand bestuur in aantal fte.</t>
        </r>
      </text>
    </comment>
    <comment ref="F41" authorId="0">
      <text>
        <r>
          <rPr>
            <sz val="8"/>
            <rFont val="Tahoma"/>
            <family val="2"/>
          </rPr>
          <t>Vaststellen op basis van totaal aantal fte gedeeld door het totaal aantal personeelsleden bij het betreffende bestuur. 
De 74,8% is een landelijk gegeven (2007).</t>
        </r>
      </text>
    </comment>
    <comment ref="F44" authorId="0">
      <text>
        <r>
          <rPr>
            <sz val="8"/>
            <rFont val="Tahoma"/>
            <family val="2"/>
          </rPr>
          <t>Aantal herintreders in fte gedeeld door aantal fte.
Landelijke raming ontbreekt. Raming kan per bestuur sterk variëren. Daarom vaststellen op basis van eigen gegevens.</t>
        </r>
      </text>
    </comment>
    <comment ref="F46" authorId="0">
      <text>
        <r>
          <rPr>
            <sz val="8"/>
            <rFont val="Tahoma"/>
            <family val="2"/>
          </rPr>
          <t>Is mede gebaseerd op de aanname dat even vaak sprake is van 1 als 2 periodieken, gemiddeld dus 1,5 periodiek.</t>
        </r>
      </text>
    </comment>
  </commentList>
</comments>
</file>

<file path=xl/comments7.xml><?xml version="1.0" encoding="utf-8"?>
<comments xmlns="http://schemas.openxmlformats.org/spreadsheetml/2006/main">
  <authors>
    <author>Keizer</author>
    <author>B? Keizer</author>
  </authors>
  <commentList>
    <comment ref="B5" authorId="0">
      <text>
        <r>
          <rPr>
            <sz val="10"/>
            <rFont val="Tahoma"/>
            <family val="2"/>
          </rPr>
          <t>CAO 2009 
Actieplan LK 
Plus akkoord nov 09</t>
        </r>
      </text>
    </comment>
    <comment ref="C59" authorId="0">
      <text>
        <r>
          <rPr>
            <sz val="9"/>
            <rFont val="Tahoma"/>
            <family val="2"/>
          </rPr>
          <t>Dit is het gemiddelde percentage.</t>
        </r>
      </text>
    </comment>
    <comment ref="A64" authorId="1">
      <text>
        <r>
          <rPr>
            <sz val="9"/>
            <rFont val="Tahoma"/>
            <family val="2"/>
          </rPr>
          <t>Betreft: Uitvoering Fonds Overheid. Is inclusief premie kinderopvang van 0,34%</t>
        </r>
      </text>
    </comment>
    <comment ref="A68" authorId="0">
      <text>
        <r>
          <rPr>
            <sz val="9"/>
            <rFont val="Tahoma"/>
            <family val="2"/>
          </rPr>
          <t>Premie per 1 januari 2010.</t>
        </r>
      </text>
    </comment>
    <comment ref="A57" authorId="0">
      <text>
        <r>
          <rPr>
            <sz val="9"/>
            <rFont val="Tahoma"/>
            <family val="2"/>
          </rPr>
          <t>FPU opbouw is vervallen</t>
        </r>
      </text>
    </comment>
    <comment ref="A58" authorId="0">
      <text>
        <r>
          <rPr>
            <sz val="9"/>
            <rFont val="Tahoma"/>
            <family val="2"/>
          </rPr>
          <t xml:space="preserve">
Voor werknemers van 56,5 jaar per 1 jan. 2010 en ouder geldt premievrijstelling van de WAO/WIA-basispremie tot 62 jaar. Vanaf 62 jaar geldt een premiekorting van maximaal 2.750 euro. Zie verder de toelichting.
</t>
        </r>
      </text>
    </comment>
    <comment ref="A78" authorId="1">
      <text>
        <r>
          <rPr>
            <sz val="9"/>
            <rFont val="Tahoma"/>
            <family val="2"/>
          </rPr>
          <t xml:space="preserve">
Geldt voor de leraren schaal LA en LB die op 31 jul. 2010 op regel 15 van hun schaal zaten, tenzij beoordeling onvoldoende functioneren aangeeft.</t>
        </r>
      </text>
    </comment>
    <comment ref="A98" authorId="1">
      <text>
        <r>
          <rPr>
            <sz val="9"/>
            <rFont val="Tahoma"/>
            <family val="2"/>
          </rPr>
          <t xml:space="preserve">
Geldt voor de directeuren verbonden aan een school PO die benoemd zijn in de schalen DA t/m DCuitloop (incl. meerhoofdig).</t>
        </r>
      </text>
    </comment>
    <comment ref="A65" authorId="0">
      <text>
        <r>
          <rPr>
            <sz val="10"/>
            <rFont val="Tahoma"/>
            <family val="2"/>
          </rPr>
          <t xml:space="preserve">
Premie VF vanaf 1 jan. 2010 op jaarbasis. 
Verplicht  (regulier: 6,95% + CAO PO par. 8: 0,61%)
Vrijwillig (7,56% vanaf 1 aug. 2010). </t>
        </r>
      </text>
    </comment>
    <comment ref="A53" authorId="1">
      <text>
        <r>
          <rPr>
            <sz val="9"/>
            <rFont val="Tahoma"/>
            <family val="2"/>
          </rPr>
          <t xml:space="preserve">
Conform normen per aug. 2010. </t>
        </r>
      </text>
    </comment>
    <comment ref="A62" authorId="1">
      <text>
        <r>
          <rPr>
            <sz val="9"/>
            <rFont val="Tahoma"/>
            <family val="2"/>
          </rPr>
          <t xml:space="preserve">
De pseudo-WW premie is per 1 januari 2009 afgeschaft. De compensatie ervoor is geregeld en komt overeen met een opslag van 1,97% op het norm maandloon.
Nu de compensatie verwerkt is (juni 2009) is het percentage op 0,0% gesteld.
</t>
        </r>
      </text>
    </comment>
    <comment ref="A55" authorId="1">
      <text>
        <r>
          <rPr>
            <sz val="9"/>
            <rFont val="Tahoma"/>
            <family val="2"/>
          </rPr>
          <t xml:space="preserve">
Is incl. Anw-compensatie van 0,075% - WG en 0,225% - WN</t>
        </r>
      </text>
    </comment>
    <comment ref="A89" authorId="1">
      <text>
        <r>
          <rPr>
            <sz val="9"/>
            <rFont val="Tahoma"/>
            <family val="2"/>
          </rPr>
          <t xml:space="preserve">
Kaderbesluit Rechtspositie PO bijlage 2</t>
        </r>
      </text>
    </comment>
    <comment ref="B32" authorId="1">
      <text>
        <r>
          <rPr>
            <sz val="9"/>
            <rFont val="Tahoma"/>
            <family val="2"/>
          </rPr>
          <t xml:space="preserve">
Bijstelling per 1 juli i.v.m. aaanpassing minimumloon van 1415 naar 1416.</t>
        </r>
      </text>
    </comment>
    <comment ref="A60" authorId="1">
      <text>
        <r>
          <rPr>
            <sz val="9"/>
            <rFont val="Tahoma"/>
            <family val="2"/>
          </rPr>
          <t xml:space="preserve">
Deze werkgeversopslag varieert per werkgever. Opgave wordt verkregen van de Belastingdienst.</t>
        </r>
      </text>
    </comment>
  </commentList>
</comments>
</file>

<file path=xl/sharedStrings.xml><?xml version="1.0" encoding="utf-8"?>
<sst xmlns="http://schemas.openxmlformats.org/spreadsheetml/2006/main" count="599" uniqueCount="379">
  <si>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</si>
  <si>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</si>
  <si>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</si>
  <si>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</si>
  <si>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</si>
  <si>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</si>
  <si>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</si>
  <si>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</si>
  <si>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</si>
  <si>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</si>
  <si>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</si>
  <si>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</si>
  <si>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</si>
  <si>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</si>
  <si>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</si>
  <si>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</si>
  <si>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</si>
  <si>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</si>
  <si>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</si>
  <si>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</si>
  <si>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</si>
  <si>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</si>
  <si>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</si>
  <si>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</si>
  <si>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</si>
  <si>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</si>
  <si>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</si>
  <si>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</si>
  <si>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</si>
  <si>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</si>
  <si>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</si>
  <si>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</si>
  <si>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</si>
  <si>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</si>
  <si>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</si>
  <si>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</si>
  <si>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</si>
  <si>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</si>
  <si>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</si>
  <si>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</si>
  <si>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</si>
  <si>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</si>
  <si>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</si>
  <si>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</si>
  <si>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</si>
  <si>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</si>
  <si>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UFO-premie</t>
  </si>
  <si>
    <t>max. bedrag</t>
  </si>
  <si>
    <t>Totaal pensioenpremie</t>
  </si>
  <si>
    <t>uitlooptoeslag</t>
  </si>
  <si>
    <t>maand</t>
  </si>
  <si>
    <t>a</t>
  </si>
  <si>
    <t>b</t>
  </si>
  <si>
    <t>c</t>
  </si>
  <si>
    <t>d</t>
  </si>
  <si>
    <t>e</t>
  </si>
  <si>
    <t>f</t>
  </si>
  <si>
    <t>g</t>
  </si>
  <si>
    <t>h</t>
  </si>
  <si>
    <t>i</t>
  </si>
  <si>
    <t>UFO</t>
  </si>
  <si>
    <t>premie Vf</t>
  </si>
  <si>
    <t>premie Pf</t>
  </si>
  <si>
    <t>Totaal werkgeverslasten</t>
  </si>
  <si>
    <t>Maximumdebrutering:</t>
  </si>
  <si>
    <t>Debrutering</t>
  </si>
  <si>
    <t>Jaarinkomen ABP</t>
  </si>
  <si>
    <t>per maand</t>
  </si>
  <si>
    <t>per jaar</t>
  </si>
  <si>
    <t>max. regel:</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</si>
  <si>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</si>
  <si>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</si>
  <si>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</si>
  <si>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</si>
  <si>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Ten opzichte van het salaris ABP wordt dat in een percentage omgerekend, maar belangrijker: ook in een opslagpercentage </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</si>
  <si>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</si>
  <si>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</si>
  <si>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</si>
  <si>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</si>
  <si>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</si>
  <si>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</si>
  <si>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</si>
  <si>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</si>
  <si>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</si>
  <si>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</si>
  <si>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</si>
  <si>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</si>
  <si>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</si>
  <si>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</si>
  <si>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</si>
  <si>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</si>
  <si>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</si>
  <si>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</si>
  <si>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</si>
  <si>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</si>
  <si>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</si>
  <si>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</si>
  <si>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</si>
  <si>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</si>
  <si>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</si>
  <si>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</si>
  <si>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ZVW vergoeding werkgever</t>
  </si>
  <si>
    <t>Bijdrage-inkomen ZVW</t>
  </si>
  <si>
    <t>k</t>
  </si>
  <si>
    <t>Loon voor de loonbelasting</t>
  </si>
  <si>
    <t>Inkomensafhankelijke bijdrage ZVW</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</si>
  <si>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</si>
  <si>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</si>
  <si>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</si>
  <si>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</si>
  <si>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</si>
  <si>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</si>
  <si>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</si>
  <si>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</si>
  <si>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</si>
  <si>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</si>
  <si>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</si>
  <si>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</si>
  <si>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</si>
  <si>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</si>
  <si>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</si>
  <si>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</si>
  <si>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</si>
  <si>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</si>
  <si>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</si>
  <si>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</si>
  <si>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</si>
  <si>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</si>
  <si>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</si>
  <si>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</si>
  <si>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</si>
  <si>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</si>
  <si>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</si>
  <si>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</si>
  <si>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</si>
  <si>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</si>
  <si>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</si>
  <si>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</si>
  <si>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</si>
  <si>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</si>
  <si>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</si>
  <si>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</si>
  <si>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</si>
  <si>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</si>
  <si>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</si>
  <si>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</si>
  <si>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</si>
  <si>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</si>
  <si>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</si>
  <si>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</si>
  <si>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</si>
  <si>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</si>
  <si>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</si>
  <si>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</si>
  <si>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</si>
  <si>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</si>
  <si>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</si>
  <si>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</si>
  <si>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</si>
  <si>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</si>
  <si>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</si>
  <si>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</si>
  <si>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</si>
  <si>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</si>
  <si>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</si>
  <si>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</si>
  <si>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</si>
  <si>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</si>
  <si>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</si>
  <si>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</si>
  <si>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</si>
  <si>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</si>
  <si>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</si>
  <si>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</si>
  <si>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</si>
  <si>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</si>
  <si>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</si>
  <si>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</si>
  <si>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</si>
  <si>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</si>
  <si>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</si>
  <si>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</si>
  <si>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</si>
  <si>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</si>
  <si>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</si>
  <si>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</si>
  <si>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</si>
  <si>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</si>
  <si>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</si>
  <si>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</si>
  <si>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</si>
  <si>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</si>
  <si>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</si>
  <si>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</si>
  <si>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</si>
  <si>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</si>
  <si>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</si>
  <si>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</si>
  <si>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</si>
  <si>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</si>
  <si>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</si>
  <si>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</si>
  <si>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</si>
  <si>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</si>
  <si>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</si>
  <si>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</si>
  <si>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</si>
  <si>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</si>
  <si>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</si>
  <si>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</si>
  <si>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</si>
  <si>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</si>
  <si>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</si>
  <si>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</si>
  <si>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</si>
  <si>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</si>
  <si>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</si>
  <si>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</si>
  <si>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</si>
  <si>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</si>
  <si>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</si>
  <si>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 xml:space="preserve">te geven van de omvang van de werkgeverslasten en enig inzicht te geven in de opbouw daarvan. Als zodanig is </t>
  </si>
  <si>
    <t>Voor het maken van meerjarenformatiebeleid in relatie tot een meerjarenbegroting is deze info van belang.</t>
  </si>
  <si>
    <t>0,8% levensloop</t>
  </si>
  <si>
    <t>wordt gemaakt van de levensloopregeling.</t>
  </si>
  <si>
    <t>kosten levensloop</t>
  </si>
  <si>
    <t>debrutering</t>
  </si>
  <si>
    <t>Tabel 1 Schijventarief inkomstenbelasting/premie volksverzekeringen</t>
  </si>
  <si>
    <t>Inkomsten</t>
  </si>
  <si>
    <t>WAO/WIA-basispremie (AOF)</t>
  </si>
  <si>
    <t>totaal</t>
  </si>
  <si>
    <t>WAO/WIA</t>
  </si>
  <si>
    <t>per gespaard kalenderjaar.</t>
  </si>
  <si>
    <t>Deze toeslag wordt toegekend op basis van artikel 6.14 van de CAO PO.</t>
  </si>
  <si>
    <t>Deze toeslag wordt toegekend op basis van artikel 6.13 van de CAO PO.</t>
  </si>
  <si>
    <t>Verlofwerktijdfactor</t>
  </si>
  <si>
    <t>Doorbetaling 55% salaris werkgever</t>
  </si>
  <si>
    <t>Dag van de leraar (OP, OOP, Dir)</t>
  </si>
  <si>
    <t>AOP</t>
  </si>
  <si>
    <t>Uniforme WAO-premie</t>
  </si>
  <si>
    <t>WGA-rekenpremie</t>
  </si>
  <si>
    <t>VF: premie verplichte aansluiting</t>
  </si>
  <si>
    <t>VF: premie vrijwillige aansluiting</t>
  </si>
  <si>
    <t>VF: eigenrisicodrager</t>
  </si>
  <si>
    <t>Structurele nominale uitkering</t>
  </si>
  <si>
    <t>Inzet 0,8% levensloop</t>
  </si>
  <si>
    <t>het een hulpmiddel voor het management bij het ramen van de personele kosten.</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</si>
  <si>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</si>
  <si>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</si>
  <si>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</si>
  <si>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</si>
  <si>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</si>
  <si>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</si>
  <si>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</si>
  <si>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 xml:space="preserve">De betaling aan de verlofganger is veranderd sinds 1 januari 2007 in 55%. Die heeft een belastingvoordeel wanneer gebruik </t>
  </si>
  <si>
    <t>Het onderdeel bestuur biedt de mogelijkheid de kosten van extra periodieken te ramen voor de herintreedsters.</t>
  </si>
  <si>
    <t>Schaaluitloopbedrag</t>
  </si>
  <si>
    <t>LA  en LB</t>
  </si>
  <si>
    <t>schaal-uitloopbedrag</t>
  </si>
  <si>
    <t>Toelage directeuren</t>
  </si>
  <si>
    <t>toelage directeuren</t>
  </si>
  <si>
    <t>Dat kan men desgewenst zelf aanpassen.</t>
  </si>
  <si>
    <t>de doorwerkingen m.b.t. toelage directeuren en schaal-uitloopbedrag verwerkt, plus ook de inkortingen van de schalen.</t>
  </si>
  <si>
    <t xml:space="preserve">Het schaal-uitloopbedrag wordt toegekend zodra het maximum wordt bereikt. Het betekent dus ook dat degene die op 31 </t>
  </si>
  <si>
    <t>Premiekorting WAO/WIA</t>
  </si>
  <si>
    <t>Belastingvoordeel werknemer: Wie (on)betaald ouderschapsverlof opneemt, krijgt een fiscaal voordeel van</t>
  </si>
  <si>
    <t>Vanaf 1 januari 2009 vallen alle nieuwe aanstellingen onder de verplichte verzekering.</t>
  </si>
  <si>
    <t>de Internetpublicaties van de Belastingdienst, ABP, UWV en OCW, en</t>
  </si>
  <si>
    <t>het maximum - komt, en dan dus meteen ook de schaal-uitlooptoeslag ontvangt.</t>
  </si>
  <si>
    <t xml:space="preserve">Dit programmaonderdeel heeft niet de pretentie een exacte salarisberekening te maken! Het beoogt een indicatie </t>
  </si>
  <si>
    <t>Twee aanloopschalen bij ID1 zijn achterwege gelaten (minder relevant en onnodig complicerend voor de uitwerking in dit instrument).</t>
  </si>
  <si>
    <t>bij een normbetrekking, per maand</t>
  </si>
  <si>
    <t>Belastingen 2010</t>
  </si>
  <si>
    <t>Tarieven, bedragen en percentages vanaf 1 januari 2010</t>
  </si>
  <si>
    <t>poraad</t>
  </si>
  <si>
    <t xml:space="preserve">De gegevens omtrent de grondslag van uitkeringen e.d. zijn ontleend aan </t>
  </si>
  <si>
    <t xml:space="preserve">Het actieplan LeerKracht betreft vanaf 2009 nu een structurele nominale uitkering van € 200. Vanaf 1 januari 2009 zijn  </t>
  </si>
  <si>
    <t>Daaraan zijn ook de aanpassingen van nov. 2009 toegevoegd.</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</si>
  <si>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</si>
  <si>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</si>
  <si>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</si>
  <si>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</si>
  <si>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Helpdesk,            bereikbaar via de website van de PO-Raad: </t>
  </si>
  <si>
    <t>PO-raad: Helpdesk</t>
  </si>
  <si>
    <t xml:space="preserve">december 2009 al tenminste op regel 16 zit, per 1 januari 2010 op het maximum komt en dan dus ook de toeslag krijgt. Hetzelfde </t>
  </si>
  <si>
    <t xml:space="preserve">geldt voor degene die op 31 juli 2010 op regel 15 zit en met de bevorderingsperiodiek op 1 augustus 2010 op regel 16 - en dus </t>
  </si>
  <si>
    <t xml:space="preserve">Sinds 1 januari 2009 is deze premievrijstelling voor oudere werknemers vervangen door de premiekorting </t>
  </si>
  <si>
    <t>voor oudere werknemers (zie hierna).</t>
  </si>
  <si>
    <t xml:space="preserve">Aangezien de premie 5,70% bedraagt is deze ontwikkeling van belang voor de ontwikkeling van de werkgeverslasten. </t>
  </si>
  <si>
    <t xml:space="preserve">In feite vindt een geleidelijke afbouw plaats en betekent het op termijn dat de regeling voor de werknemers </t>
  </si>
  <si>
    <t>vanaf 54,5 jaar per 1 januari 2008 plaats maakt voor een regeling die pas geldt voor 62-jarigen.</t>
  </si>
  <si>
    <t xml:space="preserve">In individuele gevallen zal er nog sprake zijn van loonkosten die hier niet zijn opgenomen. Bijvoorbeeld reiskosten, een </t>
  </si>
  <si>
    <t>jubileumuitkering of spaarloon. Dergelijke componenten zijn in dit model niet verwerkt.</t>
  </si>
  <si>
    <t>betreffende werknemer laat de salariskosten zien die de werkgever moet betalen uit eigen middelen.</t>
  </si>
  <si>
    <t>WERKGEVERSLASTEN PO</t>
  </si>
  <si>
    <t>www.poraad.nl</t>
  </si>
  <si>
    <t>% ink. ABP</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</si>
  <si>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</si>
  <si>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</si>
  <si>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</si>
  <si>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</si>
  <si>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</si>
  <si>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</si>
  <si>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</si>
  <si>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</si>
  <si>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De algemene premies zijn van toepassing vanaf </t>
    </r>
    <r>
      <rPr>
        <b/>
        <i/>
        <sz val="10"/>
        <rFont val="Calibri"/>
        <family val="2"/>
      </rPr>
      <t>1 jan. 2010</t>
    </r>
    <r>
      <rPr>
        <sz val="10"/>
        <rFont val="Calibri"/>
        <family val="2"/>
      </rPr>
      <t xml:space="preserve">. (Cfi februari 2010) </t>
    </r>
  </si>
  <si>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</si>
  <si>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</si>
  <si>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</si>
  <si>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</si>
  <si>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per opgenomen verlofuur. Deelname aan de levensloopregeling is niet langer nodig. Daarnaast geldt een levensloopverlof-</t>
  </si>
  <si>
    <t xml:space="preserve">korting die gelijk is aan het opgenomen bedrag met een maximum van </t>
  </si>
  <si>
    <t>kalenderjaar</t>
  </si>
  <si>
    <t>2010/2011</t>
  </si>
  <si>
    <t>schooljaar</t>
  </si>
  <si>
    <t xml:space="preserve">KOSTEN WIJZIGING BESTAANDE FUNCTIE </t>
  </si>
  <si>
    <t>Alleen de gele velden kunnen worden gewijzigd, en bevatten de op te geven variabelen voor de berekeningen.</t>
  </si>
  <si>
    <t>de CAO PO 2009 die ook van kracht is voor 2010.</t>
  </si>
  <si>
    <t>De salaristabellen zijn de tabellen die gelden vanaf 1 januari 2010 (incl. de aanpassing in november 2009).</t>
  </si>
  <si>
    <r>
      <t xml:space="preserve"> - vrijwillig verzekerde werknemers: premie is vastgesteld op 7,56</t>
    </r>
    <r>
      <rPr>
        <i/>
        <sz val="10"/>
        <rFont val="Calibri"/>
        <family val="2"/>
      </rPr>
      <t>% (sinds 1 aug. 10 gelijk aan de premie voor verplicht verzekerden)</t>
    </r>
  </si>
  <si>
    <r>
      <t xml:space="preserve"> - verplicht verzekerde werknemers: reguliere premie van 6,95% plus </t>
    </r>
    <r>
      <rPr>
        <i/>
        <sz val="10"/>
        <rFont val="Calibri"/>
        <family val="2"/>
      </rPr>
      <t>0,61%</t>
    </r>
    <r>
      <rPr>
        <sz val="10"/>
        <rFont val="Calibri"/>
        <family val="2"/>
      </rPr>
      <t xml:space="preserve"> voor het verlofdeel, samen </t>
    </r>
    <r>
      <rPr>
        <i/>
        <sz val="10"/>
        <rFont val="Calibri"/>
        <family val="2"/>
      </rPr>
      <t>7,56%</t>
    </r>
    <r>
      <rPr>
        <sz val="10"/>
        <rFont val="Calibri"/>
        <family val="2"/>
      </rPr>
      <t xml:space="preserve"> (jaarbasis)</t>
    </r>
  </si>
  <si>
    <t>Niet verzekeren betreft een keuze bij het VF voor alle OP resp. OOP die niet verplicht verzekerd zijn.</t>
  </si>
  <si>
    <t>Meer hierover: zie het bericht op de website (1 febr. 2010).</t>
  </si>
  <si>
    <t>premie WAO/WIA voor 55-plussers</t>
  </si>
  <si>
    <t>Dit werkblad bevat relevante tabellen, conform de gegevens zoals die per 1 augustus 2010 gelden.</t>
  </si>
  <si>
    <t xml:space="preserve">Reinier Goedhart,           tel.: 06-25341033 of, bij voorkeur, per e-mail:     </t>
  </si>
  <si>
    <t xml:space="preserve">r.goedhart@poraad.nl </t>
  </si>
  <si>
    <t>na 1 augustus</t>
  </si>
  <si>
    <t>Bruto-netto traject 2010 Werknemer</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</si>
  <si>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</si>
  <si>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</si>
  <si>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</si>
  <si>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</si>
  <si>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Vrijstelling WAO/WIA-basispremie in 2008?:</t>
  </si>
  <si>
    <t>leeftijd 56,5 jaar of ouder en nog geen 62</t>
  </si>
  <si>
    <t>leeftijd 62 jaar of ouder en nog geen 65</t>
  </si>
  <si>
    <t>criterium omvang dienstverband</t>
  </si>
  <si>
    <t>WGA werkgeversopslag</t>
  </si>
  <si>
    <t>max grondslag WAO/WIA (AOF)</t>
  </si>
  <si>
    <t>WG-premie WAO/WIA</t>
  </si>
  <si>
    <t>geboortedatum</t>
  </si>
  <si>
    <t>WG-premie Uniforme WAO</t>
  </si>
  <si>
    <t>WAO-premievrijstelling in 2008?</t>
  </si>
  <si>
    <t>WG-premie WGA-rekenpremie</t>
  </si>
  <si>
    <t>WTF</t>
  </si>
  <si>
    <t>WG-premie WGA werkgeversopslag</t>
  </si>
  <si>
    <t>per werkgever verschillend</t>
  </si>
  <si>
    <t>Premievrijstelling basis WAO/WIA</t>
  </si>
  <si>
    <t>Premiekorting oudere werknemer</t>
  </si>
  <si>
    <t>WAO-uniform</t>
  </si>
  <si>
    <t>WGA-gediff</t>
  </si>
  <si>
    <t>Relevante tijdstippen</t>
  </si>
  <si>
    <t>&gt;56,5</t>
  </si>
  <si>
    <t>&gt;62</t>
  </si>
  <si>
    <t>&lt;65</t>
  </si>
  <si>
    <t xml:space="preserve"> belastbaar loon</t>
  </si>
  <si>
    <t>Loonheffing zonder loonheffingskortingen</t>
  </si>
  <si>
    <t>Loonheffing</t>
  </si>
  <si>
    <t>Opslagpercentage t.o.v. bruto salaris</t>
  </si>
  <si>
    <r>
      <t xml:space="preserve">Premies VF en PF per </t>
    </r>
    <r>
      <rPr>
        <b/>
        <i/>
        <sz val="10"/>
        <rFont val="Calibri"/>
        <family val="2"/>
      </rPr>
      <t>1 aug. 2010</t>
    </r>
    <r>
      <rPr>
        <sz val="10"/>
        <rFont val="Calibri"/>
        <family val="2"/>
      </rPr>
      <t xml:space="preserve"> zijn ontleend aan het VF-PF. Daarbij wordt onderscheid gemaakt in de premie VF voor </t>
    </r>
  </si>
  <si>
    <t xml:space="preserve">Echter de pensioenpremies en de premies van het VF/PF wijzigen momenteel soms ook per 1 augustus waardoor de berekening na </t>
  </si>
  <si>
    <r>
      <t xml:space="preserve">1 augustus een bijgestelde versie van dit instrument vergt. Vandaar deze </t>
    </r>
    <r>
      <rPr>
        <b/>
        <sz val="10"/>
        <rFont val="Calibri"/>
        <family val="2"/>
      </rPr>
      <t>bijgestelde versie</t>
    </r>
    <r>
      <rPr>
        <sz val="10"/>
        <rFont val="Calibri"/>
        <family val="2"/>
      </rPr>
      <t xml:space="preserve"> van na 1 augustus 2010.</t>
    </r>
  </si>
  <si>
    <t xml:space="preserve">In 2008 had u recht op premievrijstelling van de basispremie Wao/Wia voor ouderere werknemers die op 1 januari 2008 </t>
  </si>
  <si>
    <t>bij u in dienst waren en op die datum 54,5 jaar of ouder waren.</t>
  </si>
  <si>
    <t>Na overgang van schaal LA naar LB basisschool resp. schaal LB naar LC SBO en (V)SO vervalt het recht op de schaal-uitlooptoeslag.</t>
  </si>
  <si>
    <t>Zo zijn alle heffingskortingen buiten beschouwing gelaten.</t>
  </si>
  <si>
    <t xml:space="preserve">ten opzichte van het bruto salaris. Op die wijze kan het als kengetal worden gehanteerd bij de vaststelling van de totale loonkosten </t>
  </si>
  <si>
    <t>be.keizer@wxs.nl</t>
  </si>
  <si>
    <t>Bé Keizer,                              tel.: 06-22939674 of, bij voorkeur, per e-mail: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</si>
  <si>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</si>
  <si>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</si>
  <si>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</si>
  <si>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</si>
  <si>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</si>
  <si>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 xml:space="preserve">Op grond van het bruto salaris per maand wordt het jaarinkomen ABP berekend. Dat is niet helemaal zoals het hoort omdat het </t>
  </si>
  <si>
    <t>jaarinkomen ABP wordt bepaald op basis van de situatie in januari van het betreffende jaar.</t>
  </si>
  <si>
    <t>bijdrage-inkomen</t>
  </si>
  <si>
    <t>n</t>
  </si>
  <si>
    <t xml:space="preserve">Voor de werkgeverslasten is al een percentage opgegeven (55% t.o.v. de ingekorte schalen voor leraren naar 16 regels).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</si>
</sst>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quot;€&quot;\ #,##0.00_);[Red]\(&quot;€&quot;\ #,##0.00\)"/>
    <numFmt numFmtId="166" formatCode="_(&quot;€&quot;\ * #,##0_);_(&quot;€&quot;\ * \(#,##0\);_(&quot;€&quot;\ * &quot;-&quot;_);_(@_)"/>
    <numFmt numFmtId="167" formatCode="_(&quot;€&quot;\ * #,##0.00_);_(&quot;€&quot;\ * \(#,##0.00\);_(&quot;€&quot;\ * &quot;-&quot;??_);_(@_)"/>
    <numFmt numFmtId="168" formatCode="_-&quot;fl&quot;\ * #,##0.00_-;_-&quot;fl&quot;\ * #,##0.00\-;_-&quot;fl&quot;\ * &quot;-&quot;??_-;_-@_-"/>
    <numFmt numFmtId="169" formatCode="d/mm/yy"/>
    <numFmt numFmtId="170" formatCode="0.0000"/>
    <numFmt numFmtId="171" formatCode="0.000%"/>
    <numFmt numFmtId="172" formatCode="#,##0.00_ ;[Red]\-#,##0.00\ "/>
    <numFmt numFmtId="173" formatCode="0.0%"/>
    <numFmt numFmtId="174" formatCode="#,##0.0000_ ;\-#,##0.0000\ "/>
    <numFmt numFmtId="175" formatCode="#,##0_-"/>
    <numFmt numFmtId="176" formatCode="_-[$€-2]\ * #,##0.00_-;_-[$€-2]\ * #,##0.00\-;_-[$€-2]\ * &quot;-&quot;??_-;_-@_-"/>
    <numFmt numFmtId="177" formatCode="_-[$€-413]\ * #,##0.00_-;_-[$€-413]\ * #,##0.00\-;_-[$€-413]\ * &quot;-&quot;??_-;_-@_-"/>
    <numFmt numFmtId="178" formatCode="_ * #,##0.0000_ ;_ * \-#,##0.0000_ ;_ * &quot;-&quot;??_ ;_ @_ "/>
  </numFmts>
  <fonts count="66">
    <font>
      <sz val="10"/>
      <name val="Arial"/>
      <family val="0"/>
    </font>
    <font>
      <sz val="11"/>
      <color indexed="8"/>
      <name val="Calibri"/>
      <family val="2"/>
    </font>
    <font>
      <u val="single"/>
      <sz val="10"/>
      <color indexed="12"/>
      <name val="Arial"/>
      <family val="2"/>
    </font>
    <font>
      <sz val="10"/>
      <name val="Tahoma"/>
      <family val="2"/>
    </font>
    <font>
      <sz val="9"/>
      <name val="Tahoma"/>
      <family val="2"/>
    </font>
    <font>
      <sz val="8"/>
      <name val="Tahoma"/>
      <family val="2"/>
    </font>
    <font>
      <b/>
      <sz val="8"/>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9"/>
      <name val="Calibri"/>
      <family val="2"/>
    </font>
    <font>
      <b/>
      <sz val="11"/>
      <color indexed="9"/>
      <name val="Calibri"/>
      <family val="2"/>
    </font>
    <font>
      <b/>
      <sz val="11"/>
      <color indexed="8"/>
      <name val="Calibri"/>
      <family val="2"/>
    </font>
    <font>
      <b/>
      <sz val="11"/>
      <name val="Calibri"/>
      <family val="2"/>
    </font>
    <font>
      <sz val="11"/>
      <color indexed="10"/>
      <name val="Calibri"/>
      <family val="2"/>
    </font>
    <font>
      <b/>
      <sz val="11"/>
      <color indexed="10"/>
      <name val="Calibri"/>
      <family val="2"/>
    </font>
    <font>
      <i/>
      <sz val="11"/>
      <name val="Calibri"/>
      <family val="2"/>
    </font>
    <font>
      <b/>
      <sz val="12"/>
      <color indexed="9"/>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b/>
      <i/>
      <sz val="11"/>
      <name val="Calibri"/>
      <family val="2"/>
    </font>
    <font>
      <b/>
      <i/>
      <sz val="11"/>
      <color indexed="47"/>
      <name val="Calibri"/>
      <family val="2"/>
    </font>
    <font>
      <i/>
      <sz val="11"/>
      <color indexed="23"/>
      <name val="Calibri"/>
      <family val="2"/>
    </font>
    <font>
      <sz val="10"/>
      <color indexed="9"/>
      <name val="Calibri"/>
      <family val="2"/>
    </font>
    <font>
      <b/>
      <sz val="10"/>
      <color indexed="10"/>
      <name val="Calibri"/>
      <family val="2"/>
    </font>
    <font>
      <b/>
      <i/>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1"/>
      <color indexed="23"/>
      <name val="Calibri"/>
      <family val="2"/>
    </font>
    <font>
      <sz val="10"/>
      <color indexed="10"/>
      <name val="Calibri"/>
      <family val="2"/>
    </font>
    <font>
      <i/>
      <sz val="10"/>
      <name val="Calibri"/>
      <family val="2"/>
    </font>
    <font>
      <u val="single"/>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1"/>
      <color indexed="8"/>
      <name val="Arial"/>
      <family val="2"/>
    </font>
    <font>
      <i/>
      <u val="single"/>
      <sz val="11"/>
      <color indexed="8"/>
      <name val="Arial"/>
      <family val="2"/>
    </font>
    <font>
      <b/>
      <sz val="10"/>
      <name val="Arial"/>
      <family val="2"/>
    </font>
    <font>
      <i/>
      <sz val="11"/>
      <color indexed="8"/>
      <name val="Arial"/>
      <family val="2"/>
    </font>
    <font>
      <b/>
      <i/>
      <sz val="10"/>
      <name val="Arial"/>
      <family val="2"/>
    </font>
    <font>
      <sz val="11"/>
      <name val="Arial"/>
      <family val="2"/>
    </font>
    <font>
      <b/>
      <i/>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color indexed="47"/>
      </right>
      <top/>
      <bottom style="thin">
        <color indexed="47"/>
      </bottom>
    </border>
    <border>
      <left style="thin">
        <color indexed="47"/>
      </left>
      <right style="thin">
        <color indexed="47"/>
      </right>
      <top/>
      <bottom style="thin">
        <color indexed="47"/>
      </bottom>
    </border>
    <border>
      <left style="thin">
        <color indexed="47"/>
      </left>
      <right/>
      <top/>
      <bottom style="thin">
        <color indexed="47"/>
      </bottom>
    </border>
    <border>
      <left/>
      <right style="thin">
        <color indexed="47"/>
      </right>
      <top style="thin">
        <color indexed="47"/>
      </top>
      <bottom style="thin">
        <color indexed="47"/>
      </bottom>
    </border>
    <border>
      <left style="thin">
        <color indexed="47"/>
      </left>
      <right style="thin">
        <color indexed="47"/>
      </right>
      <top style="thin">
        <color indexed="47"/>
      </top>
      <bottom style="thin">
        <color indexed="47"/>
      </bottom>
    </border>
    <border>
      <left style="thin">
        <color indexed="47"/>
      </left>
      <right/>
      <top style="thin">
        <color indexed="47"/>
      </top>
      <bottom style="thin">
        <color indexed="47"/>
      </bottom>
    </border>
    <border>
      <left/>
      <right style="thin">
        <color indexed="47"/>
      </right>
      <top style="thin">
        <color indexed="47"/>
      </top>
      <bottom/>
    </border>
    <border>
      <left style="thin">
        <color indexed="47"/>
      </left>
      <right style="thin">
        <color indexed="47"/>
      </right>
      <top style="thin">
        <color indexed="47"/>
      </top>
      <bottom/>
    </border>
    <border>
      <left style="thin">
        <color indexed="47"/>
      </left>
      <right/>
      <top style="thin">
        <color indexed="47"/>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59" fillId="3" borderId="0" applyNumberFormat="0" applyBorder="0" applyAlignment="0" applyProtection="0"/>
    <xf numFmtId="0" fontId="63" fillId="20" borderId="1" applyNumberFormat="0" applyAlignment="0" applyProtection="0"/>
    <xf numFmtId="0" fontId="13" fillId="21" borderId="2" applyNumberFormat="0" applyAlignment="0" applyProtection="0"/>
    <xf numFmtId="0" fontId="27" fillId="0" borderId="0" applyNumberFormat="0" applyFill="0" applyBorder="0" applyAlignment="0" applyProtection="0"/>
    <xf numFmtId="0" fontId="58" fillId="4"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61" fillId="7"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64" fillId="0" borderId="6" applyNumberFormat="0" applyFill="0" applyAlignment="0" applyProtection="0"/>
    <xf numFmtId="0" fontId="60" fillId="22" borderId="0" applyNumberFormat="0" applyBorder="0" applyAlignment="0" applyProtection="0"/>
    <xf numFmtId="0" fontId="0" fillId="23" borderId="7" applyNumberFormat="0" applyFont="0" applyAlignment="0" applyProtection="0"/>
    <xf numFmtId="0" fontId="62" fillId="20"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14" fillId="0" borderId="9" applyNumberFormat="0" applyFill="0" applyAlignment="0" applyProtection="0"/>
    <xf numFmtId="168"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cellStyleXfs>
  <cellXfs count="512">
    <xf numFmtId="0" fontId="0" fillId="0" borderId="0" xfId="0" applyAlignment="1">
      <alignment/>
    </xf>
    <xf numFmtId="0" fontId="8" fillId="2" borderId="0" xfId="0" applyFont="1" applyFill="1" applyAlignment="1" applyProtection="1">
      <alignment/>
      <protection/>
    </xf>
    <xf numFmtId="0" fontId="15" fillId="2" borderId="0" xfId="0" applyFont="1" applyFill="1" applyAlignment="1" applyProtection="1">
      <alignment/>
      <protection/>
    </xf>
    <xf numFmtId="0" fontId="8" fillId="2" borderId="0" xfId="0" applyFont="1" applyFill="1" applyAlignment="1">
      <alignment/>
    </xf>
    <xf numFmtId="0" fontId="8" fillId="2" borderId="0" xfId="0" applyFont="1" applyFill="1" applyAlignment="1" applyProtection="1">
      <alignment horizontal="left"/>
      <protection/>
    </xf>
    <xf numFmtId="0" fontId="8" fillId="2" borderId="0" xfId="0" applyFont="1" applyFill="1" applyAlignment="1" applyProtection="1">
      <alignment horizontal="right"/>
      <protection/>
    </xf>
    <xf numFmtId="42" fontId="8" fillId="2" borderId="0" xfId="0" applyNumberFormat="1" applyFont="1" applyFill="1" applyAlignment="1" applyProtection="1">
      <alignment/>
      <protection/>
    </xf>
    <xf numFmtId="0" fontId="8" fillId="2" borderId="0" xfId="0" applyFont="1" applyFill="1" applyAlignment="1" applyProtection="1">
      <alignment horizontal="center"/>
      <protection/>
    </xf>
    <xf numFmtId="0" fontId="16" fillId="2" borderId="0" xfId="0" applyFont="1" applyFill="1" applyAlignment="1" applyProtection="1">
      <alignment/>
      <protection/>
    </xf>
    <xf numFmtId="0" fontId="17" fillId="2" borderId="0" xfId="0" applyFont="1" applyFill="1" applyAlignment="1" applyProtection="1">
      <alignment/>
      <protection/>
    </xf>
    <xf numFmtId="0" fontId="18" fillId="2" borderId="0" xfId="0" applyFont="1" applyFill="1" applyAlignment="1" applyProtection="1">
      <alignment/>
      <protection/>
    </xf>
    <xf numFmtId="0" fontId="8" fillId="24" borderId="10" xfId="0" applyFont="1" applyFill="1" applyBorder="1" applyAlignment="1" applyProtection="1">
      <alignment/>
      <protection/>
    </xf>
    <xf numFmtId="0" fontId="8" fillId="24" borderId="11" xfId="0" applyFont="1" applyFill="1" applyBorder="1" applyAlignment="1" applyProtection="1">
      <alignment/>
      <protection/>
    </xf>
    <xf numFmtId="0" fontId="13" fillId="24" borderId="11" xfId="0" applyFont="1" applyFill="1" applyBorder="1" applyAlignment="1" applyProtection="1">
      <alignment/>
      <protection/>
    </xf>
    <xf numFmtId="9" fontId="18" fillId="24" borderId="11" xfId="56" applyFont="1" applyFill="1" applyBorder="1" applyAlignment="1" applyProtection="1">
      <alignment horizontal="center"/>
      <protection/>
    </xf>
    <xf numFmtId="0" fontId="19" fillId="24" borderId="11" xfId="0" applyFont="1" applyFill="1" applyBorder="1" applyAlignment="1" applyProtection="1">
      <alignment horizontal="right"/>
      <protection/>
    </xf>
    <xf numFmtId="0" fontId="8" fillId="25" borderId="12" xfId="0" applyFont="1" applyFill="1" applyBorder="1" applyAlignment="1" applyProtection="1">
      <alignment/>
      <protection/>
    </xf>
    <xf numFmtId="0" fontId="8" fillId="25" borderId="13" xfId="0" applyFont="1" applyFill="1" applyBorder="1" applyAlignment="1" applyProtection="1">
      <alignment/>
      <protection/>
    </xf>
    <xf numFmtId="0" fontId="8" fillId="25" borderId="13" xfId="0" applyFont="1" applyFill="1" applyBorder="1" applyAlignment="1" applyProtection="1">
      <alignment horizontal="left"/>
      <protection/>
    </xf>
    <xf numFmtId="0" fontId="8" fillId="25" borderId="13" xfId="0" applyFont="1" applyFill="1" applyBorder="1" applyAlignment="1" applyProtection="1">
      <alignment horizontal="center"/>
      <protection/>
    </xf>
    <xf numFmtId="0" fontId="8" fillId="25" borderId="14" xfId="0" applyFont="1" applyFill="1" applyBorder="1" applyAlignment="1" applyProtection="1">
      <alignment/>
      <protection/>
    </xf>
    <xf numFmtId="0" fontId="8" fillId="25" borderId="15" xfId="0" applyFont="1" applyFill="1" applyBorder="1" applyAlignment="1" applyProtection="1">
      <alignment/>
      <protection/>
    </xf>
    <xf numFmtId="0" fontId="8" fillId="25" borderId="0" xfId="0" applyFont="1" applyFill="1" applyBorder="1" applyAlignment="1" applyProtection="1">
      <alignment/>
      <protection/>
    </xf>
    <xf numFmtId="0" fontId="8" fillId="25" borderId="0" xfId="0" applyFont="1" applyFill="1" applyBorder="1" applyAlignment="1" applyProtection="1">
      <alignment horizontal="left"/>
      <protection/>
    </xf>
    <xf numFmtId="0" fontId="8" fillId="25" borderId="0" xfId="0" applyFont="1" applyFill="1" applyBorder="1" applyAlignment="1" applyProtection="1">
      <alignment horizontal="center"/>
      <protection/>
    </xf>
    <xf numFmtId="0" fontId="8" fillId="25" borderId="16" xfId="0" applyFont="1" applyFill="1" applyBorder="1" applyAlignment="1" applyProtection="1">
      <alignment/>
      <protection/>
    </xf>
    <xf numFmtId="0" fontId="8" fillId="25" borderId="0" xfId="0" applyFont="1" applyFill="1" applyBorder="1" applyAlignment="1">
      <alignment/>
    </xf>
    <xf numFmtId="0" fontId="20" fillId="25" borderId="0" xfId="0" applyFont="1" applyFill="1" applyBorder="1" applyAlignment="1" applyProtection="1">
      <alignment/>
      <protection/>
    </xf>
    <xf numFmtId="0" fontId="8" fillId="7" borderId="0" xfId="0" applyFont="1" applyFill="1" applyBorder="1" applyAlignment="1" applyProtection="1">
      <alignment/>
      <protection/>
    </xf>
    <xf numFmtId="0" fontId="8" fillId="7" borderId="0" xfId="0" applyFont="1" applyFill="1" applyBorder="1" applyAlignment="1" applyProtection="1">
      <alignment horizontal="center"/>
      <protection/>
    </xf>
    <xf numFmtId="0" fontId="15" fillId="25" borderId="15" xfId="0" applyFont="1" applyFill="1" applyBorder="1" applyAlignment="1" applyProtection="1">
      <alignment/>
      <protection/>
    </xf>
    <xf numFmtId="0" fontId="15" fillId="7" borderId="0" xfId="0" applyFont="1" applyFill="1" applyBorder="1" applyAlignment="1" applyProtection="1">
      <alignment/>
      <protection/>
    </xf>
    <xf numFmtId="0" fontId="8" fillId="25" borderId="0" xfId="0" applyFont="1" applyFill="1" applyBorder="1" applyAlignment="1" applyProtection="1">
      <alignment horizontal="center"/>
      <protection locked="0"/>
    </xf>
    <xf numFmtId="0" fontId="8" fillId="7" borderId="0" xfId="0" applyFont="1" applyFill="1" applyBorder="1" applyAlignment="1" applyProtection="1">
      <alignment horizontal="center"/>
      <protection locked="0"/>
    </xf>
    <xf numFmtId="0" fontId="15" fillId="25" borderId="16" xfId="0" applyFont="1" applyFill="1" applyBorder="1" applyAlignment="1" applyProtection="1">
      <alignment/>
      <protection/>
    </xf>
    <xf numFmtId="0" fontId="18" fillId="25" borderId="15" xfId="0" applyFont="1" applyFill="1" applyBorder="1" applyAlignment="1" applyProtection="1">
      <alignment/>
      <protection/>
    </xf>
    <xf numFmtId="0" fontId="18" fillId="25" borderId="16" xfId="0" applyFont="1" applyFill="1" applyBorder="1" applyAlignment="1">
      <alignment/>
    </xf>
    <xf numFmtId="0" fontId="8" fillId="25" borderId="16" xfId="0" applyFont="1" applyFill="1" applyBorder="1" applyAlignment="1">
      <alignment/>
    </xf>
    <xf numFmtId="0" fontId="15" fillId="25" borderId="0" xfId="0" applyFont="1" applyFill="1" applyBorder="1" applyAlignment="1" applyProtection="1">
      <alignment/>
      <protection/>
    </xf>
    <xf numFmtId="0" fontId="16" fillId="25" borderId="15" xfId="0" applyFont="1" applyFill="1" applyBorder="1" applyAlignment="1" applyProtection="1">
      <alignment/>
      <protection/>
    </xf>
    <xf numFmtId="0" fontId="15" fillId="25" borderId="16" xfId="0" applyFont="1" applyFill="1" applyBorder="1" applyAlignment="1">
      <alignment/>
    </xf>
    <xf numFmtId="0" fontId="12" fillId="25" borderId="16" xfId="0" applyFont="1" applyFill="1" applyBorder="1" applyAlignment="1" applyProtection="1">
      <alignment/>
      <protection/>
    </xf>
    <xf numFmtId="0" fontId="13" fillId="25" borderId="16" xfId="0" applyFont="1" applyFill="1" applyBorder="1" applyAlignment="1" applyProtection="1">
      <alignment/>
      <protection/>
    </xf>
    <xf numFmtId="0" fontId="8" fillId="2" borderId="0" xfId="0" applyFont="1" applyFill="1" applyBorder="1" applyAlignment="1" applyProtection="1">
      <alignment/>
      <protection/>
    </xf>
    <xf numFmtId="4" fontId="12" fillId="25" borderId="16" xfId="0" applyNumberFormat="1" applyFont="1" applyFill="1" applyBorder="1" applyAlignment="1" applyProtection="1">
      <alignment/>
      <protection/>
    </xf>
    <xf numFmtId="0" fontId="16" fillId="25" borderId="16" xfId="0" applyFont="1" applyFill="1" applyBorder="1" applyAlignment="1" applyProtection="1">
      <alignment/>
      <protection/>
    </xf>
    <xf numFmtId="0" fontId="17" fillId="25" borderId="15" xfId="0" applyFont="1" applyFill="1" applyBorder="1" applyAlignment="1" applyProtection="1">
      <alignment/>
      <protection/>
    </xf>
    <xf numFmtId="0" fontId="17" fillId="25" borderId="16" xfId="0" applyFont="1" applyFill="1" applyBorder="1" applyAlignment="1" applyProtection="1">
      <alignment/>
      <protection/>
    </xf>
    <xf numFmtId="44" fontId="8" fillId="25" borderId="0" xfId="0" applyNumberFormat="1" applyFont="1" applyFill="1" applyBorder="1" applyAlignment="1" applyProtection="1">
      <alignment/>
      <protection/>
    </xf>
    <xf numFmtId="0" fontId="8" fillId="24" borderId="17" xfId="0" applyFont="1" applyFill="1" applyBorder="1" applyAlignment="1" applyProtection="1">
      <alignment/>
      <protection/>
    </xf>
    <xf numFmtId="3" fontId="9" fillId="22" borderId="0" xfId="0" applyNumberFormat="1" applyFont="1" applyFill="1" applyBorder="1" applyAlignment="1" applyProtection="1">
      <alignment horizontal="left"/>
      <protection locked="0"/>
    </xf>
    <xf numFmtId="3" fontId="9" fillId="0" borderId="0" xfId="0" applyNumberFormat="1" applyFont="1" applyFill="1" applyBorder="1" applyAlignment="1" applyProtection="1">
      <alignment horizontal="left"/>
      <protection locked="0"/>
    </xf>
    <xf numFmtId="0" fontId="9" fillId="0" borderId="0" xfId="0" applyFont="1" applyBorder="1" applyAlignment="1" applyProtection="1">
      <alignment horizontal="left"/>
      <protection/>
    </xf>
    <xf numFmtId="2" fontId="9" fillId="0" borderId="0" xfId="0" applyNumberFormat="1" applyFont="1" applyFill="1" applyBorder="1" applyAlignment="1" applyProtection="1">
      <alignment horizontal="left"/>
      <protection locked="0"/>
    </xf>
    <xf numFmtId="0" fontId="10" fillId="0" borderId="0" xfId="0" applyFont="1" applyBorder="1" applyAlignment="1" applyProtection="1">
      <alignment horizontal="left"/>
      <protection/>
    </xf>
    <xf numFmtId="169" fontId="9" fillId="22"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protection/>
    </xf>
    <xf numFmtId="0" fontId="9" fillId="0" borderId="0" xfId="0" applyFont="1" applyBorder="1" applyAlignment="1">
      <alignment horizontal="left"/>
    </xf>
    <xf numFmtId="0" fontId="9" fillId="0" borderId="0" xfId="0" applyNumberFormat="1" applyFont="1" applyBorder="1" applyAlignment="1" applyProtection="1">
      <alignment horizontal="left"/>
      <protection/>
    </xf>
    <xf numFmtId="1" fontId="9" fillId="0" borderId="0" xfId="0" applyNumberFormat="1" applyFont="1" applyBorder="1" applyAlignment="1" applyProtection="1">
      <alignment horizontal="left"/>
      <protection/>
    </xf>
    <xf numFmtId="0" fontId="9" fillId="25" borderId="0" xfId="0" applyFont="1" applyFill="1" applyBorder="1" applyAlignment="1" applyProtection="1">
      <alignment horizontal="left"/>
      <protection locked="0"/>
    </xf>
    <xf numFmtId="49" fontId="9" fillId="0" borderId="0" xfId="0" applyNumberFormat="1" applyFont="1" applyBorder="1" applyAlignment="1" applyProtection="1">
      <alignment horizontal="left"/>
      <protection/>
    </xf>
    <xf numFmtId="171" fontId="9" fillId="22" borderId="0" xfId="0" applyNumberFormat="1" applyFont="1" applyFill="1" applyBorder="1" applyAlignment="1" applyProtection="1">
      <alignment horizontal="left"/>
      <protection locked="0"/>
    </xf>
    <xf numFmtId="4" fontId="9" fillId="22" borderId="0" xfId="0" applyNumberFormat="1" applyFont="1" applyFill="1" applyBorder="1" applyAlignment="1" applyProtection="1">
      <alignment horizontal="left"/>
      <protection locked="0"/>
    </xf>
    <xf numFmtId="10" fontId="9" fillId="22" borderId="0" xfId="0" applyNumberFormat="1" applyFont="1" applyFill="1" applyBorder="1" applyAlignment="1" applyProtection="1">
      <alignment horizontal="left"/>
      <protection locked="0"/>
    </xf>
    <xf numFmtId="3" fontId="9" fillId="0" borderId="0" xfId="0" applyNumberFormat="1" applyFont="1" applyFill="1" applyBorder="1" applyAlignment="1" applyProtection="1">
      <alignment horizontal="left"/>
      <protection/>
    </xf>
    <xf numFmtId="9" fontId="9" fillId="0" borderId="0" xfId="0" applyNumberFormat="1" applyFont="1" applyBorder="1" applyAlignment="1" applyProtection="1">
      <alignment horizontal="left"/>
      <protection/>
    </xf>
    <xf numFmtId="10" fontId="9" fillId="22" borderId="0" xfId="0" applyNumberFormat="1" applyFont="1" applyFill="1" applyBorder="1" applyAlignment="1" applyProtection="1">
      <alignment horizontal="left"/>
      <protection/>
    </xf>
    <xf numFmtId="10" fontId="9" fillId="0" borderId="0" xfId="0" applyNumberFormat="1" applyFont="1" applyBorder="1" applyAlignment="1" applyProtection="1">
      <alignment horizontal="left"/>
      <protection/>
    </xf>
    <xf numFmtId="0" fontId="28" fillId="0" borderId="0" xfId="0" applyFont="1" applyFill="1" applyBorder="1" applyAlignment="1" applyProtection="1">
      <alignment horizontal="left"/>
      <protection/>
    </xf>
    <xf numFmtId="2" fontId="28" fillId="0" borderId="0" xfId="0" applyNumberFormat="1" applyFont="1" applyFill="1" applyBorder="1" applyAlignment="1" applyProtection="1">
      <alignment horizontal="left"/>
      <protection/>
    </xf>
    <xf numFmtId="2" fontId="9" fillId="22" borderId="0" xfId="0" applyNumberFormat="1" applyFont="1" applyFill="1" applyBorder="1" applyAlignment="1" applyProtection="1">
      <alignment horizontal="left"/>
      <protection locked="0"/>
    </xf>
    <xf numFmtId="172" fontId="9" fillId="22" borderId="0" xfId="0" applyNumberFormat="1" applyFont="1" applyFill="1" applyBorder="1" applyAlignment="1" applyProtection="1">
      <alignment horizontal="left"/>
      <protection locked="0"/>
    </xf>
    <xf numFmtId="2" fontId="9" fillId="0" borderId="0" xfId="0" applyNumberFormat="1" applyFont="1" applyBorder="1" applyAlignment="1" applyProtection="1">
      <alignment horizontal="left"/>
      <protection/>
    </xf>
    <xf numFmtId="0" fontId="10" fillId="0" borderId="0" xfId="0" applyFont="1" applyBorder="1" applyAlignment="1">
      <alignment horizontal="left"/>
    </xf>
    <xf numFmtId="0" fontId="29" fillId="0" borderId="0" xfId="0" applyFont="1" applyBorder="1" applyAlignment="1" applyProtection="1">
      <alignment horizontal="left"/>
      <protection/>
    </xf>
    <xf numFmtId="4" fontId="9" fillId="0" borderId="0" xfId="0" applyNumberFormat="1" applyFont="1" applyBorder="1" applyAlignment="1" applyProtection="1">
      <alignment horizontal="left"/>
      <protection/>
    </xf>
    <xf numFmtId="3" fontId="9" fillId="0" borderId="0" xfId="0" applyNumberFormat="1" applyFont="1" applyBorder="1" applyAlignment="1" applyProtection="1">
      <alignment horizontal="left"/>
      <protection/>
    </xf>
    <xf numFmtId="171" fontId="9" fillId="0" borderId="0" xfId="0" applyNumberFormat="1" applyFont="1" applyBorder="1" applyAlignment="1" applyProtection="1">
      <alignment horizontal="left"/>
      <protection/>
    </xf>
    <xf numFmtId="0" fontId="15" fillId="2" borderId="0" xfId="0" applyFont="1" applyFill="1" applyAlignment="1">
      <alignment/>
    </xf>
    <xf numFmtId="0" fontId="8" fillId="2" borderId="0" xfId="0" applyFont="1" applyFill="1" applyAlignment="1">
      <alignment horizontal="right"/>
    </xf>
    <xf numFmtId="0" fontId="15" fillId="2" borderId="0" xfId="0" applyFont="1" applyFill="1" applyBorder="1" applyAlignment="1" applyProtection="1">
      <alignment/>
      <protection/>
    </xf>
    <xf numFmtId="0" fontId="15" fillId="2" borderId="0" xfId="0" applyFont="1" applyFill="1" applyAlignment="1">
      <alignment horizontal="right"/>
    </xf>
    <xf numFmtId="0" fontId="8" fillId="25" borderId="12" xfId="0" applyFont="1" applyFill="1" applyBorder="1" applyAlignment="1">
      <alignment/>
    </xf>
    <xf numFmtId="0" fontId="8" fillId="25" borderId="13" xfId="0" applyFont="1" applyFill="1" applyBorder="1" applyAlignment="1">
      <alignment/>
    </xf>
    <xf numFmtId="0" fontId="8" fillId="25" borderId="14" xfId="0" applyFont="1" applyFill="1" applyBorder="1" applyAlignment="1">
      <alignment/>
    </xf>
    <xf numFmtId="0" fontId="8" fillId="25" borderId="15" xfId="0" applyFont="1" applyFill="1" applyBorder="1" applyAlignment="1">
      <alignment/>
    </xf>
    <xf numFmtId="0" fontId="8" fillId="7" borderId="0" xfId="0" applyFont="1" applyFill="1" applyBorder="1" applyAlignment="1" applyProtection="1">
      <alignment/>
      <protection locked="0"/>
    </xf>
    <xf numFmtId="0" fontId="15" fillId="25" borderId="15" xfId="0" applyFont="1" applyFill="1" applyBorder="1" applyAlignment="1">
      <alignment/>
    </xf>
    <xf numFmtId="44" fontId="8" fillId="25" borderId="0" xfId="0" applyNumberFormat="1" applyFont="1" applyFill="1" applyBorder="1" applyAlignment="1">
      <alignment/>
    </xf>
    <xf numFmtId="0" fontId="15" fillId="25" borderId="15" xfId="0" applyFont="1" applyFill="1" applyBorder="1" applyAlignment="1">
      <alignment horizontal="right"/>
    </xf>
    <xf numFmtId="0" fontId="8" fillId="25" borderId="15" xfId="0" applyFont="1" applyFill="1" applyBorder="1" applyAlignment="1">
      <alignment horizontal="right"/>
    </xf>
    <xf numFmtId="0" fontId="12" fillId="24" borderId="10" xfId="0" applyFont="1" applyFill="1" applyBorder="1" applyAlignment="1">
      <alignment/>
    </xf>
    <xf numFmtId="0" fontId="12" fillId="24" borderId="11" xfId="0" applyFont="1" applyFill="1" applyBorder="1" applyAlignment="1">
      <alignment/>
    </xf>
    <xf numFmtId="0" fontId="12" fillId="24" borderId="17" xfId="0" applyFont="1" applyFill="1" applyBorder="1" applyAlignment="1">
      <alignment/>
    </xf>
    <xf numFmtId="0" fontId="33" fillId="2" borderId="0" xfId="0" applyFont="1" applyFill="1" applyAlignment="1" applyProtection="1">
      <alignment/>
      <protection/>
    </xf>
    <xf numFmtId="0" fontId="33" fillId="2" borderId="0" xfId="0" applyFont="1" applyFill="1" applyAlignment="1">
      <alignment/>
    </xf>
    <xf numFmtId="0" fontId="33" fillId="25" borderId="15" xfId="0" applyFont="1" applyFill="1" applyBorder="1" applyAlignment="1" applyProtection="1">
      <alignment/>
      <protection/>
    </xf>
    <xf numFmtId="0" fontId="33" fillId="25" borderId="0" xfId="0" applyFont="1" applyFill="1" applyBorder="1" applyAlignment="1" applyProtection="1">
      <alignment/>
      <protection/>
    </xf>
    <xf numFmtId="0" fontId="33" fillId="25" borderId="16" xfId="0" applyFont="1" applyFill="1" applyBorder="1" applyAlignment="1" applyProtection="1">
      <alignment/>
      <protection/>
    </xf>
    <xf numFmtId="0" fontId="33" fillId="25" borderId="0" xfId="0" applyFont="1" applyFill="1" applyBorder="1" applyAlignment="1" applyProtection="1">
      <alignment horizontal="center"/>
      <protection/>
    </xf>
    <xf numFmtId="0" fontId="8" fillId="24" borderId="11" xfId="0" applyFont="1" applyFill="1" applyBorder="1" applyAlignment="1" applyProtection="1">
      <alignment horizontal="center"/>
      <protection/>
    </xf>
    <xf numFmtId="0" fontId="8" fillId="25" borderId="0" xfId="0" applyFont="1" applyFill="1" applyBorder="1" applyAlignment="1" applyProtection="1">
      <alignment/>
      <protection locked="0"/>
    </xf>
    <xf numFmtId="0" fontId="12" fillId="24" borderId="10" xfId="0" applyFont="1" applyFill="1" applyBorder="1" applyAlignment="1" applyProtection="1">
      <alignment/>
      <protection/>
    </xf>
    <xf numFmtId="0" fontId="12" fillId="24" borderId="11" xfId="0" applyFont="1" applyFill="1" applyBorder="1" applyAlignment="1" applyProtection="1">
      <alignment/>
      <protection/>
    </xf>
    <xf numFmtId="0" fontId="34" fillId="25" borderId="15" xfId="0" applyFont="1" applyFill="1" applyBorder="1" applyAlignment="1" applyProtection="1">
      <alignment/>
      <protection/>
    </xf>
    <xf numFmtId="0" fontId="34" fillId="25" borderId="0" xfId="0" applyFont="1" applyFill="1" applyBorder="1" applyAlignment="1" applyProtection="1">
      <alignment/>
      <protection/>
    </xf>
    <xf numFmtId="0" fontId="34" fillId="25" borderId="0" xfId="0" applyFont="1" applyFill="1" applyBorder="1" applyAlignment="1" applyProtection="1">
      <alignment horizontal="left"/>
      <protection/>
    </xf>
    <xf numFmtId="0" fontId="34" fillId="25" borderId="0" xfId="0" applyFont="1" applyFill="1" applyBorder="1" applyAlignment="1" applyProtection="1">
      <alignment horizontal="center"/>
      <protection/>
    </xf>
    <xf numFmtId="0" fontId="34" fillId="25" borderId="0" xfId="0" applyFont="1" applyFill="1" applyBorder="1" applyAlignment="1" applyProtection="1">
      <alignment horizontal="right"/>
      <protection/>
    </xf>
    <xf numFmtId="0" fontId="34" fillId="25" borderId="16" xfId="0" applyFont="1" applyFill="1" applyBorder="1" applyAlignment="1" applyProtection="1">
      <alignment/>
      <protection/>
    </xf>
    <xf numFmtId="0" fontId="34" fillId="2" borderId="0" xfId="0" applyFont="1" applyFill="1" applyAlignment="1" applyProtection="1">
      <alignment/>
      <protection/>
    </xf>
    <xf numFmtId="0" fontId="34" fillId="25" borderId="15" xfId="0" applyFont="1" applyFill="1" applyBorder="1" applyAlignment="1">
      <alignment/>
    </xf>
    <xf numFmtId="0" fontId="34" fillId="25" borderId="0" xfId="0" applyFont="1" applyFill="1" applyBorder="1" applyAlignment="1">
      <alignment/>
    </xf>
    <xf numFmtId="0" fontId="34" fillId="25" borderId="16" xfId="0" applyFont="1" applyFill="1" applyBorder="1" applyAlignment="1">
      <alignment/>
    </xf>
    <xf numFmtId="0" fontId="34" fillId="2" borderId="0" xfId="0" applyFont="1" applyFill="1" applyAlignment="1">
      <alignment/>
    </xf>
    <xf numFmtId="0" fontId="35" fillId="25" borderId="15" xfId="0" applyFont="1" applyFill="1" applyBorder="1" applyAlignment="1" applyProtection="1">
      <alignment/>
      <protection/>
    </xf>
    <xf numFmtId="0" fontId="35" fillId="25" borderId="0" xfId="0" applyFont="1" applyFill="1" applyBorder="1" applyAlignment="1" applyProtection="1">
      <alignment/>
      <protection/>
    </xf>
    <xf numFmtId="0" fontId="35" fillId="25" borderId="16" xfId="0" applyFont="1" applyFill="1" applyBorder="1" applyAlignment="1" applyProtection="1">
      <alignment/>
      <protection/>
    </xf>
    <xf numFmtId="0" fontId="35" fillId="2" borderId="0" xfId="0" applyFont="1" applyFill="1" applyAlignment="1" applyProtection="1">
      <alignment/>
      <protection/>
    </xf>
    <xf numFmtId="0" fontId="35" fillId="2" borderId="0" xfId="0" applyFont="1" applyFill="1" applyAlignment="1">
      <alignment/>
    </xf>
    <xf numFmtId="0" fontId="16" fillId="25" borderId="0" xfId="0" applyFont="1" applyFill="1" applyBorder="1" applyAlignment="1" applyProtection="1">
      <alignment/>
      <protection/>
    </xf>
    <xf numFmtId="0" fontId="9" fillId="2" borderId="0" xfId="0" applyFont="1" applyFill="1" applyAlignment="1">
      <alignment/>
    </xf>
    <xf numFmtId="0" fontId="10" fillId="2" borderId="0" xfId="0" applyFont="1" applyFill="1" applyAlignment="1">
      <alignment horizontal="right"/>
    </xf>
    <xf numFmtId="0" fontId="29" fillId="2" borderId="0" xfId="0" applyFont="1" applyFill="1" applyAlignment="1">
      <alignment/>
    </xf>
    <xf numFmtId="0" fontId="9" fillId="25" borderId="0" xfId="0" applyFont="1" applyFill="1" applyAlignment="1">
      <alignment/>
    </xf>
    <xf numFmtId="0" fontId="9" fillId="25" borderId="0" xfId="0" applyFont="1" applyFill="1" applyBorder="1" applyAlignment="1">
      <alignment/>
    </xf>
    <xf numFmtId="0" fontId="29" fillId="25" borderId="0" xfId="0" applyFont="1" applyFill="1" applyBorder="1" applyAlignment="1">
      <alignment/>
    </xf>
    <xf numFmtId="0" fontId="29" fillId="25" borderId="0" xfId="0" applyFont="1" applyFill="1" applyBorder="1" applyAlignment="1">
      <alignment horizontal="right"/>
    </xf>
    <xf numFmtId="0" fontId="10" fillId="25" borderId="0" xfId="0" applyFont="1" applyFill="1" applyBorder="1" applyAlignment="1">
      <alignment/>
    </xf>
    <xf numFmtId="0" fontId="10" fillId="25" borderId="0" xfId="0" applyFont="1" applyFill="1" applyBorder="1" applyAlignment="1">
      <alignment horizontal="right"/>
    </xf>
    <xf numFmtId="0" fontId="37" fillId="25" borderId="0" xfId="0" applyFont="1" applyFill="1" applyBorder="1" applyAlignment="1">
      <alignment/>
    </xf>
    <xf numFmtId="0" fontId="9" fillId="24" borderId="0" xfId="0" applyFont="1" applyFill="1" applyBorder="1" applyAlignment="1">
      <alignment/>
    </xf>
    <xf numFmtId="0" fontId="19" fillId="24" borderId="0" xfId="0" applyFont="1" applyFill="1" applyBorder="1" applyAlignment="1" applyProtection="1">
      <alignment horizontal="right"/>
      <protection/>
    </xf>
    <xf numFmtId="0" fontId="16" fillId="2" borderId="0" xfId="0" applyFont="1" applyFill="1" applyAlignment="1" applyProtection="1">
      <alignment horizontal="left"/>
      <protection/>
    </xf>
    <xf numFmtId="42" fontId="8" fillId="2" borderId="0" xfId="59" applyNumberFormat="1" applyFont="1" applyFill="1" applyAlignment="1" applyProtection="1">
      <alignment/>
      <protection/>
    </xf>
    <xf numFmtId="42" fontId="8" fillId="2" borderId="0" xfId="59" applyNumberFormat="1" applyFont="1" applyFill="1" applyAlignment="1" applyProtection="1">
      <alignment horizontal="center"/>
      <protection/>
    </xf>
    <xf numFmtId="42" fontId="8" fillId="2" borderId="0" xfId="59" applyNumberFormat="1" applyFont="1" applyFill="1" applyAlignment="1">
      <alignment/>
    </xf>
    <xf numFmtId="44" fontId="8" fillId="25" borderId="16" xfId="0" applyNumberFormat="1" applyFont="1" applyFill="1" applyBorder="1" applyAlignment="1" applyProtection="1">
      <alignment/>
      <protection/>
    </xf>
    <xf numFmtId="44" fontId="15" fillId="25" borderId="16" xfId="0" applyNumberFormat="1" applyFont="1" applyFill="1" applyBorder="1" applyAlignment="1" applyProtection="1">
      <alignment/>
      <protection/>
    </xf>
    <xf numFmtId="44" fontId="13" fillId="24" borderId="11" xfId="0" applyNumberFormat="1" applyFont="1" applyFill="1" applyBorder="1" applyAlignment="1" applyProtection="1">
      <alignment horizontal="right"/>
      <protection/>
    </xf>
    <xf numFmtId="44" fontId="12" fillId="24" borderId="17" xfId="0" applyNumberFormat="1" applyFont="1" applyFill="1" applyBorder="1" applyAlignment="1" applyProtection="1">
      <alignment/>
      <protection/>
    </xf>
    <xf numFmtId="44" fontId="8" fillId="2" borderId="0" xfId="0" applyNumberFormat="1" applyFont="1" applyFill="1" applyAlignment="1" applyProtection="1">
      <alignment/>
      <protection/>
    </xf>
    <xf numFmtId="44" fontId="19" fillId="24" borderId="11" xfId="0" applyNumberFormat="1" applyFont="1" applyFill="1" applyBorder="1" applyAlignment="1" applyProtection="1">
      <alignment horizontal="right"/>
      <protection/>
    </xf>
    <xf numFmtId="44" fontId="8" fillId="24" borderId="17" xfId="0" applyNumberFormat="1" applyFont="1" applyFill="1" applyBorder="1" applyAlignment="1" applyProtection="1">
      <alignment/>
      <protection/>
    </xf>
    <xf numFmtId="44" fontId="12" fillId="24" borderId="11" xfId="0" applyNumberFormat="1" applyFont="1" applyFill="1" applyBorder="1" applyAlignment="1">
      <alignment/>
    </xf>
    <xf numFmtId="44" fontId="8" fillId="2" borderId="0" xfId="0" applyNumberFormat="1" applyFont="1" applyFill="1" applyAlignment="1">
      <alignment/>
    </xf>
    <xf numFmtId="44" fontId="8" fillId="2" borderId="0" xfId="59" applyNumberFormat="1" applyFont="1" applyFill="1" applyAlignment="1" applyProtection="1">
      <alignment/>
      <protection/>
    </xf>
    <xf numFmtId="44" fontId="18" fillId="2" borderId="0" xfId="59" applyNumberFormat="1" applyFont="1" applyFill="1" applyAlignment="1" applyProtection="1">
      <alignment/>
      <protection/>
    </xf>
    <xf numFmtId="44" fontId="8" fillId="2" borderId="0" xfId="59" applyNumberFormat="1" applyFont="1" applyFill="1" applyAlignment="1" applyProtection="1">
      <alignment horizontal="center"/>
      <protection/>
    </xf>
    <xf numFmtId="44" fontId="18" fillId="2" borderId="0" xfId="59" applyNumberFormat="1" applyFont="1" applyFill="1" applyAlignment="1" applyProtection="1">
      <alignment horizontal="center"/>
      <protection/>
    </xf>
    <xf numFmtId="44" fontId="8" fillId="2" borderId="0" xfId="59" applyNumberFormat="1" applyFont="1" applyFill="1" applyAlignment="1">
      <alignment/>
    </xf>
    <xf numFmtId="44" fontId="18" fillId="2" borderId="0" xfId="59" applyNumberFormat="1" applyFont="1" applyFill="1" applyAlignment="1">
      <alignment/>
    </xf>
    <xf numFmtId="44" fontId="18" fillId="2" borderId="0" xfId="0" applyNumberFormat="1" applyFont="1" applyFill="1" applyAlignment="1">
      <alignment/>
    </xf>
    <xf numFmtId="44" fontId="18" fillId="2" borderId="0" xfId="0" applyNumberFormat="1" applyFont="1" applyFill="1" applyAlignment="1" applyProtection="1">
      <alignment/>
      <protection/>
    </xf>
    <xf numFmtId="0" fontId="10" fillId="25" borderId="0" xfId="0" applyFont="1" applyFill="1" applyBorder="1" applyAlignment="1">
      <alignment horizontal="center"/>
    </xf>
    <xf numFmtId="0" fontId="11" fillId="25" borderId="0" xfId="0" applyFont="1" applyFill="1" applyBorder="1" applyAlignment="1">
      <alignment/>
    </xf>
    <xf numFmtId="0" fontId="9" fillId="25" borderId="0" xfId="0" applyNumberFormat="1" applyFont="1" applyFill="1" applyBorder="1" applyAlignment="1">
      <alignment/>
    </xf>
    <xf numFmtId="44" fontId="9" fillId="25" borderId="0" xfId="0" applyNumberFormat="1" applyFont="1" applyFill="1" applyBorder="1" applyAlignment="1">
      <alignment/>
    </xf>
    <xf numFmtId="0" fontId="37" fillId="25" borderId="0" xfId="0" applyFont="1" applyFill="1" applyBorder="1" applyAlignment="1">
      <alignment/>
    </xf>
    <xf numFmtId="44" fontId="38" fillId="25" borderId="0" xfId="59" applyNumberFormat="1" applyFont="1" applyFill="1" applyBorder="1" applyAlignment="1">
      <alignment/>
    </xf>
    <xf numFmtId="44" fontId="38" fillId="25" borderId="0" xfId="0" applyNumberFormat="1" applyFont="1" applyFill="1" applyBorder="1" applyAlignment="1">
      <alignment/>
    </xf>
    <xf numFmtId="44" fontId="9" fillId="25" borderId="0" xfId="59" applyNumberFormat="1" applyFont="1" applyFill="1" applyBorder="1" applyAlignment="1">
      <alignment/>
    </xf>
    <xf numFmtId="42" fontId="9" fillId="25" borderId="0" xfId="59" applyNumberFormat="1" applyFont="1" applyFill="1" applyBorder="1" applyAlignment="1">
      <alignment/>
    </xf>
    <xf numFmtId="0" fontId="39" fillId="25" borderId="0" xfId="48" applyFont="1" applyFill="1" applyBorder="1" applyAlignment="1" applyProtection="1">
      <alignment/>
      <protection/>
    </xf>
    <xf numFmtId="0" fontId="40" fillId="25" borderId="15" xfId="0" applyFont="1" applyFill="1" applyBorder="1" applyAlignment="1" applyProtection="1">
      <alignment/>
      <protection/>
    </xf>
    <xf numFmtId="0" fontId="40" fillId="25" borderId="16" xfId="0" applyFont="1" applyFill="1" applyBorder="1" applyAlignment="1" applyProtection="1">
      <alignment/>
      <protection/>
    </xf>
    <xf numFmtId="0" fontId="40" fillId="2" borderId="0" xfId="0" applyFont="1" applyFill="1" applyAlignment="1" applyProtection="1">
      <alignment/>
      <protection/>
    </xf>
    <xf numFmtId="0" fontId="9" fillId="2" borderId="0" xfId="0" applyFont="1" applyFill="1" applyBorder="1" applyAlignment="1" applyProtection="1">
      <alignment horizontal="left"/>
      <protection/>
    </xf>
    <xf numFmtId="49" fontId="9" fillId="2" borderId="0" xfId="0" applyNumberFormat="1" applyFont="1" applyFill="1" applyBorder="1" applyAlignment="1" applyProtection="1">
      <alignment horizontal="left"/>
      <protection/>
    </xf>
    <xf numFmtId="0" fontId="1" fillId="25" borderId="13" xfId="0" applyFont="1" applyFill="1" applyBorder="1" applyAlignment="1">
      <alignment/>
    </xf>
    <xf numFmtId="0" fontId="1" fillId="25" borderId="0" xfId="0" applyFont="1" applyFill="1" applyBorder="1" applyAlignment="1">
      <alignment/>
    </xf>
    <xf numFmtId="0" fontId="42" fillId="25" borderId="0" xfId="0" applyFont="1" applyFill="1" applyBorder="1" applyAlignment="1">
      <alignment/>
    </xf>
    <xf numFmtId="44" fontId="1" fillId="25" borderId="0" xfId="0" applyNumberFormat="1" applyFont="1" applyFill="1" applyBorder="1" applyAlignment="1">
      <alignment/>
    </xf>
    <xf numFmtId="0" fontId="1" fillId="2" borderId="0" xfId="0" applyFont="1" applyFill="1" applyAlignment="1">
      <alignment/>
    </xf>
    <xf numFmtId="0" fontId="12" fillId="2" borderId="0" xfId="0" applyFont="1" applyFill="1" applyBorder="1" applyAlignment="1" applyProtection="1">
      <alignment/>
      <protection/>
    </xf>
    <xf numFmtId="44" fontId="12" fillId="2" borderId="0" xfId="0" applyNumberFormat="1" applyFont="1" applyFill="1" applyBorder="1" applyAlignment="1" applyProtection="1">
      <alignment/>
      <protection/>
    </xf>
    <xf numFmtId="44" fontId="13" fillId="2" borderId="0" xfId="0" applyNumberFormat="1" applyFont="1" applyFill="1" applyBorder="1" applyAlignment="1" applyProtection="1">
      <alignment horizontal="right"/>
      <protection/>
    </xf>
    <xf numFmtId="0" fontId="27" fillId="25" borderId="0" xfId="0" applyFont="1" applyFill="1" applyBorder="1" applyAlignment="1" applyProtection="1">
      <alignment horizontal="center"/>
      <protection/>
    </xf>
    <xf numFmtId="0" fontId="27" fillId="25" borderId="0" xfId="0" applyFont="1" applyFill="1" applyBorder="1" applyAlignment="1" applyProtection="1">
      <alignment horizontal="right"/>
      <protection/>
    </xf>
    <xf numFmtId="0" fontId="8" fillId="7" borderId="18" xfId="0" applyFont="1" applyFill="1" applyBorder="1" applyAlignment="1" applyProtection="1">
      <alignment/>
      <protection/>
    </xf>
    <xf numFmtId="0" fontId="8" fillId="7" borderId="19" xfId="0" applyFont="1" applyFill="1" applyBorder="1" applyAlignment="1" applyProtection="1">
      <alignment/>
      <protection/>
    </xf>
    <xf numFmtId="0" fontId="20" fillId="7" borderId="19" xfId="0" applyFont="1" applyFill="1" applyBorder="1" applyAlignment="1" applyProtection="1">
      <alignment/>
      <protection/>
    </xf>
    <xf numFmtId="0" fontId="8" fillId="7" borderId="19" xfId="0" applyFont="1" applyFill="1" applyBorder="1" applyAlignment="1" applyProtection="1">
      <alignment horizontal="left"/>
      <protection/>
    </xf>
    <xf numFmtId="0" fontId="8" fillId="7" borderId="19" xfId="0" applyFont="1" applyFill="1" applyBorder="1" applyAlignment="1" applyProtection="1">
      <alignment horizontal="center"/>
      <protection/>
    </xf>
    <xf numFmtId="0" fontId="8" fillId="7" borderId="19" xfId="0" applyFont="1" applyFill="1" applyBorder="1" applyAlignment="1">
      <alignment/>
    </xf>
    <xf numFmtId="0" fontId="8" fillId="7" borderId="20" xfId="0" applyFont="1" applyFill="1" applyBorder="1" applyAlignment="1" applyProtection="1">
      <alignment/>
      <protection/>
    </xf>
    <xf numFmtId="0" fontId="8" fillId="7" borderId="21" xfId="0" applyFont="1" applyFill="1" applyBorder="1" applyAlignment="1" applyProtection="1">
      <alignment/>
      <protection/>
    </xf>
    <xf numFmtId="0" fontId="17" fillId="7" borderId="22" xfId="0" applyFont="1" applyFill="1" applyBorder="1" applyAlignment="1" applyProtection="1">
      <alignment/>
      <protection/>
    </xf>
    <xf numFmtId="0" fontId="20" fillId="7" borderId="22" xfId="0" applyFont="1" applyFill="1" applyBorder="1" applyAlignment="1" applyProtection="1">
      <alignment/>
      <protection/>
    </xf>
    <xf numFmtId="0" fontId="8" fillId="7" borderId="22" xfId="0" applyFont="1" applyFill="1" applyBorder="1" applyAlignment="1" applyProtection="1">
      <alignment horizontal="left"/>
      <protection/>
    </xf>
    <xf numFmtId="0" fontId="8" fillId="7" borderId="22" xfId="0" applyFont="1" applyFill="1" applyBorder="1" applyAlignment="1" applyProtection="1">
      <alignment horizontal="center"/>
      <protection/>
    </xf>
    <xf numFmtId="0" fontId="8" fillId="7" borderId="22" xfId="0" applyFont="1" applyFill="1" applyBorder="1" applyAlignment="1" applyProtection="1">
      <alignment/>
      <protection/>
    </xf>
    <xf numFmtId="0" fontId="8" fillId="7" borderId="22" xfId="0" applyFont="1" applyFill="1" applyBorder="1" applyAlignment="1">
      <alignment/>
    </xf>
    <xf numFmtId="0" fontId="8" fillId="7" borderId="23" xfId="0" applyFont="1" applyFill="1" applyBorder="1" applyAlignment="1" applyProtection="1">
      <alignment/>
      <protection/>
    </xf>
    <xf numFmtId="0" fontId="15" fillId="7" borderId="21" xfId="0" applyFont="1" applyFill="1" applyBorder="1" applyAlignment="1" applyProtection="1">
      <alignment/>
      <protection/>
    </xf>
    <xf numFmtId="0" fontId="8" fillId="25" borderId="22" xfId="0" applyFont="1" applyFill="1" applyBorder="1" applyAlignment="1" applyProtection="1">
      <alignment/>
      <protection locked="0"/>
    </xf>
    <xf numFmtId="0" fontId="12" fillId="25" borderId="22" xfId="0" applyFont="1" applyFill="1" applyBorder="1" applyAlignment="1" applyProtection="1">
      <alignment horizontal="center"/>
      <protection/>
    </xf>
    <xf numFmtId="0" fontId="15" fillId="7" borderId="22" xfId="0" applyFont="1" applyFill="1" applyBorder="1" applyAlignment="1" applyProtection="1">
      <alignment horizontal="right"/>
      <protection/>
    </xf>
    <xf numFmtId="0" fontId="8" fillId="25" borderId="22" xfId="0" applyFont="1" applyFill="1" applyBorder="1" applyAlignment="1" applyProtection="1">
      <alignment horizontal="center"/>
      <protection locked="0"/>
    </xf>
    <xf numFmtId="0" fontId="21" fillId="7" borderId="22" xfId="0" applyFont="1" applyFill="1" applyBorder="1" applyAlignment="1" applyProtection="1">
      <alignment horizontal="right"/>
      <protection/>
    </xf>
    <xf numFmtId="0" fontId="21" fillId="7" borderId="22" xfId="0" applyFont="1" applyFill="1" applyBorder="1" applyAlignment="1" applyProtection="1">
      <alignment/>
      <protection/>
    </xf>
    <xf numFmtId="0" fontId="8" fillId="7" borderId="22" xfId="0" applyFont="1" applyFill="1" applyBorder="1" applyAlignment="1" applyProtection="1">
      <alignment/>
      <protection locked="0"/>
    </xf>
    <xf numFmtId="0" fontId="15" fillId="7" borderId="22" xfId="0" applyFont="1" applyFill="1" applyBorder="1" applyAlignment="1" applyProtection="1">
      <alignment/>
      <protection/>
    </xf>
    <xf numFmtId="0" fontId="14" fillId="7" borderId="22" xfId="0" applyFont="1" applyFill="1" applyBorder="1" applyAlignment="1" applyProtection="1">
      <alignment/>
      <protection/>
    </xf>
    <xf numFmtId="44" fontId="24" fillId="7" borderId="22" xfId="0" applyNumberFormat="1" applyFont="1" applyFill="1" applyBorder="1" applyAlignment="1" applyProtection="1">
      <alignment horizontal="center"/>
      <protection/>
    </xf>
    <xf numFmtId="4" fontId="8" fillId="7" borderId="22" xfId="0" applyNumberFormat="1" applyFont="1" applyFill="1" applyBorder="1" applyAlignment="1" applyProtection="1">
      <alignment/>
      <protection/>
    </xf>
    <xf numFmtId="0" fontId="22" fillId="7" borderId="22" xfId="0" applyFont="1" applyFill="1" applyBorder="1" applyAlignment="1" applyProtection="1">
      <alignment horizontal="center"/>
      <protection/>
    </xf>
    <xf numFmtId="0" fontId="21" fillId="7" borderId="22" xfId="0" applyFont="1" applyFill="1" applyBorder="1" applyAlignment="1" applyProtection="1">
      <alignment horizontal="left"/>
      <protection/>
    </xf>
    <xf numFmtId="44" fontId="8" fillId="23" borderId="22" xfId="0" applyNumberFormat="1" applyFont="1" applyFill="1" applyBorder="1" applyAlignment="1" applyProtection="1">
      <alignment/>
      <protection/>
    </xf>
    <xf numFmtId="170" fontId="8" fillId="25" borderId="22" xfId="0" applyNumberFormat="1" applyFont="1" applyFill="1" applyBorder="1" applyAlignment="1" applyProtection="1">
      <alignment/>
      <protection locked="0"/>
    </xf>
    <xf numFmtId="170" fontId="8" fillId="7" borderId="22" xfId="0" applyNumberFormat="1" applyFont="1" applyFill="1" applyBorder="1" applyAlignment="1" applyProtection="1">
      <alignment/>
      <protection locked="0"/>
    </xf>
    <xf numFmtId="0" fontId="8" fillId="25" borderId="22" xfId="0" applyFont="1" applyFill="1" applyBorder="1" applyAlignment="1" applyProtection="1">
      <alignment horizontal="left"/>
      <protection locked="0"/>
    </xf>
    <xf numFmtId="0" fontId="8" fillId="7" borderId="22" xfId="0" applyFont="1" applyFill="1" applyBorder="1" applyAlignment="1" applyProtection="1">
      <alignment horizontal="center"/>
      <protection locked="0"/>
    </xf>
    <xf numFmtId="9" fontId="8" fillId="25" borderId="22" xfId="0" applyNumberFormat="1" applyFont="1" applyFill="1" applyBorder="1" applyAlignment="1" applyProtection="1">
      <alignment horizontal="center"/>
      <protection/>
    </xf>
    <xf numFmtId="9" fontId="8" fillId="7" borderId="22" xfId="0" applyNumberFormat="1" applyFont="1" applyFill="1" applyBorder="1" applyAlignment="1" applyProtection="1">
      <alignment horizontal="center"/>
      <protection/>
    </xf>
    <xf numFmtId="10" fontId="8" fillId="23" borderId="22" xfId="0" applyNumberFormat="1" applyFont="1" applyFill="1" applyBorder="1" applyAlignment="1" applyProtection="1">
      <alignment horizontal="center"/>
      <protection/>
    </xf>
    <xf numFmtId="10" fontId="8" fillId="7" borderId="22" xfId="0" applyNumberFormat="1" applyFont="1" applyFill="1" applyBorder="1" applyAlignment="1" applyProtection="1">
      <alignment horizontal="center"/>
      <protection/>
    </xf>
    <xf numFmtId="1" fontId="8" fillId="23" borderId="22" xfId="0" applyNumberFormat="1" applyFont="1" applyFill="1" applyBorder="1" applyAlignment="1" applyProtection="1">
      <alignment horizontal="center"/>
      <protection/>
    </xf>
    <xf numFmtId="0" fontId="15" fillId="7" borderId="22" xfId="0" applyFont="1" applyFill="1" applyBorder="1" applyAlignment="1" applyProtection="1">
      <alignment horizontal="left"/>
      <protection/>
    </xf>
    <xf numFmtId="0" fontId="15" fillId="7" borderId="22" xfId="0" applyFont="1" applyFill="1" applyBorder="1" applyAlignment="1" applyProtection="1">
      <alignment horizontal="center"/>
      <protection/>
    </xf>
    <xf numFmtId="44" fontId="15" fillId="2" borderId="22" xfId="0" applyNumberFormat="1" applyFont="1" applyFill="1" applyBorder="1" applyAlignment="1" applyProtection="1">
      <alignment/>
      <protection/>
    </xf>
    <xf numFmtId="4" fontId="15" fillId="7" borderId="22" xfId="0" applyNumberFormat="1" applyFont="1" applyFill="1" applyBorder="1" applyAlignment="1" applyProtection="1">
      <alignment/>
      <protection/>
    </xf>
    <xf numFmtId="0" fontId="22" fillId="7" borderId="22" xfId="0" applyFont="1" applyFill="1" applyBorder="1" applyAlignment="1" applyProtection="1">
      <alignment/>
      <protection/>
    </xf>
    <xf numFmtId="0" fontId="15" fillId="7" borderId="23" xfId="0" applyFont="1" applyFill="1" applyBorder="1" applyAlignment="1" applyProtection="1">
      <alignment/>
      <protection/>
    </xf>
    <xf numFmtId="44" fontId="8" fillId="7" borderId="22" xfId="0" applyNumberFormat="1" applyFont="1" applyFill="1" applyBorder="1" applyAlignment="1" applyProtection="1">
      <alignment/>
      <protection/>
    </xf>
    <xf numFmtId="0" fontId="8" fillId="7" borderId="22" xfId="0" applyFont="1" applyFill="1" applyBorder="1" applyAlignment="1">
      <alignment horizontal="left"/>
    </xf>
    <xf numFmtId="0" fontId="8" fillId="7" borderId="22" xfId="0" applyFont="1" applyFill="1" applyBorder="1" applyAlignment="1">
      <alignment horizontal="center"/>
    </xf>
    <xf numFmtId="44" fontId="21" fillId="7" borderId="22" xfId="0" applyNumberFormat="1" applyFont="1" applyFill="1" applyBorder="1" applyAlignment="1" applyProtection="1">
      <alignment/>
      <protection/>
    </xf>
    <xf numFmtId="10" fontId="8" fillId="25" borderId="22" xfId="0" applyNumberFormat="1" applyFont="1" applyFill="1" applyBorder="1" applyAlignment="1" applyProtection="1">
      <alignment horizontal="center"/>
      <protection/>
    </xf>
    <xf numFmtId="2" fontId="21" fillId="7" borderId="22" xfId="0" applyNumberFormat="1" applyFont="1" applyFill="1" applyBorder="1" applyAlignment="1" applyProtection="1">
      <alignment/>
      <protection/>
    </xf>
    <xf numFmtId="0" fontId="18" fillId="7" borderId="21" xfId="0" applyFont="1" applyFill="1" applyBorder="1" applyAlignment="1" applyProtection="1">
      <alignment/>
      <protection/>
    </xf>
    <xf numFmtId="0" fontId="18" fillId="7" borderId="22" xfId="0" applyFont="1" applyFill="1" applyBorder="1" applyAlignment="1" applyProtection="1">
      <alignment horizontal="left"/>
      <protection/>
    </xf>
    <xf numFmtId="0" fontId="18" fillId="7" borderId="22" xfId="0" applyFont="1" applyFill="1" applyBorder="1" applyAlignment="1" applyProtection="1">
      <alignment/>
      <protection/>
    </xf>
    <xf numFmtId="0" fontId="18" fillId="7" borderId="22" xfId="0" applyFont="1" applyFill="1" applyBorder="1" applyAlignment="1" applyProtection="1">
      <alignment horizontal="center"/>
      <protection/>
    </xf>
    <xf numFmtId="44" fontId="18" fillId="23" borderId="22" xfId="0" applyNumberFormat="1" applyFont="1" applyFill="1" applyBorder="1" applyAlignment="1" applyProtection="1">
      <alignment/>
      <protection/>
    </xf>
    <xf numFmtId="4" fontId="18" fillId="7" borderId="22" xfId="0" applyNumberFormat="1" applyFont="1" applyFill="1" applyBorder="1" applyAlignment="1" applyProtection="1">
      <alignment/>
      <protection/>
    </xf>
    <xf numFmtId="0" fontId="23" fillId="7" borderId="22" xfId="0" applyFont="1" applyFill="1" applyBorder="1" applyAlignment="1" applyProtection="1">
      <alignment/>
      <protection/>
    </xf>
    <xf numFmtId="0" fontId="18" fillId="7" borderId="23" xfId="0" applyFont="1" applyFill="1" applyBorder="1" applyAlignment="1" applyProtection="1">
      <alignment/>
      <protection/>
    </xf>
    <xf numFmtId="0" fontId="8" fillId="7" borderId="24" xfId="0" applyFont="1" applyFill="1" applyBorder="1" applyAlignment="1" applyProtection="1">
      <alignment/>
      <protection/>
    </xf>
    <xf numFmtId="0" fontId="8" fillId="7" borderId="25" xfId="0" applyFont="1" applyFill="1" applyBorder="1" applyAlignment="1" applyProtection="1">
      <alignment/>
      <protection/>
    </xf>
    <xf numFmtId="0" fontId="15" fillId="7" borderId="25" xfId="0" applyFont="1" applyFill="1" applyBorder="1" applyAlignment="1" applyProtection="1">
      <alignment/>
      <protection/>
    </xf>
    <xf numFmtId="0" fontId="8" fillId="7" borderId="25" xfId="0" applyFont="1" applyFill="1" applyBorder="1" applyAlignment="1" applyProtection="1">
      <alignment horizontal="left"/>
      <protection/>
    </xf>
    <xf numFmtId="0" fontId="8" fillId="7" borderId="25" xfId="0" applyFont="1" applyFill="1" applyBorder="1" applyAlignment="1" applyProtection="1">
      <alignment horizontal="center"/>
      <protection/>
    </xf>
    <xf numFmtId="1" fontId="8" fillId="7" borderId="25" xfId="0" applyNumberFormat="1" applyFont="1" applyFill="1" applyBorder="1" applyAlignment="1" applyProtection="1">
      <alignment/>
      <protection/>
    </xf>
    <xf numFmtId="0" fontId="21" fillId="7" borderId="25" xfId="0" applyFont="1" applyFill="1" applyBorder="1" applyAlignment="1" applyProtection="1">
      <alignment/>
      <protection/>
    </xf>
    <xf numFmtId="1" fontId="8" fillId="7" borderId="26" xfId="0" applyNumberFormat="1" applyFont="1" applyFill="1" applyBorder="1" applyAlignment="1" applyProtection="1">
      <alignment/>
      <protection/>
    </xf>
    <xf numFmtId="0" fontId="16" fillId="7" borderId="21" xfId="0" applyFont="1" applyFill="1" applyBorder="1" applyAlignment="1" applyProtection="1">
      <alignment/>
      <protection/>
    </xf>
    <xf numFmtId="0" fontId="16" fillId="7" borderId="22" xfId="0" applyFont="1" applyFill="1" applyBorder="1" applyAlignment="1" applyProtection="1">
      <alignment/>
      <protection/>
    </xf>
    <xf numFmtId="0" fontId="16" fillId="7" borderId="22" xfId="0" applyFont="1" applyFill="1" applyBorder="1" applyAlignment="1" applyProtection="1">
      <alignment horizontal="left"/>
      <protection/>
    </xf>
    <xf numFmtId="0" fontId="16" fillId="7" borderId="22" xfId="0" applyFont="1" applyFill="1" applyBorder="1" applyAlignment="1" applyProtection="1">
      <alignment horizontal="center"/>
      <protection/>
    </xf>
    <xf numFmtId="0" fontId="24" fillId="7" borderId="22" xfId="0" applyFont="1" applyFill="1" applyBorder="1" applyAlignment="1" applyProtection="1">
      <alignment horizontal="center"/>
      <protection/>
    </xf>
    <xf numFmtId="9" fontId="24" fillId="7" borderId="22" xfId="0" applyNumberFormat="1" applyFont="1" applyFill="1" applyBorder="1" applyAlignment="1" applyProtection="1">
      <alignment horizontal="center"/>
      <protection/>
    </xf>
    <xf numFmtId="0" fontId="16" fillId="7" borderId="23" xfId="0" applyFont="1" applyFill="1" applyBorder="1" applyAlignment="1" applyProtection="1">
      <alignment/>
      <protection/>
    </xf>
    <xf numFmtId="44" fontId="15" fillId="7" borderId="22" xfId="0" applyNumberFormat="1" applyFont="1" applyFill="1" applyBorder="1" applyAlignment="1" applyProtection="1">
      <alignment horizontal="center"/>
      <protection/>
    </xf>
    <xf numFmtId="176" fontId="30" fillId="7" borderId="22" xfId="59" applyNumberFormat="1" applyFont="1" applyFill="1" applyBorder="1" applyAlignment="1" applyProtection="1">
      <alignment horizontal="center"/>
      <protection/>
    </xf>
    <xf numFmtId="177" fontId="30" fillId="7" borderId="22" xfId="59" applyNumberFormat="1" applyFont="1" applyFill="1" applyBorder="1" applyAlignment="1" applyProtection="1">
      <alignment horizontal="center"/>
      <protection/>
    </xf>
    <xf numFmtId="10" fontId="18" fillId="23" borderId="22" xfId="0" applyNumberFormat="1" applyFont="1" applyFill="1" applyBorder="1" applyAlignment="1" applyProtection="1">
      <alignment horizontal="center"/>
      <protection/>
    </xf>
    <xf numFmtId="0" fontId="8" fillId="25" borderId="22" xfId="56" applyNumberFormat="1" applyFont="1" applyFill="1" applyBorder="1" applyAlignment="1" applyProtection="1">
      <alignment horizontal="center"/>
      <protection locked="0"/>
    </xf>
    <xf numFmtId="0" fontId="8" fillId="7" borderId="22" xfId="0" applyFont="1" applyFill="1" applyBorder="1" applyAlignment="1" applyProtection="1">
      <alignment horizontal="right"/>
      <protection/>
    </xf>
    <xf numFmtId="10" fontId="18" fillId="7" borderId="22" xfId="0" applyNumberFormat="1" applyFont="1" applyFill="1" applyBorder="1" applyAlignment="1" applyProtection="1">
      <alignment horizontal="center"/>
      <protection/>
    </xf>
    <xf numFmtId="44" fontId="15" fillId="7" borderId="22" xfId="0" applyNumberFormat="1" applyFont="1" applyFill="1" applyBorder="1" applyAlignment="1" applyProtection="1">
      <alignment/>
      <protection/>
    </xf>
    <xf numFmtId="10" fontId="25" fillId="2" borderId="22" xfId="0" applyNumberFormat="1" applyFont="1" applyFill="1" applyBorder="1" applyAlignment="1" applyProtection="1">
      <alignment horizontal="center"/>
      <protection/>
    </xf>
    <xf numFmtId="10" fontId="8" fillId="7" borderId="22" xfId="56" applyNumberFormat="1" applyFont="1" applyFill="1" applyBorder="1" applyAlignment="1" applyProtection="1">
      <alignment/>
      <protection/>
    </xf>
    <xf numFmtId="10" fontId="8" fillId="7" borderId="22" xfId="0" applyNumberFormat="1" applyFont="1" applyFill="1" applyBorder="1" applyAlignment="1" applyProtection="1">
      <alignment/>
      <protection/>
    </xf>
    <xf numFmtId="10" fontId="27" fillId="7" borderId="22" xfId="0" applyNumberFormat="1" applyFont="1" applyFill="1" applyBorder="1" applyAlignment="1" applyProtection="1">
      <alignment/>
      <protection/>
    </xf>
    <xf numFmtId="0" fontId="40" fillId="7" borderId="21" xfId="0" applyFont="1" applyFill="1" applyBorder="1" applyAlignment="1" applyProtection="1">
      <alignment/>
      <protection/>
    </xf>
    <xf numFmtId="0" fontId="40" fillId="7" borderId="22" xfId="0" applyFont="1" applyFill="1" applyBorder="1" applyAlignment="1" applyProtection="1">
      <alignment/>
      <protection/>
    </xf>
    <xf numFmtId="0" fontId="40" fillId="7" borderId="22" xfId="0" applyFont="1" applyFill="1" applyBorder="1" applyAlignment="1" applyProtection="1">
      <alignment horizontal="left"/>
      <protection/>
    </xf>
    <xf numFmtId="0" fontId="40" fillId="7" borderId="22" xfId="0" applyFont="1" applyFill="1" applyBorder="1" applyAlignment="1" applyProtection="1">
      <alignment horizontal="center"/>
      <protection/>
    </xf>
    <xf numFmtId="10" fontId="40" fillId="7" borderId="22" xfId="0" applyNumberFormat="1" applyFont="1" applyFill="1" applyBorder="1" applyAlignment="1" applyProtection="1">
      <alignment/>
      <protection/>
    </xf>
    <xf numFmtId="0" fontId="40" fillId="7" borderId="23" xfId="0" applyFont="1" applyFill="1" applyBorder="1" applyAlignment="1" applyProtection="1">
      <alignment/>
      <protection/>
    </xf>
    <xf numFmtId="44" fontId="8" fillId="7" borderId="25" xfId="0" applyNumberFormat="1" applyFont="1" applyFill="1" applyBorder="1" applyAlignment="1" applyProtection="1">
      <alignment/>
      <protection/>
    </xf>
    <xf numFmtId="0" fontId="8" fillId="7" borderId="26" xfId="0" applyFont="1" applyFill="1" applyBorder="1" applyAlignment="1" applyProtection="1">
      <alignment/>
      <protection/>
    </xf>
    <xf numFmtId="0" fontId="15" fillId="7" borderId="19" xfId="0" applyFont="1" applyFill="1" applyBorder="1" applyAlignment="1" applyProtection="1">
      <alignment/>
      <protection/>
    </xf>
    <xf numFmtId="1" fontId="24" fillId="7" borderId="22" xfId="0" applyNumberFormat="1" applyFont="1" applyFill="1" applyBorder="1" applyAlignment="1" applyProtection="1">
      <alignment horizontal="center"/>
      <protection/>
    </xf>
    <xf numFmtId="1" fontId="15" fillId="7" borderId="22" xfId="0" applyNumberFormat="1" applyFont="1" applyFill="1" applyBorder="1" applyAlignment="1" applyProtection="1">
      <alignment/>
      <protection/>
    </xf>
    <xf numFmtId="0" fontId="15" fillId="7" borderId="22" xfId="0" applyFont="1" applyFill="1" applyBorder="1" applyAlignment="1" applyProtection="1">
      <alignment/>
      <protection/>
    </xf>
    <xf numFmtId="44" fontId="15" fillId="23" borderId="22" xfId="0" applyNumberFormat="1" applyFont="1" applyFill="1" applyBorder="1" applyAlignment="1" applyProtection="1">
      <alignment/>
      <protection/>
    </xf>
    <xf numFmtId="0" fontId="18" fillId="7" borderId="22" xfId="0" applyFont="1" applyFill="1" applyBorder="1" applyAlignment="1" applyProtection="1">
      <alignment/>
      <protection/>
    </xf>
    <xf numFmtId="4" fontId="18" fillId="7" borderId="22" xfId="0" applyNumberFormat="1" applyFont="1" applyFill="1" applyBorder="1" applyAlignment="1" applyProtection="1">
      <alignment horizontal="center"/>
      <protection/>
    </xf>
    <xf numFmtId="44" fontId="18" fillId="23" borderId="22" xfId="0" applyNumberFormat="1" applyFont="1" applyFill="1" applyBorder="1" applyAlignment="1" applyProtection="1">
      <alignment horizontal="left"/>
      <protection/>
    </xf>
    <xf numFmtId="1" fontId="18" fillId="7" borderId="22" xfId="0" applyNumberFormat="1" applyFont="1" applyFill="1" applyBorder="1" applyAlignment="1" applyProtection="1">
      <alignment/>
      <protection/>
    </xf>
    <xf numFmtId="0" fontId="25" fillId="7" borderId="21" xfId="0" applyFont="1" applyFill="1" applyBorder="1" applyAlignment="1" applyProtection="1">
      <alignment/>
      <protection/>
    </xf>
    <xf numFmtId="0" fontId="25" fillId="7" borderId="22" xfId="0" applyFont="1" applyFill="1" applyBorder="1" applyAlignment="1" applyProtection="1">
      <alignment/>
      <protection/>
    </xf>
    <xf numFmtId="0" fontId="25" fillId="7" borderId="22" xfId="0" applyFont="1" applyFill="1" applyBorder="1" applyAlignment="1" applyProtection="1">
      <alignment/>
      <protection/>
    </xf>
    <xf numFmtId="0" fontId="25" fillId="7" borderId="22" xfId="0" applyFont="1" applyFill="1" applyBorder="1" applyAlignment="1" applyProtection="1">
      <alignment horizontal="left"/>
      <protection/>
    </xf>
    <xf numFmtId="0" fontId="25" fillId="7" borderId="22" xfId="0" applyFont="1" applyFill="1" applyBorder="1" applyAlignment="1" applyProtection="1">
      <alignment horizontal="center"/>
      <protection/>
    </xf>
    <xf numFmtId="4" fontId="25" fillId="7" borderId="22" xfId="0" applyNumberFormat="1" applyFont="1" applyFill="1" applyBorder="1" applyAlignment="1" applyProtection="1">
      <alignment horizontal="center"/>
      <protection/>
    </xf>
    <xf numFmtId="44" fontId="41" fillId="2" borderId="22" xfId="0" applyNumberFormat="1" applyFont="1" applyFill="1" applyBorder="1" applyAlignment="1" applyProtection="1">
      <alignment horizontal="right"/>
      <protection/>
    </xf>
    <xf numFmtId="4" fontId="25" fillId="7" borderId="22" xfId="0" applyNumberFormat="1" applyFont="1" applyFill="1" applyBorder="1" applyAlignment="1" applyProtection="1">
      <alignment/>
      <protection/>
    </xf>
    <xf numFmtId="0" fontId="26" fillId="7" borderId="22" xfId="0" applyFont="1" applyFill="1" applyBorder="1" applyAlignment="1" applyProtection="1">
      <alignment/>
      <protection/>
    </xf>
    <xf numFmtId="0" fontId="25" fillId="7" borderId="23" xfId="0" applyFont="1" applyFill="1" applyBorder="1" applyAlignment="1" applyProtection="1">
      <alignment/>
      <protection/>
    </xf>
    <xf numFmtId="44" fontId="25" fillId="7" borderId="22" xfId="0" applyNumberFormat="1" applyFont="1" applyFill="1" applyBorder="1" applyAlignment="1" applyProtection="1">
      <alignment horizontal="left"/>
      <protection/>
    </xf>
    <xf numFmtId="0" fontId="8" fillId="7" borderId="22" xfId="0" applyFont="1" applyFill="1" applyBorder="1" applyAlignment="1" applyProtection="1">
      <alignment/>
      <protection/>
    </xf>
    <xf numFmtId="1" fontId="8" fillId="7" borderId="22" xfId="0" applyNumberFormat="1" applyFont="1" applyFill="1" applyBorder="1" applyAlignment="1" applyProtection="1">
      <alignment/>
      <protection/>
    </xf>
    <xf numFmtId="0" fontId="15" fillId="7" borderId="24" xfId="0" applyFont="1" applyFill="1" applyBorder="1" applyAlignment="1" applyProtection="1">
      <alignment horizontal="right"/>
      <protection/>
    </xf>
    <xf numFmtId="0" fontId="15" fillId="7" borderId="25" xfId="0" applyFont="1" applyFill="1" applyBorder="1" applyAlignment="1" applyProtection="1">
      <alignment horizontal="right"/>
      <protection/>
    </xf>
    <xf numFmtId="0" fontId="15" fillId="7" borderId="21" xfId="0" applyFont="1" applyFill="1" applyBorder="1" applyAlignment="1" applyProtection="1">
      <alignment horizontal="right"/>
      <protection/>
    </xf>
    <xf numFmtId="0" fontId="17" fillId="7" borderId="21" xfId="0" applyFont="1" applyFill="1" applyBorder="1" applyAlignment="1" applyProtection="1">
      <alignment/>
      <protection/>
    </xf>
    <xf numFmtId="0" fontId="17" fillId="7" borderId="22" xfId="0" applyFont="1" applyFill="1" applyBorder="1" applyAlignment="1" applyProtection="1">
      <alignment horizontal="left"/>
      <protection/>
    </xf>
    <xf numFmtId="0" fontId="17" fillId="7" borderId="22" xfId="0" applyFont="1" applyFill="1" applyBorder="1" applyAlignment="1" applyProtection="1">
      <alignment horizontal="center"/>
      <protection/>
    </xf>
    <xf numFmtId="44" fontId="24" fillId="7" borderId="22" xfId="0" applyNumberFormat="1" applyFont="1" applyFill="1" applyBorder="1" applyAlignment="1" applyProtection="1">
      <alignment horizontal="right"/>
      <protection/>
    </xf>
    <xf numFmtId="4" fontId="17" fillId="7" borderId="22" xfId="0" applyNumberFormat="1" applyFont="1" applyFill="1" applyBorder="1" applyAlignment="1" applyProtection="1">
      <alignment/>
      <protection/>
    </xf>
    <xf numFmtId="0" fontId="17" fillId="7" borderId="23" xfId="0" applyFont="1" applyFill="1" applyBorder="1" applyAlignment="1" applyProtection="1">
      <alignment/>
      <protection/>
    </xf>
    <xf numFmtId="9" fontId="8" fillId="23" borderId="22" xfId="56" applyFont="1" applyFill="1" applyBorder="1" applyAlignment="1" applyProtection="1">
      <alignment horizontal="center"/>
      <protection/>
    </xf>
    <xf numFmtId="44" fontId="15" fillId="2" borderId="22" xfId="59" applyNumberFormat="1" applyFont="1" applyFill="1" applyBorder="1" applyAlignment="1" applyProtection="1">
      <alignment horizontal="right"/>
      <protection/>
    </xf>
    <xf numFmtId="44" fontId="15" fillId="7" borderId="22" xfId="0" applyNumberFormat="1" applyFont="1" applyFill="1" applyBorder="1" applyAlignment="1" applyProtection="1">
      <alignment horizontal="right"/>
      <protection/>
    </xf>
    <xf numFmtId="0" fontId="8" fillId="7" borderId="18" xfId="0" applyFont="1" applyFill="1" applyBorder="1" applyAlignment="1">
      <alignment/>
    </xf>
    <xf numFmtId="0" fontId="1" fillId="7" borderId="20" xfId="0" applyFont="1" applyFill="1" applyBorder="1" applyAlignment="1">
      <alignment/>
    </xf>
    <xf numFmtId="0" fontId="8" fillId="7" borderId="21" xfId="0" applyFont="1" applyFill="1" applyBorder="1" applyAlignment="1">
      <alignment/>
    </xf>
    <xf numFmtId="0" fontId="17" fillId="7" borderId="22" xfId="0" applyFont="1" applyFill="1" applyBorder="1" applyAlignment="1">
      <alignment/>
    </xf>
    <xf numFmtId="0" fontId="1" fillId="7" borderId="23" xfId="0" applyFont="1" applyFill="1" applyBorder="1" applyAlignment="1">
      <alignment/>
    </xf>
    <xf numFmtId="0" fontId="8" fillId="25" borderId="22" xfId="0" applyFont="1" applyFill="1" applyBorder="1" applyAlignment="1" applyProtection="1">
      <alignment/>
      <protection locked="0"/>
    </xf>
    <xf numFmtId="0" fontId="8" fillId="7" borderId="22" xfId="0" applyFont="1" applyFill="1" applyBorder="1" applyAlignment="1" applyProtection="1">
      <alignment/>
      <protection locked="0"/>
    </xf>
    <xf numFmtId="0" fontId="8" fillId="7" borderId="22" xfId="0" applyFont="1" applyFill="1" applyBorder="1" applyAlignment="1" applyProtection="1">
      <alignment horizontal="left"/>
      <protection locked="0"/>
    </xf>
    <xf numFmtId="0" fontId="15" fillId="7" borderId="21" xfId="0" applyFont="1" applyFill="1" applyBorder="1" applyAlignment="1">
      <alignment/>
    </xf>
    <xf numFmtId="0" fontId="15" fillId="7" borderId="22" xfId="0" applyFont="1" applyFill="1" applyBorder="1" applyAlignment="1">
      <alignment/>
    </xf>
    <xf numFmtId="0" fontId="14" fillId="7" borderId="23" xfId="0" applyFont="1" applyFill="1" applyBorder="1" applyAlignment="1">
      <alignment/>
    </xf>
    <xf numFmtId="0" fontId="8" fillId="7" borderId="22" xfId="0" applyFont="1" applyFill="1" applyBorder="1" applyAlignment="1">
      <alignment horizontal="right"/>
    </xf>
    <xf numFmtId="44" fontId="8" fillId="7" borderId="22" xfId="0" applyNumberFormat="1" applyFont="1" applyFill="1" applyBorder="1" applyAlignment="1">
      <alignment horizontal="center"/>
    </xf>
    <xf numFmtId="44" fontId="8" fillId="23" borderId="22" xfId="0" applyNumberFormat="1" applyFont="1" applyFill="1" applyBorder="1" applyAlignment="1">
      <alignment horizontal="center"/>
    </xf>
    <xf numFmtId="44" fontId="8" fillId="7" borderId="22" xfId="0" applyNumberFormat="1" applyFont="1" applyFill="1" applyBorder="1" applyAlignment="1">
      <alignment horizontal="right"/>
    </xf>
    <xf numFmtId="44" fontId="8" fillId="23" borderId="22" xfId="0" applyNumberFormat="1" applyFont="1" applyFill="1" applyBorder="1" applyAlignment="1">
      <alignment horizontal="right"/>
    </xf>
    <xf numFmtId="0" fontId="8" fillId="7" borderId="24" xfId="0" applyFont="1" applyFill="1" applyBorder="1" applyAlignment="1">
      <alignment/>
    </xf>
    <xf numFmtId="0" fontId="8" fillId="7" borderId="25" xfId="0" applyFont="1" applyFill="1" applyBorder="1" applyAlignment="1">
      <alignment/>
    </xf>
    <xf numFmtId="44" fontId="8" fillId="7" borderId="25" xfId="0" applyNumberFormat="1" applyFont="1" applyFill="1" applyBorder="1" applyAlignment="1">
      <alignment horizontal="right"/>
    </xf>
    <xf numFmtId="0" fontId="1" fillId="7" borderId="26" xfId="0" applyFont="1" applyFill="1" applyBorder="1" applyAlignment="1">
      <alignment/>
    </xf>
    <xf numFmtId="0" fontId="30" fillId="7" borderId="22" xfId="0" applyFont="1" applyFill="1" applyBorder="1" applyAlignment="1">
      <alignment horizontal="center"/>
    </xf>
    <xf numFmtId="0" fontId="15" fillId="7" borderId="22" xfId="0" applyFont="1" applyFill="1" applyBorder="1" applyAlignment="1">
      <alignment horizontal="center"/>
    </xf>
    <xf numFmtId="0" fontId="14" fillId="7" borderId="23" xfId="0" applyFont="1" applyFill="1" applyBorder="1" applyAlignment="1">
      <alignment horizontal="center"/>
    </xf>
    <xf numFmtId="0" fontId="16" fillId="7" borderId="22" xfId="0" applyFont="1" applyFill="1" applyBorder="1" applyAlignment="1">
      <alignment/>
    </xf>
    <xf numFmtId="0" fontId="16" fillId="7" borderId="22" xfId="0" applyFont="1" applyFill="1" applyBorder="1" applyAlignment="1">
      <alignment horizontal="center"/>
    </xf>
    <xf numFmtId="0" fontId="1" fillId="7" borderId="23" xfId="0" applyFont="1" applyFill="1" applyBorder="1" applyAlignment="1">
      <alignment horizontal="center"/>
    </xf>
    <xf numFmtId="0" fontId="8" fillId="23" borderId="22" xfId="0" applyFont="1" applyFill="1" applyBorder="1" applyAlignment="1">
      <alignment horizontal="center"/>
    </xf>
    <xf numFmtId="175" fontId="8" fillId="23" borderId="22" xfId="0" applyNumberFormat="1" applyFont="1" applyFill="1" applyBorder="1" applyAlignment="1">
      <alignment horizontal="center"/>
    </xf>
    <xf numFmtId="1" fontId="8" fillId="25" borderId="22" xfId="0" applyNumberFormat="1" applyFont="1" applyFill="1" applyBorder="1" applyAlignment="1" applyProtection="1">
      <alignment horizontal="center"/>
      <protection locked="0"/>
    </xf>
    <xf numFmtId="10" fontId="8" fillId="7" borderId="22" xfId="0" applyNumberFormat="1" applyFont="1" applyFill="1" applyBorder="1" applyAlignment="1">
      <alignment horizontal="center"/>
    </xf>
    <xf numFmtId="10" fontId="8" fillId="23" borderId="22" xfId="0" applyNumberFormat="1" applyFont="1" applyFill="1" applyBorder="1" applyAlignment="1">
      <alignment horizontal="center"/>
    </xf>
    <xf numFmtId="0" fontId="16" fillId="7" borderId="22" xfId="0" applyFont="1" applyFill="1" applyBorder="1" applyAlignment="1">
      <alignment horizontal="center"/>
    </xf>
    <xf numFmtId="0" fontId="1" fillId="7" borderId="23" xfId="0" applyFont="1" applyFill="1" applyBorder="1" applyAlignment="1" applyProtection="1">
      <alignment horizontal="center"/>
      <protection/>
    </xf>
    <xf numFmtId="170" fontId="8" fillId="7" borderId="22" xfId="0" applyNumberFormat="1" applyFont="1" applyFill="1" applyBorder="1" applyAlignment="1">
      <alignment horizontal="center"/>
    </xf>
    <xf numFmtId="44" fontId="8" fillId="7" borderId="22" xfId="0" applyNumberFormat="1" applyFont="1" applyFill="1" applyBorder="1" applyAlignment="1" applyProtection="1">
      <alignment horizontal="center"/>
      <protection/>
    </xf>
    <xf numFmtId="0" fontId="43" fillId="7" borderId="23" xfId="0" applyFont="1" applyFill="1" applyBorder="1" applyAlignment="1" applyProtection="1">
      <alignment horizontal="center"/>
      <protection/>
    </xf>
    <xf numFmtId="44" fontId="8" fillId="23" borderId="22" xfId="0" applyNumberFormat="1" applyFont="1" applyFill="1" applyBorder="1" applyAlignment="1" applyProtection="1">
      <alignment horizontal="center"/>
      <protection/>
    </xf>
    <xf numFmtId="44" fontId="43" fillId="7" borderId="23" xfId="0" applyNumberFormat="1" applyFont="1" applyFill="1" applyBorder="1" applyAlignment="1" applyProtection="1">
      <alignment horizontal="center"/>
      <protection/>
    </xf>
    <xf numFmtId="44" fontId="43" fillId="7" borderId="23" xfId="0" applyNumberFormat="1" applyFont="1" applyFill="1" applyBorder="1" applyAlignment="1">
      <alignment horizontal="center"/>
    </xf>
    <xf numFmtId="0" fontId="43" fillId="7" borderId="23" xfId="0" applyFont="1" applyFill="1" applyBorder="1" applyAlignment="1">
      <alignment horizontal="center"/>
    </xf>
    <xf numFmtId="10" fontId="15" fillId="7" borderId="22" xfId="0" applyNumberFormat="1" applyFont="1" applyFill="1" applyBorder="1" applyAlignment="1">
      <alignment horizontal="center"/>
    </xf>
    <xf numFmtId="44" fontId="15" fillId="2" borderId="22" xfId="0" applyNumberFormat="1" applyFont="1" applyFill="1" applyBorder="1" applyAlignment="1">
      <alignment horizontal="center"/>
    </xf>
    <xf numFmtId="0" fontId="41" fillId="7" borderId="23" xfId="0" applyFont="1" applyFill="1" applyBorder="1" applyAlignment="1">
      <alignment horizontal="center"/>
    </xf>
    <xf numFmtId="0" fontId="18" fillId="7" borderId="22" xfId="0" applyFont="1" applyFill="1" applyBorder="1" applyAlignment="1">
      <alignment/>
    </xf>
    <xf numFmtId="0" fontId="18" fillId="7" borderId="22" xfId="0" applyFont="1" applyFill="1" applyBorder="1" applyAlignment="1">
      <alignment horizontal="center"/>
    </xf>
    <xf numFmtId="44" fontId="18" fillId="23" borderId="22" xfId="0" applyNumberFormat="1" applyFont="1" applyFill="1" applyBorder="1" applyAlignment="1">
      <alignment horizontal="center"/>
    </xf>
    <xf numFmtId="173" fontId="15" fillId="7" borderId="22" xfId="0" applyNumberFormat="1" applyFont="1" applyFill="1" applyBorder="1" applyAlignment="1" applyProtection="1">
      <alignment horizontal="center"/>
      <protection locked="0"/>
    </xf>
    <xf numFmtId="0" fontId="43" fillId="7" borderId="22" xfId="0" applyFont="1" applyFill="1" applyBorder="1" applyAlignment="1">
      <alignment/>
    </xf>
    <xf numFmtId="44" fontId="43" fillId="7" borderId="22" xfId="0" applyNumberFormat="1" applyFont="1" applyFill="1" applyBorder="1" applyAlignment="1">
      <alignment horizontal="center"/>
    </xf>
    <xf numFmtId="44" fontId="1" fillId="7" borderId="23" xfId="0" applyNumberFormat="1" applyFont="1" applyFill="1" applyBorder="1" applyAlignment="1">
      <alignment/>
    </xf>
    <xf numFmtId="44" fontId="31" fillId="7" borderId="25" xfId="0" applyNumberFormat="1" applyFont="1" applyFill="1" applyBorder="1" applyAlignment="1">
      <alignment horizontal="center"/>
    </xf>
    <xf numFmtId="44" fontId="1" fillId="7" borderId="26" xfId="0" applyNumberFormat="1" applyFont="1" applyFill="1" applyBorder="1" applyAlignment="1">
      <alignment/>
    </xf>
    <xf numFmtId="0" fontId="8" fillId="7" borderId="19" xfId="0" applyFont="1" applyFill="1" applyBorder="1" applyAlignment="1">
      <alignment horizontal="left"/>
    </xf>
    <xf numFmtId="44" fontId="8" fillId="7" borderId="19" xfId="0" applyNumberFormat="1" applyFont="1" applyFill="1" applyBorder="1" applyAlignment="1">
      <alignment horizontal="left"/>
    </xf>
    <xf numFmtId="44" fontId="1" fillId="7" borderId="20" xfId="0" applyNumberFormat="1" applyFont="1" applyFill="1" applyBorder="1" applyAlignment="1">
      <alignment horizontal="left"/>
    </xf>
    <xf numFmtId="165" fontId="8" fillId="25" borderId="22" xfId="0" applyNumberFormat="1" applyFont="1" applyFill="1" applyBorder="1" applyAlignment="1" applyProtection="1">
      <alignment horizontal="center"/>
      <protection locked="0"/>
    </xf>
    <xf numFmtId="44" fontId="1" fillId="7" borderId="23" xfId="0" applyNumberFormat="1" applyFont="1" applyFill="1" applyBorder="1" applyAlignment="1">
      <alignment horizontal="left"/>
    </xf>
    <xf numFmtId="6" fontId="8" fillId="7" borderId="22" xfId="0" applyNumberFormat="1" applyFont="1" applyFill="1" applyBorder="1" applyAlignment="1" applyProtection="1">
      <alignment horizontal="left"/>
      <protection locked="0"/>
    </xf>
    <xf numFmtId="6" fontId="8" fillId="25" borderId="22" xfId="0" applyNumberFormat="1" applyFont="1" applyFill="1" applyBorder="1" applyAlignment="1" applyProtection="1">
      <alignment horizontal="center"/>
      <protection locked="0"/>
    </xf>
    <xf numFmtId="44" fontId="8" fillId="7" borderId="22" xfId="0" applyNumberFormat="1" applyFont="1" applyFill="1" applyBorder="1" applyAlignment="1">
      <alignment horizontal="left"/>
    </xf>
    <xf numFmtId="0" fontId="8" fillId="7" borderId="25" xfId="0" applyFont="1" applyFill="1" applyBorder="1" applyAlignment="1">
      <alignment horizontal="left"/>
    </xf>
    <xf numFmtId="44" fontId="8" fillId="7" borderId="25" xfId="0" applyNumberFormat="1" applyFont="1" applyFill="1" applyBorder="1" applyAlignment="1">
      <alignment horizontal="left"/>
    </xf>
    <xf numFmtId="44" fontId="1" fillId="7" borderId="26" xfId="0" applyNumberFormat="1" applyFont="1" applyFill="1" applyBorder="1" applyAlignment="1">
      <alignment horizontal="left"/>
    </xf>
    <xf numFmtId="44" fontId="8" fillId="7" borderId="19" xfId="0" applyNumberFormat="1" applyFont="1" applyFill="1" applyBorder="1" applyAlignment="1">
      <alignment/>
    </xf>
    <xf numFmtId="0" fontId="15" fillId="7" borderId="21" xfId="0" applyFont="1" applyFill="1" applyBorder="1" applyAlignment="1">
      <alignment horizontal="right"/>
    </xf>
    <xf numFmtId="0" fontId="8" fillId="7" borderId="21" xfId="0" applyFont="1" applyFill="1" applyBorder="1" applyAlignment="1">
      <alignment horizontal="right"/>
    </xf>
    <xf numFmtId="44" fontId="8" fillId="7" borderId="22" xfId="0" applyNumberFormat="1" applyFont="1" applyFill="1" applyBorder="1" applyAlignment="1">
      <alignment/>
    </xf>
    <xf numFmtId="44" fontId="8" fillId="7" borderId="22" xfId="0" applyNumberFormat="1" applyFont="1" applyFill="1" applyBorder="1" applyAlignment="1" applyProtection="1">
      <alignment/>
      <protection locked="0"/>
    </xf>
    <xf numFmtId="3" fontId="8" fillId="7" borderId="22" xfId="0" applyNumberFormat="1" applyFont="1" applyFill="1" applyBorder="1" applyAlignment="1" applyProtection="1">
      <alignment/>
      <protection locked="0"/>
    </xf>
    <xf numFmtId="3" fontId="8" fillId="25" borderId="22" xfId="0" applyNumberFormat="1" applyFont="1" applyFill="1" applyBorder="1" applyAlignment="1" applyProtection="1">
      <alignment horizontal="center"/>
      <protection locked="0"/>
    </xf>
    <xf numFmtId="44" fontId="27" fillId="7" borderId="22" xfId="0" applyNumberFormat="1" applyFont="1" applyFill="1" applyBorder="1" applyAlignment="1">
      <alignment/>
    </xf>
    <xf numFmtId="0" fontId="32" fillId="7" borderId="22" xfId="0" applyFont="1" applyFill="1" applyBorder="1" applyAlignment="1">
      <alignment/>
    </xf>
    <xf numFmtId="173" fontId="8" fillId="7" borderId="22" xfId="0" applyNumberFormat="1" applyFont="1" applyFill="1" applyBorder="1" applyAlignment="1" applyProtection="1">
      <alignment/>
      <protection locked="0"/>
    </xf>
    <xf numFmtId="173" fontId="8" fillId="25" borderId="22" xfId="0" applyNumberFormat="1" applyFont="1" applyFill="1" applyBorder="1" applyAlignment="1" applyProtection="1">
      <alignment horizontal="center"/>
      <protection locked="0"/>
    </xf>
    <xf numFmtId="173" fontId="8" fillId="23" borderId="22" xfId="0" applyNumberFormat="1" applyFont="1" applyFill="1" applyBorder="1" applyAlignment="1" applyProtection="1">
      <alignment horizontal="center"/>
      <protection locked="0"/>
    </xf>
    <xf numFmtId="0" fontId="8" fillId="23" borderId="22" xfId="0" applyFont="1" applyFill="1" applyBorder="1" applyAlignment="1" applyProtection="1">
      <alignment horizontal="center"/>
      <protection locked="0"/>
    </xf>
    <xf numFmtId="3" fontId="8" fillId="7" borderId="22" xfId="0" applyNumberFormat="1" applyFont="1" applyFill="1" applyBorder="1" applyAlignment="1">
      <alignment/>
    </xf>
    <xf numFmtId="3" fontId="8" fillId="23" borderId="22" xfId="0" applyNumberFormat="1" applyFont="1" applyFill="1" applyBorder="1" applyAlignment="1">
      <alignment horizontal="center"/>
    </xf>
    <xf numFmtId="42" fontId="8" fillId="7" borderId="22" xfId="0" applyNumberFormat="1" applyFont="1" applyFill="1" applyBorder="1" applyAlignment="1" applyProtection="1">
      <alignment/>
      <protection locked="0"/>
    </xf>
    <xf numFmtId="42" fontId="8" fillId="23" borderId="22" xfId="0" applyNumberFormat="1" applyFont="1" applyFill="1" applyBorder="1" applyAlignment="1" applyProtection="1">
      <alignment horizontal="center"/>
      <protection locked="0"/>
    </xf>
    <xf numFmtId="42" fontId="15" fillId="7" borderId="22" xfId="0" applyNumberFormat="1" applyFont="1" applyFill="1" applyBorder="1" applyAlignment="1">
      <alignment/>
    </xf>
    <xf numFmtId="42" fontId="15" fillId="2" borderId="22" xfId="0" applyNumberFormat="1" applyFont="1" applyFill="1" applyBorder="1" applyAlignment="1">
      <alignment horizontal="center"/>
    </xf>
    <xf numFmtId="44" fontId="31" fillId="7" borderId="22" xfId="0" applyNumberFormat="1" applyFont="1" applyFill="1" applyBorder="1" applyAlignment="1">
      <alignment/>
    </xf>
    <xf numFmtId="0" fontId="36" fillId="7" borderId="22" xfId="0" applyFont="1" applyFill="1" applyBorder="1" applyAlignment="1">
      <alignment/>
    </xf>
    <xf numFmtId="44" fontId="8" fillId="7" borderId="25" xfId="0" applyNumberFormat="1" applyFont="1" applyFill="1" applyBorder="1" applyAlignment="1">
      <alignment/>
    </xf>
    <xf numFmtId="0" fontId="27" fillId="7" borderId="22" xfId="0" applyFont="1" applyFill="1" applyBorder="1" applyAlignment="1" applyProtection="1">
      <alignment horizontal="right"/>
      <protection/>
    </xf>
    <xf numFmtId="0" fontId="27" fillId="7" borderId="22" xfId="0" applyFont="1" applyFill="1" applyBorder="1" applyAlignment="1" applyProtection="1">
      <alignment horizontal="center"/>
      <protection/>
    </xf>
    <xf numFmtId="170" fontId="8" fillId="25" borderId="22" xfId="0" applyNumberFormat="1" applyFont="1" applyFill="1" applyBorder="1" applyAlignment="1" applyProtection="1">
      <alignment horizontal="center"/>
      <protection locked="0"/>
    </xf>
    <xf numFmtId="0" fontId="8" fillId="7" borderId="23" xfId="0" applyFont="1" applyFill="1" applyBorder="1" applyAlignment="1">
      <alignment/>
    </xf>
    <xf numFmtId="0" fontId="8" fillId="7" borderId="26" xfId="0" applyFont="1" applyFill="1" applyBorder="1" applyAlignment="1">
      <alignment/>
    </xf>
    <xf numFmtId="0" fontId="8" fillId="7" borderId="20" xfId="0" applyFont="1" applyFill="1" applyBorder="1" applyAlignment="1">
      <alignment/>
    </xf>
    <xf numFmtId="0" fontId="8" fillId="23" borderId="22" xfId="0" applyFont="1" applyFill="1" applyBorder="1" applyAlignment="1" applyProtection="1">
      <alignment horizontal="center"/>
      <protection/>
    </xf>
    <xf numFmtId="42" fontId="8" fillId="23" borderId="22" xfId="0" applyNumberFormat="1" applyFont="1" applyFill="1" applyBorder="1" applyAlignment="1" applyProtection="1">
      <alignment horizontal="center"/>
      <protection/>
    </xf>
    <xf numFmtId="42" fontId="8" fillId="7" borderId="22" xfId="0" applyNumberFormat="1" applyFont="1" applyFill="1" applyBorder="1" applyAlignment="1" applyProtection="1">
      <alignment horizontal="center"/>
      <protection/>
    </xf>
    <xf numFmtId="42" fontId="15" fillId="2" borderId="22" xfId="0" applyNumberFormat="1" applyFont="1" applyFill="1" applyBorder="1" applyAlignment="1" applyProtection="1">
      <alignment horizontal="center"/>
      <protection/>
    </xf>
    <xf numFmtId="0" fontId="15" fillId="7" borderId="22" xfId="0" applyFont="1" applyFill="1" applyBorder="1" applyAlignment="1" applyProtection="1">
      <alignment/>
      <protection locked="0"/>
    </xf>
    <xf numFmtId="3" fontId="8" fillId="25" borderId="22" xfId="0" applyNumberFormat="1" applyFont="1" applyFill="1" applyBorder="1" applyAlignment="1">
      <alignment horizontal="center"/>
    </xf>
    <xf numFmtId="10" fontId="8" fillId="25" borderId="22" xfId="0" applyNumberFormat="1" applyFont="1" applyFill="1" applyBorder="1" applyAlignment="1" applyProtection="1">
      <alignment horizontal="center"/>
      <protection locked="0"/>
    </xf>
    <xf numFmtId="44" fontId="8" fillId="7" borderId="23" xfId="0" applyNumberFormat="1" applyFont="1" applyFill="1" applyBorder="1" applyAlignment="1">
      <alignment/>
    </xf>
    <xf numFmtId="42" fontId="8" fillId="25" borderId="22" xfId="0" applyNumberFormat="1" applyFont="1" applyFill="1" applyBorder="1" applyAlignment="1" applyProtection="1">
      <alignment horizontal="center"/>
      <protection locked="0"/>
    </xf>
    <xf numFmtId="42" fontId="8" fillId="7" borderId="22" xfId="0" applyNumberFormat="1" applyFont="1" applyFill="1" applyBorder="1" applyAlignment="1" applyProtection="1">
      <alignment horizontal="center"/>
      <protection locked="0"/>
    </xf>
    <xf numFmtId="44" fontId="15" fillId="7" borderId="23" xfId="0" applyNumberFormat="1" applyFont="1" applyFill="1" applyBorder="1" applyAlignment="1">
      <alignment/>
    </xf>
    <xf numFmtId="0" fontId="15" fillId="7" borderId="25" xfId="0" applyFont="1" applyFill="1" applyBorder="1" applyAlignment="1">
      <alignment/>
    </xf>
    <xf numFmtId="44" fontId="8" fillId="7" borderId="26" xfId="0" applyNumberFormat="1" applyFont="1" applyFill="1" applyBorder="1" applyAlignment="1">
      <alignment/>
    </xf>
    <xf numFmtId="0" fontId="8" fillId="7" borderId="19" xfId="0" applyFont="1" applyFill="1" applyBorder="1" applyAlignment="1" applyProtection="1">
      <alignment horizontal="center"/>
      <protection locked="0"/>
    </xf>
    <xf numFmtId="0" fontId="8" fillId="7" borderId="19" xfId="0" applyFont="1" applyFill="1" applyBorder="1" applyAlignment="1" applyProtection="1">
      <alignment/>
      <protection locked="0"/>
    </xf>
    <xf numFmtId="0" fontId="8" fillId="25" borderId="22" xfId="0" applyNumberFormat="1" applyFont="1" applyFill="1" applyBorder="1" applyAlignment="1" applyProtection="1">
      <alignment horizontal="center"/>
      <protection locked="0"/>
    </xf>
    <xf numFmtId="44" fontId="8" fillId="23" borderId="22" xfId="0" applyNumberFormat="1" applyFont="1" applyFill="1" applyBorder="1" applyAlignment="1" applyProtection="1">
      <alignment horizontal="center"/>
      <protection locked="0"/>
    </xf>
    <xf numFmtId="0" fontId="27" fillId="7" borderId="22" xfId="0" applyFont="1" applyFill="1" applyBorder="1" applyAlignment="1">
      <alignment horizontal="right"/>
    </xf>
    <xf numFmtId="0" fontId="27" fillId="7" borderId="22" xfId="0" applyFont="1" applyFill="1" applyBorder="1" applyAlignment="1">
      <alignment horizontal="center"/>
    </xf>
    <xf numFmtId="0" fontId="8" fillId="7" borderId="25" xfId="0" applyFont="1" applyFill="1" applyBorder="1" applyAlignment="1" applyProtection="1">
      <alignment horizontal="center"/>
      <protection locked="0"/>
    </xf>
    <xf numFmtId="0" fontId="27" fillId="7" borderId="25" xfId="0" applyFont="1" applyFill="1" applyBorder="1" applyAlignment="1" applyProtection="1">
      <alignment horizontal="right"/>
      <protection/>
    </xf>
    <xf numFmtId="0" fontId="27" fillId="7" borderId="25" xfId="0" applyFont="1" applyFill="1" applyBorder="1" applyAlignment="1" applyProtection="1">
      <alignment horizontal="center"/>
      <protection/>
    </xf>
    <xf numFmtId="0" fontId="27" fillId="7" borderId="19" xfId="0" applyFont="1" applyFill="1" applyBorder="1" applyAlignment="1" applyProtection="1">
      <alignment horizontal="right"/>
      <protection/>
    </xf>
    <xf numFmtId="0" fontId="27" fillId="7" borderId="19" xfId="0" applyFont="1" applyFill="1" applyBorder="1" applyAlignment="1" applyProtection="1">
      <alignment horizontal="center"/>
      <protection/>
    </xf>
    <xf numFmtId="174" fontId="8" fillId="25" borderId="22" xfId="0" applyNumberFormat="1" applyFont="1" applyFill="1" applyBorder="1" applyAlignment="1" applyProtection="1">
      <alignment horizontal="center"/>
      <protection locked="0"/>
    </xf>
    <xf numFmtId="44" fontId="8" fillId="2" borderId="22" xfId="0" applyNumberFormat="1" applyFont="1" applyFill="1" applyBorder="1" applyAlignment="1" applyProtection="1">
      <alignment horizontal="center"/>
      <protection/>
    </xf>
    <xf numFmtId="42" fontId="15" fillId="7" borderId="22" xfId="0" applyNumberFormat="1" applyFont="1" applyFill="1" applyBorder="1" applyAlignment="1" applyProtection="1">
      <alignment horizontal="center"/>
      <protection/>
    </xf>
    <xf numFmtId="44" fontId="8" fillId="7" borderId="23" xfId="0" applyNumberFormat="1" applyFont="1" applyFill="1" applyBorder="1" applyAlignment="1" applyProtection="1">
      <alignment/>
      <protection/>
    </xf>
    <xf numFmtId="44" fontId="15" fillId="7" borderId="23" xfId="0" applyNumberFormat="1" applyFont="1" applyFill="1" applyBorder="1" applyAlignment="1" applyProtection="1">
      <alignment/>
      <protection/>
    </xf>
    <xf numFmtId="44" fontId="8" fillId="7" borderId="26" xfId="0" applyNumberFormat="1" applyFont="1" applyFill="1" applyBorder="1" applyAlignment="1" applyProtection="1">
      <alignment/>
      <protection/>
    </xf>
    <xf numFmtId="44" fontId="8" fillId="23" borderId="22" xfId="59" applyNumberFormat="1" applyFont="1" applyFill="1" applyBorder="1" applyAlignment="1" applyProtection="1">
      <alignment horizontal="center"/>
      <protection/>
    </xf>
    <xf numFmtId="0" fontId="9" fillId="22" borderId="0" xfId="0" applyNumberFormat="1" applyFont="1" applyFill="1" applyBorder="1" applyAlignment="1" applyProtection="1">
      <alignment horizontal="left"/>
      <protection locked="0"/>
    </xf>
    <xf numFmtId="0" fontId="34" fillId="25" borderId="0" xfId="0" applyFont="1" applyFill="1" applyBorder="1" applyAlignment="1">
      <alignment horizontal="left"/>
    </xf>
    <xf numFmtId="14" fontId="8" fillId="7" borderId="0" xfId="0" applyNumberFormat="1" applyFont="1" applyFill="1" applyAlignment="1" applyProtection="1">
      <alignment horizontal="right"/>
      <protection/>
    </xf>
    <xf numFmtId="0" fontId="8" fillId="7" borderId="0" xfId="0" applyFont="1" applyFill="1" applyAlignment="1" applyProtection="1">
      <alignment horizontal="right"/>
      <protection/>
    </xf>
    <xf numFmtId="0" fontId="35" fillId="2" borderId="0" xfId="0" applyFont="1" applyFill="1" applyBorder="1" applyAlignment="1" applyProtection="1">
      <alignment/>
      <protection/>
    </xf>
    <xf numFmtId="0" fontId="33" fillId="2" borderId="0" xfId="0" applyFont="1" applyFill="1" applyBorder="1" applyAlignment="1" applyProtection="1">
      <alignment/>
      <protection/>
    </xf>
    <xf numFmtId="0" fontId="8" fillId="2" borderId="0" xfId="0" applyFont="1" applyFill="1" applyBorder="1" applyAlignment="1">
      <alignment/>
    </xf>
    <xf numFmtId="44" fontId="8" fillId="2" borderId="0" xfId="0" applyNumberFormat="1" applyFont="1" applyFill="1" applyBorder="1" applyAlignment="1" applyProtection="1">
      <alignment/>
      <protection/>
    </xf>
    <xf numFmtId="44" fontId="15" fillId="2" borderId="0" xfId="0" applyNumberFormat="1" applyFont="1" applyFill="1" applyBorder="1" applyAlignment="1" applyProtection="1">
      <alignment/>
      <protection/>
    </xf>
    <xf numFmtId="0" fontId="9" fillId="25" borderId="0" xfId="0" applyFont="1" applyFill="1" applyBorder="1" applyAlignment="1">
      <alignment/>
    </xf>
    <xf numFmtId="0" fontId="38" fillId="25" borderId="0" xfId="0" applyFont="1" applyFill="1" applyBorder="1" applyAlignment="1">
      <alignment/>
    </xf>
    <xf numFmtId="0" fontId="2" fillId="25" borderId="0" xfId="48" applyFill="1" applyBorder="1" applyAlignment="1" applyProtection="1">
      <alignment/>
      <protection/>
    </xf>
    <xf numFmtId="0" fontId="40" fillId="25" borderId="0" xfId="0" applyFont="1" applyFill="1" applyBorder="1" applyAlignment="1">
      <alignment horizontal="center"/>
    </xf>
    <xf numFmtId="0" fontId="9" fillId="22" borderId="0" xfId="0" applyFont="1" applyFill="1" applyBorder="1" applyAlignment="1">
      <alignment horizontal="left"/>
    </xf>
    <xf numFmtId="0" fontId="34" fillId="25" borderId="0" xfId="0" applyFont="1" applyFill="1" applyBorder="1" applyAlignment="1">
      <alignment horizontal="center"/>
    </xf>
    <xf numFmtId="0" fontId="0" fillId="7" borderId="0" xfId="0" applyFill="1" applyAlignment="1">
      <alignment/>
    </xf>
    <xf numFmtId="0" fontId="8" fillId="7" borderId="0" xfId="0" applyFont="1" applyFill="1" applyAlignment="1" applyProtection="1">
      <alignment horizontal="left"/>
      <protection/>
    </xf>
    <xf numFmtId="0" fontId="45" fillId="2" borderId="27" xfId="0" applyFont="1" applyFill="1" applyBorder="1" applyAlignment="1" applyProtection="1">
      <alignment/>
      <protection/>
    </xf>
    <xf numFmtId="0" fontId="46" fillId="2" borderId="28" xfId="0" applyFont="1" applyFill="1" applyBorder="1" applyAlignment="1" applyProtection="1">
      <alignment/>
      <protection/>
    </xf>
    <xf numFmtId="0" fontId="46" fillId="2" borderId="29" xfId="0" applyFont="1" applyFill="1" applyBorder="1" applyAlignment="1" applyProtection="1">
      <alignment/>
      <protection/>
    </xf>
    <xf numFmtId="0" fontId="46" fillId="2" borderId="30" xfId="0" applyFont="1" applyFill="1" applyBorder="1" applyAlignment="1" applyProtection="1">
      <alignment/>
      <protection/>
    </xf>
    <xf numFmtId="0" fontId="46" fillId="2" borderId="0" xfId="0" applyFont="1" applyFill="1" applyBorder="1" applyAlignment="1" applyProtection="1">
      <alignment/>
      <protection/>
    </xf>
    <xf numFmtId="0" fontId="46" fillId="2" borderId="31" xfId="0" applyFont="1" applyFill="1" applyBorder="1" applyAlignment="1" applyProtection="1">
      <alignment/>
      <protection/>
    </xf>
    <xf numFmtId="42" fontId="46" fillId="2" borderId="0" xfId="0" applyNumberFormat="1" applyFont="1" applyFill="1" applyBorder="1" applyAlignment="1" applyProtection="1">
      <alignment/>
      <protection/>
    </xf>
    <xf numFmtId="0" fontId="46" fillId="2" borderId="32" xfId="0" applyFont="1" applyFill="1" applyBorder="1" applyAlignment="1" applyProtection="1">
      <alignment/>
      <protection/>
    </xf>
    <xf numFmtId="0" fontId="46" fillId="2" borderId="33" xfId="0" applyFont="1" applyFill="1" applyBorder="1" applyAlignment="1" applyProtection="1">
      <alignment/>
      <protection/>
    </xf>
    <xf numFmtId="42" fontId="46" fillId="2" borderId="33" xfId="0" applyNumberFormat="1" applyFont="1" applyFill="1" applyBorder="1" applyAlignment="1" applyProtection="1">
      <alignment/>
      <protection/>
    </xf>
    <xf numFmtId="0" fontId="46" fillId="2" borderId="34" xfId="0" applyFont="1" applyFill="1" applyBorder="1" applyAlignment="1" applyProtection="1">
      <alignment/>
      <protection/>
    </xf>
    <xf numFmtId="0" fontId="44" fillId="2" borderId="0" xfId="0" applyFont="1" applyFill="1" applyAlignment="1" applyProtection="1">
      <alignment horizontal="left"/>
      <protection/>
    </xf>
    <xf numFmtId="166" fontId="8" fillId="23" borderId="22" xfId="0" applyNumberFormat="1" applyFont="1" applyFill="1" applyBorder="1" applyAlignment="1" applyProtection="1">
      <alignment horizontal="center"/>
      <protection/>
    </xf>
    <xf numFmtId="166" fontId="8" fillId="23" borderId="22" xfId="0" applyNumberFormat="1" applyFont="1" applyFill="1" applyBorder="1" applyAlignment="1" applyProtection="1">
      <alignment horizontal="center"/>
      <protection locked="0"/>
    </xf>
    <xf numFmtId="173" fontId="18" fillId="0" borderId="22" xfId="0" applyNumberFormat="1" applyFont="1" applyFill="1" applyBorder="1" applyAlignment="1" applyProtection="1">
      <alignment horizontal="center"/>
      <protection locked="0"/>
    </xf>
    <xf numFmtId="14" fontId="8" fillId="25" borderId="22" xfId="0" applyNumberFormat="1" applyFont="1" applyFill="1" applyBorder="1" applyAlignment="1" applyProtection="1">
      <alignment horizontal="center"/>
      <protection locked="0"/>
    </xf>
    <xf numFmtId="14" fontId="8" fillId="25" borderId="0" xfId="0" applyNumberFormat="1" applyFont="1" applyFill="1" applyBorder="1" applyAlignment="1" applyProtection="1">
      <alignment/>
      <protection/>
    </xf>
    <xf numFmtId="1" fontId="44" fillId="7" borderId="22" xfId="0" applyNumberFormat="1" applyFont="1" applyFill="1" applyBorder="1" applyAlignment="1" applyProtection="1">
      <alignment horizontal="center"/>
      <protection/>
    </xf>
    <xf numFmtId="14" fontId="8" fillId="25" borderId="0" xfId="0" applyNumberFormat="1" applyFont="1" applyFill="1" applyBorder="1" applyAlignment="1">
      <alignment/>
    </xf>
    <xf numFmtId="1" fontId="21" fillId="7" borderId="22" xfId="0" applyNumberFormat="1" applyFont="1" applyFill="1" applyBorder="1" applyAlignment="1" applyProtection="1">
      <alignment/>
      <protection/>
    </xf>
    <xf numFmtId="14" fontId="12" fillId="25" borderId="0" xfId="0" applyNumberFormat="1" applyFont="1" applyFill="1" applyBorder="1" applyAlignment="1" applyProtection="1">
      <alignment/>
      <protection/>
    </xf>
    <xf numFmtId="0" fontId="47" fillId="0" borderId="0" xfId="0" applyFont="1" applyFill="1" applyAlignment="1" applyProtection="1">
      <alignment/>
      <protection/>
    </xf>
    <xf numFmtId="0" fontId="48" fillId="0" borderId="0" xfId="0" applyFont="1" applyFill="1" applyAlignment="1" applyProtection="1">
      <alignment horizontal="left"/>
      <protection/>
    </xf>
    <xf numFmtId="0" fontId="47" fillId="0" borderId="0" xfId="0" applyFont="1" applyAlignment="1" applyProtection="1">
      <alignment/>
      <protection/>
    </xf>
    <xf numFmtId="0" fontId="0" fillId="0" borderId="0" xfId="0" applyAlignment="1" applyProtection="1">
      <alignment/>
      <protection/>
    </xf>
    <xf numFmtId="164" fontId="47" fillId="0" borderId="0" xfId="50" applyFont="1" applyAlignment="1" applyProtection="1">
      <alignment/>
      <protection/>
    </xf>
    <xf numFmtId="14" fontId="47" fillId="0" borderId="0" xfId="0" applyNumberFormat="1" applyFont="1" applyFill="1" applyAlignment="1" applyProtection="1">
      <alignment/>
      <protection/>
    </xf>
    <xf numFmtId="10" fontId="47" fillId="0" borderId="0" xfId="0" applyNumberFormat="1" applyFont="1" applyAlignment="1" applyProtection="1">
      <alignment/>
      <protection/>
    </xf>
    <xf numFmtId="0" fontId="52" fillId="0" borderId="0" xfId="0" applyFont="1" applyFill="1" applyAlignment="1" applyProtection="1">
      <alignment/>
      <protection/>
    </xf>
    <xf numFmtId="0" fontId="50" fillId="0" borderId="0" xfId="0" applyFont="1" applyFill="1" applyAlignment="1" applyProtection="1">
      <alignment/>
      <protection/>
    </xf>
    <xf numFmtId="173" fontId="47" fillId="0" borderId="0" xfId="0" applyNumberFormat="1" applyFont="1" applyAlignment="1" applyProtection="1">
      <alignment/>
      <protection/>
    </xf>
    <xf numFmtId="167" fontId="47" fillId="0" borderId="0" xfId="0" applyNumberFormat="1" applyFont="1" applyAlignment="1" applyProtection="1">
      <alignment/>
      <protection/>
    </xf>
    <xf numFmtId="0" fontId="50" fillId="0" borderId="0" xfId="0" applyFont="1" applyAlignment="1" applyProtection="1">
      <alignment horizontal="center"/>
      <protection/>
    </xf>
    <xf numFmtId="0" fontId="47" fillId="0" borderId="0" xfId="0" applyFont="1" applyAlignment="1" applyProtection="1">
      <alignment horizontal="left"/>
      <protection/>
    </xf>
    <xf numFmtId="14" fontId="47" fillId="0" borderId="0" xfId="0" applyNumberFormat="1" applyFont="1" applyAlignment="1" applyProtection="1">
      <alignment horizontal="right"/>
      <protection/>
    </xf>
    <xf numFmtId="0" fontId="50" fillId="0" borderId="0" xfId="0" applyFont="1" applyAlignment="1" applyProtection="1" quotePrefix="1">
      <alignment horizontal="center"/>
      <protection/>
    </xf>
    <xf numFmtId="0" fontId="50" fillId="0" borderId="0" xfId="0" applyFont="1" applyFill="1" applyAlignment="1" applyProtection="1">
      <alignment horizontal="center"/>
      <protection/>
    </xf>
    <xf numFmtId="10" fontId="49" fillId="10" borderId="0" xfId="56" applyNumberFormat="1" applyFont="1" applyFill="1" applyAlignment="1" applyProtection="1">
      <alignment/>
      <protection/>
    </xf>
    <xf numFmtId="10" fontId="49" fillId="10" borderId="0" xfId="0" applyNumberFormat="1" applyFont="1" applyFill="1" applyAlignment="1" applyProtection="1">
      <alignment/>
      <protection/>
    </xf>
    <xf numFmtId="0" fontId="51" fillId="0" borderId="0" xfId="0" applyFont="1" applyFill="1" applyAlignment="1" applyProtection="1">
      <alignment horizontal="center"/>
      <protection/>
    </xf>
    <xf numFmtId="0" fontId="52" fillId="0" borderId="0" xfId="0" applyFont="1" applyAlignment="1" applyProtection="1">
      <alignment horizontal="left"/>
      <protection/>
    </xf>
    <xf numFmtId="14" fontId="52" fillId="0" borderId="0" xfId="0" applyNumberFormat="1" applyFont="1" applyAlignment="1" applyProtection="1">
      <alignment horizontal="right"/>
      <protection/>
    </xf>
    <xf numFmtId="44" fontId="47" fillId="0" borderId="0" xfId="59" applyNumberFormat="1" applyFont="1" applyAlignment="1" applyProtection="1">
      <alignment/>
      <protection/>
    </xf>
    <xf numFmtId="43" fontId="47" fillId="0" borderId="0" xfId="50" applyNumberFormat="1" applyFont="1" applyFill="1" applyAlignment="1" applyProtection="1">
      <alignment/>
      <protection/>
    </xf>
    <xf numFmtId="14" fontId="50" fillId="0" borderId="0" xfId="0" applyNumberFormat="1" applyFont="1" applyFill="1" applyAlignment="1" applyProtection="1">
      <alignment horizontal="center"/>
      <protection/>
    </xf>
    <xf numFmtId="14" fontId="47" fillId="0" borderId="0" xfId="0" applyNumberFormat="1" applyFont="1" applyAlignment="1" applyProtection="1">
      <alignment horizontal="center"/>
      <protection/>
    </xf>
    <xf numFmtId="14" fontId="50" fillId="0" borderId="0" xfId="0" applyNumberFormat="1" applyFont="1" applyAlignment="1" applyProtection="1">
      <alignment horizontal="center"/>
      <protection/>
    </xf>
    <xf numFmtId="164" fontId="47" fillId="0" borderId="0" xfId="50" applyFont="1" applyFill="1" applyAlignment="1" applyProtection="1">
      <alignment/>
      <protection/>
    </xf>
    <xf numFmtId="178" fontId="47" fillId="0" borderId="0" xfId="50" applyNumberFormat="1" applyFont="1" applyFill="1" applyAlignment="1" applyProtection="1">
      <alignment/>
      <protection/>
    </xf>
    <xf numFmtId="10" fontId="47" fillId="0" borderId="0" xfId="0" applyNumberFormat="1" applyFont="1" applyFill="1" applyAlignment="1" applyProtection="1">
      <alignment/>
      <protection/>
    </xf>
    <xf numFmtId="42" fontId="8" fillId="7" borderId="0" xfId="59" applyNumberFormat="1" applyFont="1" applyFill="1" applyBorder="1" applyAlignment="1" applyProtection="1">
      <alignment horizontal="left"/>
      <protection/>
    </xf>
    <xf numFmtId="44" fontId="8" fillId="7" borderId="0" xfId="0" applyNumberFormat="1" applyFont="1" applyFill="1" applyBorder="1" applyAlignment="1" applyProtection="1">
      <alignment/>
      <protection/>
    </xf>
    <xf numFmtId="4" fontId="8" fillId="7" borderId="0" xfId="0" applyNumberFormat="1" applyFont="1" applyFill="1" applyBorder="1" applyAlignment="1" applyProtection="1">
      <alignment/>
      <protection/>
    </xf>
    <xf numFmtId="0" fontId="10" fillId="25" borderId="0" xfId="0" applyFont="1" applyFill="1" applyBorder="1" applyAlignment="1">
      <alignment/>
    </xf>
    <xf numFmtId="0" fontId="10" fillId="2" borderId="0" xfId="0" applyFont="1" applyFill="1" applyAlignment="1">
      <alignment horizontal="right"/>
    </xf>
    <xf numFmtId="0" fontId="10" fillId="25" borderId="0" xfId="0" applyFont="1" applyFill="1" applyBorder="1" applyAlignment="1">
      <alignment horizontal="right"/>
    </xf>
    <xf numFmtId="0" fontId="9" fillId="2" borderId="0" xfId="0" applyFont="1" applyFill="1" applyAlignment="1">
      <alignment/>
    </xf>
    <xf numFmtId="0" fontId="53" fillId="25" borderId="0" xfId="0" applyFont="1" applyFill="1" applyBorder="1" applyAlignment="1">
      <alignment/>
    </xf>
    <xf numFmtId="0" fontId="8" fillId="0" borderId="0" xfId="0" applyFont="1" applyFill="1" applyBorder="1" applyAlignment="1" applyProtection="1">
      <alignment horizontal="center"/>
      <protection/>
    </xf>
    <xf numFmtId="173" fontId="40" fillId="7" borderId="23" xfId="56" applyNumberFormat="1" applyFont="1" applyFill="1" applyBorder="1" applyAlignment="1" applyProtection="1">
      <alignment horizontal="center"/>
      <protection/>
    </xf>
    <xf numFmtId="173" fontId="40" fillId="7" borderId="21" xfId="56" applyNumberFormat="1" applyFont="1" applyFill="1" applyBorder="1" applyAlignment="1" applyProtection="1">
      <alignment horizontal="center"/>
      <protection/>
    </xf>
    <xf numFmtId="44" fontId="15" fillId="7" borderId="22" xfId="0" applyNumberFormat="1" applyFont="1" applyFill="1" applyBorder="1" applyAlignment="1" applyProtection="1">
      <alignment/>
      <protection locked="0"/>
    </xf>
    <xf numFmtId="0" fontId="15" fillId="7" borderId="22" xfId="0" applyFont="1" applyFill="1" applyBorder="1" applyAlignment="1" applyProtection="1">
      <alignment/>
      <protection locked="0"/>
    </xf>
    <xf numFmtId="0" fontId="8" fillId="25" borderId="0" xfId="0" applyFont="1" applyFill="1" applyBorder="1" applyAlignment="1" applyProtection="1">
      <alignment horizontal="left"/>
      <protection locked="0"/>
    </xf>
    <xf numFmtId="0" fontId="8" fillId="25" borderId="22" xfId="0" applyFont="1" applyFill="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Comma" xfId="50"/>
    <cellStyle name="Comma [0]" xfId="51"/>
    <cellStyle name="Linked Cell" xfId="52"/>
    <cellStyle name="Neutral" xfId="53"/>
    <cellStyle name="Note" xfId="54"/>
    <cellStyle name="Output" xfId="55"/>
    <cellStyle name="Percent" xfId="56"/>
    <cellStyle name="Title" xfId="57"/>
    <cellStyle name="Total" xfId="58"/>
    <cellStyle name="Currency" xfId="59"/>
    <cellStyle name="Currency [0]"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2</xdr:row>
      <xdr:rowOff>85725</xdr:rowOff>
    </xdr:from>
    <xdr:to>
      <xdr:col>14</xdr:col>
      <xdr:colOff>114300</xdr:colOff>
      <xdr:row>4</xdr:row>
      <xdr:rowOff>9525</xdr:rowOff>
    </xdr:to>
    <xdr:pic>
      <xdr:nvPicPr>
        <xdr:cNvPr id="1" name="Picture 2"/>
        <xdr:cNvPicPr preferRelativeResize="1">
          <a:picLocks noChangeAspect="1"/>
        </xdr:cNvPicPr>
      </xdr:nvPicPr>
      <xdr:blipFill>
        <a:blip r:embed="rId1"/>
        <a:stretch>
          <a:fillRect/>
        </a:stretch>
      </xdr:blipFill>
      <xdr:spPr>
        <a:xfrm>
          <a:off x="7191375" y="409575"/>
          <a:ext cx="10382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800100</xdr:colOff>
      <xdr:row>2</xdr:row>
      <xdr:rowOff>123825</xdr:rowOff>
    </xdr:from>
    <xdr:to>
      <xdr:col>13</xdr:col>
      <xdr:colOff>142875</xdr:colOff>
      <xdr:row>4</xdr:row>
      <xdr:rowOff>0</xdr:rowOff>
    </xdr:to>
    <xdr:pic>
      <xdr:nvPicPr>
        <xdr:cNvPr id="1" name="Picture 2"/>
        <xdr:cNvPicPr preferRelativeResize="1">
          <a:picLocks noChangeAspect="1"/>
        </xdr:cNvPicPr>
      </xdr:nvPicPr>
      <xdr:blipFill>
        <a:blip r:embed="rId1"/>
        <a:stretch>
          <a:fillRect/>
        </a:stretch>
      </xdr:blipFill>
      <xdr:spPr>
        <a:xfrm>
          <a:off x="7715250" y="466725"/>
          <a:ext cx="1038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1</xdr:row>
      <xdr:rowOff>152400</xdr:rowOff>
    </xdr:from>
    <xdr:to>
      <xdr:col>10</xdr:col>
      <xdr:colOff>152400</xdr:colOff>
      <xdr:row>3</xdr:row>
      <xdr:rowOff>133350</xdr:rowOff>
    </xdr:to>
    <xdr:pic>
      <xdr:nvPicPr>
        <xdr:cNvPr id="1" name="Picture 2"/>
        <xdr:cNvPicPr preferRelativeResize="1">
          <a:picLocks noChangeAspect="1"/>
        </xdr:cNvPicPr>
      </xdr:nvPicPr>
      <xdr:blipFill>
        <a:blip r:embed="rId1"/>
        <a:stretch>
          <a:fillRect/>
        </a:stretch>
      </xdr:blipFill>
      <xdr:spPr>
        <a:xfrm>
          <a:off x="7381875" y="323850"/>
          <a:ext cx="10382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xdr:row>
      <xdr:rowOff>114300</xdr:rowOff>
    </xdr:from>
    <xdr:to>
      <xdr:col>8</xdr:col>
      <xdr:colOff>161925</xdr:colOff>
      <xdr:row>4</xdr:row>
      <xdr:rowOff>38100</xdr:rowOff>
    </xdr:to>
    <xdr:pic>
      <xdr:nvPicPr>
        <xdr:cNvPr id="1" name="Picture 2"/>
        <xdr:cNvPicPr preferRelativeResize="1">
          <a:picLocks noChangeAspect="1"/>
        </xdr:cNvPicPr>
      </xdr:nvPicPr>
      <xdr:blipFill>
        <a:blip r:embed="rId1"/>
        <a:stretch>
          <a:fillRect/>
        </a:stretch>
      </xdr:blipFill>
      <xdr:spPr>
        <a:xfrm>
          <a:off x="5905500" y="457200"/>
          <a:ext cx="10382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xdr:row>
      <xdr:rowOff>0</xdr:rowOff>
    </xdr:from>
    <xdr:to>
      <xdr:col>8</xdr:col>
      <xdr:colOff>152400</xdr:colOff>
      <xdr:row>3</xdr:row>
      <xdr:rowOff>152400</xdr:rowOff>
    </xdr:to>
    <xdr:pic>
      <xdr:nvPicPr>
        <xdr:cNvPr id="1" name="Picture 2"/>
        <xdr:cNvPicPr preferRelativeResize="1">
          <a:picLocks noChangeAspect="1"/>
        </xdr:cNvPicPr>
      </xdr:nvPicPr>
      <xdr:blipFill>
        <a:blip r:embed="rId1"/>
        <a:stretch>
          <a:fillRect/>
        </a:stretch>
      </xdr:blipFill>
      <xdr:spPr>
        <a:xfrm>
          <a:off x="5895975" y="342900"/>
          <a:ext cx="103822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361950</xdr:colOff>
      <xdr:row>1</xdr:row>
      <xdr:rowOff>38100</xdr:rowOff>
    </xdr:from>
    <xdr:to>
      <xdr:col>13</xdr:col>
      <xdr:colOff>685800</xdr:colOff>
      <xdr:row>3</xdr:row>
      <xdr:rowOff>38100</xdr:rowOff>
    </xdr:to>
    <xdr:pic>
      <xdr:nvPicPr>
        <xdr:cNvPr id="1" name="Picture 2"/>
        <xdr:cNvPicPr preferRelativeResize="1">
          <a:picLocks noChangeAspect="1"/>
        </xdr:cNvPicPr>
      </xdr:nvPicPr>
      <xdr:blipFill>
        <a:blip r:embed="rId1"/>
        <a:stretch>
          <a:fillRect/>
        </a:stretch>
      </xdr:blipFill>
      <xdr:spPr>
        <a:xfrm>
          <a:off x="10277475" y="200025"/>
          <a:ext cx="10382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goedhart@poraad.nl" TargetMode="External" /><Relationship Id="rId2" Type="http://schemas.openxmlformats.org/officeDocument/2006/relationships/hyperlink" Target="http://www.poraad.nl/index.php?p=363178" TargetMode="External" /><Relationship Id="rId3" Type="http://schemas.openxmlformats.org/officeDocument/2006/relationships/hyperlink" Target="http://www.poraad.nl/index.php?p=19641&amp;nieuws_id=496146" TargetMode="External" /><Relationship Id="rId4" Type="http://schemas.openxmlformats.org/officeDocument/2006/relationships/hyperlink" Target="mailto:be.keizer@wxs.n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165"/>
  <sheetViews>
    <sheetView zoomScale="85" zoomScaleNormal="85" zoomScalePageLayoutView="0" workbookViewId="0" topLeftCell="A1">
      <selection activeCell="B2" sqref="B2"/>
    </sheetView>
  </sheetViews>
  <sheetFormatPr defaultColWidth="9.140625" defaultRowHeight="12.75"/>
  <cols>
    <col min="1" max="1" width="3.7109375" style="122" customWidth="1"/>
    <col min="2" max="3" width="2.7109375" style="122" customWidth="1"/>
    <col min="4" max="5" width="9.140625" style="122" customWidth="1"/>
    <col min="6" max="7" width="14.8515625" style="122" customWidth="1"/>
    <col min="8" max="12" width="9.140625" style="122" customWidth="1"/>
    <col min="13" max="13" width="9.7109375" style="122" customWidth="1"/>
    <col min="14" max="14" width="9.140625" style="122" customWidth="1"/>
    <col min="15" max="16" width="2.7109375" style="122" customWidth="1"/>
    <col min="17" max="16384" width="9.140625" style="122" customWidth="1"/>
  </cols>
  <sheetData>
    <row r="2" spans="2:16" ht="12.75">
      <c r="B2" s="125"/>
      <c r="C2" s="125"/>
      <c r="D2" s="125"/>
      <c r="E2" s="125"/>
      <c r="F2" s="125"/>
      <c r="G2" s="125"/>
      <c r="H2" s="125"/>
      <c r="I2" s="125"/>
      <c r="J2" s="125"/>
      <c r="K2" s="125"/>
      <c r="L2" s="125"/>
      <c r="M2" s="125"/>
      <c r="N2" s="125"/>
      <c r="O2" s="125"/>
      <c r="P2" s="125"/>
    </row>
    <row r="3" spans="2:16" ht="12.75">
      <c r="B3" s="126"/>
      <c r="C3" s="126"/>
      <c r="D3" s="126"/>
      <c r="E3" s="126"/>
      <c r="F3" s="126"/>
      <c r="G3" s="126"/>
      <c r="H3" s="126"/>
      <c r="I3" s="126"/>
      <c r="J3" s="126"/>
      <c r="K3" s="126"/>
      <c r="L3" s="126"/>
      <c r="M3" s="126"/>
      <c r="N3" s="126"/>
      <c r="O3" s="126"/>
      <c r="P3" s="126"/>
    </row>
    <row r="4" spans="2:16" s="124" customFormat="1" ht="18.75">
      <c r="B4" s="127"/>
      <c r="C4" s="113" t="s">
        <v>33</v>
      </c>
      <c r="D4" s="127"/>
      <c r="E4" s="127"/>
      <c r="F4" s="127"/>
      <c r="G4" s="127"/>
      <c r="H4" s="127"/>
      <c r="I4" s="442">
        <f>+tabellen!B2</f>
        <v>2010</v>
      </c>
      <c r="J4" s="127"/>
      <c r="K4" s="127"/>
      <c r="L4" s="127"/>
      <c r="M4" s="128"/>
      <c r="N4" s="127"/>
      <c r="O4" s="127"/>
      <c r="P4" s="127"/>
    </row>
    <row r="5" spans="2:16" ht="12.75">
      <c r="B5" s="126"/>
      <c r="C5" s="126"/>
      <c r="D5" s="129"/>
      <c r="E5" s="126"/>
      <c r="F5" s="126"/>
      <c r="G5" s="126"/>
      <c r="H5" s="126"/>
      <c r="I5" s="126"/>
      <c r="J5" s="126"/>
      <c r="K5" s="126"/>
      <c r="L5" s="126"/>
      <c r="M5" s="130"/>
      <c r="N5" s="129"/>
      <c r="O5" s="131"/>
      <c r="P5" s="126"/>
    </row>
    <row r="6" spans="2:16" ht="12.75">
      <c r="B6" s="126"/>
      <c r="C6" s="126"/>
      <c r="D6" s="129"/>
      <c r="E6" s="126"/>
      <c r="F6" s="126"/>
      <c r="G6" s="126"/>
      <c r="H6" s="126"/>
      <c r="I6" s="126"/>
      <c r="J6" s="126"/>
      <c r="K6" s="126"/>
      <c r="L6" s="126"/>
      <c r="M6" s="130"/>
      <c r="N6" s="129"/>
      <c r="O6" s="131"/>
      <c r="P6" s="126"/>
    </row>
    <row r="7" spans="2:16" ht="12.75">
      <c r="B7" s="126"/>
      <c r="C7" s="126"/>
      <c r="D7" s="129"/>
      <c r="E7" s="126"/>
      <c r="F7" s="126"/>
      <c r="G7" s="126"/>
      <c r="H7" s="126"/>
      <c r="I7" s="126"/>
      <c r="J7" s="126"/>
      <c r="K7" s="126"/>
      <c r="L7" s="126"/>
      <c r="M7" s="130"/>
      <c r="N7" s="129"/>
      <c r="O7" s="131"/>
      <c r="P7" s="126"/>
    </row>
    <row r="8" spans="2:16" ht="12.75">
      <c r="B8" s="126"/>
      <c r="C8" s="126"/>
      <c r="D8" s="126" t="s">
        <v>36</v>
      </c>
      <c r="E8" s="126"/>
      <c r="F8" s="126"/>
      <c r="G8" s="126"/>
      <c r="H8" s="126"/>
      <c r="I8" s="155" t="s">
        <v>274</v>
      </c>
      <c r="J8" s="126"/>
      <c r="K8" s="126"/>
      <c r="L8" s="126"/>
      <c r="M8" s="126"/>
      <c r="N8" s="126"/>
      <c r="O8" s="131"/>
      <c r="P8" s="126"/>
    </row>
    <row r="9" spans="2:16" ht="12.75">
      <c r="B9" s="126"/>
      <c r="C9" s="126"/>
      <c r="D9" s="126" t="s">
        <v>316</v>
      </c>
      <c r="E9" s="126"/>
      <c r="F9" s="126"/>
      <c r="G9" s="126"/>
      <c r="H9" s="126"/>
      <c r="I9" s="126"/>
      <c r="J9" s="126"/>
      <c r="K9" s="126"/>
      <c r="L9" s="126"/>
      <c r="M9" s="126"/>
      <c r="N9" s="126"/>
      <c r="O9" s="126"/>
      <c r="P9" s="126"/>
    </row>
    <row r="10" spans="2:16" ht="12.75">
      <c r="B10" s="126"/>
      <c r="C10" s="126"/>
      <c r="D10" s="126"/>
      <c r="E10" s="126"/>
      <c r="F10" s="126"/>
      <c r="G10" s="126"/>
      <c r="H10" s="126"/>
      <c r="I10" s="126"/>
      <c r="J10" s="126"/>
      <c r="K10" s="126"/>
      <c r="L10" s="126"/>
      <c r="M10" s="126"/>
      <c r="N10" s="126"/>
      <c r="O10" s="126"/>
      <c r="P10" s="126"/>
    </row>
    <row r="11" spans="2:16" ht="12.75">
      <c r="B11" s="126"/>
      <c r="C11" s="126"/>
      <c r="D11" s="126" t="s">
        <v>275</v>
      </c>
      <c r="E11" s="126"/>
      <c r="F11" s="126"/>
      <c r="G11" s="126"/>
      <c r="H11" s="126"/>
      <c r="I11" s="126"/>
      <c r="J11" s="126"/>
      <c r="K11" s="126"/>
      <c r="L11" s="126"/>
      <c r="M11" s="126"/>
      <c r="N11" s="126"/>
      <c r="O11" s="126"/>
      <c r="P11" s="126"/>
    </row>
    <row r="12" spans="2:16" ht="12.75">
      <c r="B12" s="126"/>
      <c r="C12" s="126"/>
      <c r="D12" s="126" t="s">
        <v>267</v>
      </c>
      <c r="E12" s="126"/>
      <c r="F12" s="126"/>
      <c r="G12" s="126"/>
      <c r="H12" s="126"/>
      <c r="I12" s="126"/>
      <c r="J12" s="126"/>
      <c r="K12" s="126"/>
      <c r="L12" s="126"/>
      <c r="M12" s="126"/>
      <c r="N12" s="126"/>
      <c r="O12" s="126"/>
      <c r="P12" s="126"/>
    </row>
    <row r="13" spans="2:16" ht="12.75">
      <c r="B13" s="126"/>
      <c r="C13" s="126"/>
      <c r="D13" s="126" t="s">
        <v>317</v>
      </c>
      <c r="E13" s="126"/>
      <c r="F13" s="126"/>
      <c r="G13" s="126"/>
      <c r="H13" s="126"/>
      <c r="I13" s="126"/>
      <c r="J13" s="126"/>
      <c r="K13" s="126"/>
      <c r="L13" s="126"/>
      <c r="M13" s="126"/>
      <c r="N13" s="126"/>
      <c r="O13" s="126"/>
      <c r="P13" s="126"/>
    </row>
    <row r="14" spans="2:16" ht="12.75">
      <c r="B14" s="126"/>
      <c r="C14" s="126"/>
      <c r="D14" s="126"/>
      <c r="E14" s="126"/>
      <c r="F14" s="126"/>
      <c r="G14" s="126"/>
      <c r="H14" s="126"/>
      <c r="I14" s="126"/>
      <c r="J14" s="126"/>
      <c r="K14" s="126"/>
      <c r="L14" s="126"/>
      <c r="M14" s="126"/>
      <c r="N14" s="126"/>
      <c r="O14" s="126"/>
      <c r="P14" s="126"/>
    </row>
    <row r="15" spans="2:16" ht="12.75">
      <c r="B15" s="126"/>
      <c r="C15" s="126"/>
      <c r="D15" s="126" t="s">
        <v>318</v>
      </c>
      <c r="E15" s="126"/>
      <c r="F15" s="126"/>
      <c r="G15" s="126"/>
      <c r="H15" s="126"/>
      <c r="I15" s="126"/>
      <c r="J15" s="126"/>
      <c r="K15" s="126"/>
      <c r="L15" s="126"/>
      <c r="M15" s="126"/>
      <c r="N15" s="126"/>
      <c r="O15" s="126"/>
      <c r="P15" s="126"/>
    </row>
    <row r="16" spans="2:16" ht="12.75">
      <c r="B16" s="126"/>
      <c r="C16" s="126"/>
      <c r="D16" s="126" t="s">
        <v>305</v>
      </c>
      <c r="E16" s="126"/>
      <c r="F16" s="126"/>
      <c r="G16" s="126"/>
      <c r="H16" s="126"/>
      <c r="I16" s="126"/>
      <c r="J16" s="126"/>
      <c r="K16" s="126"/>
      <c r="L16" s="126"/>
      <c r="M16" s="126"/>
      <c r="N16" s="126"/>
      <c r="O16" s="126"/>
      <c r="P16" s="126"/>
    </row>
    <row r="17" spans="2:16" ht="12.75">
      <c r="B17" s="126"/>
      <c r="C17" s="126"/>
      <c r="D17" s="126" t="s">
        <v>359</v>
      </c>
      <c r="E17" s="126"/>
      <c r="F17" s="126"/>
      <c r="G17" s="126"/>
      <c r="H17" s="126"/>
      <c r="I17" s="126"/>
      <c r="J17" s="126"/>
      <c r="K17" s="126"/>
      <c r="L17" s="126"/>
      <c r="M17" s="126"/>
      <c r="N17" s="126"/>
      <c r="O17" s="126"/>
      <c r="P17" s="126"/>
    </row>
    <row r="18" spans="2:16" ht="12.75">
      <c r="B18" s="126"/>
      <c r="C18" s="126"/>
      <c r="D18" s="439" t="s">
        <v>320</v>
      </c>
      <c r="E18" s="126"/>
      <c r="F18" s="126"/>
      <c r="G18" s="126"/>
      <c r="H18" s="126"/>
      <c r="I18" s="126"/>
      <c r="J18" s="126"/>
      <c r="K18" s="126"/>
      <c r="L18" s="126"/>
      <c r="M18" s="126"/>
      <c r="N18" s="126"/>
      <c r="O18" s="126"/>
      <c r="P18" s="126"/>
    </row>
    <row r="19" spans="2:16" ht="12.75">
      <c r="B19" s="126"/>
      <c r="C19" s="126"/>
      <c r="D19" s="439" t="s">
        <v>319</v>
      </c>
      <c r="E19" s="126"/>
      <c r="F19" s="126"/>
      <c r="G19" s="126"/>
      <c r="H19" s="126"/>
      <c r="I19" s="126"/>
      <c r="J19" s="126"/>
      <c r="K19" s="126"/>
      <c r="L19" s="126"/>
      <c r="M19" s="126"/>
      <c r="N19" s="126"/>
      <c r="O19" s="126"/>
      <c r="P19" s="126"/>
    </row>
    <row r="20" spans="2:16" ht="12.75">
      <c r="B20" s="126"/>
      <c r="C20" s="126"/>
      <c r="D20" s="126" t="s">
        <v>253</v>
      </c>
      <c r="E20" s="126"/>
      <c r="F20" s="126"/>
      <c r="G20" s="126"/>
      <c r="H20" s="126"/>
      <c r="I20" s="126"/>
      <c r="J20" s="126"/>
      <c r="K20" s="126"/>
      <c r="L20" s="126"/>
      <c r="M20" s="126"/>
      <c r="N20" s="126"/>
      <c r="O20" s="126"/>
      <c r="P20" s="126"/>
    </row>
    <row r="21" spans="2:16" ht="12.75">
      <c r="B21" s="126"/>
      <c r="C21" s="126"/>
      <c r="D21" s="126" t="s">
        <v>321</v>
      </c>
      <c r="E21" s="126"/>
      <c r="F21" s="126"/>
      <c r="G21" s="126"/>
      <c r="H21" s="126"/>
      <c r="I21" s="126"/>
      <c r="J21" s="126"/>
      <c r="K21" s="126"/>
      <c r="L21" s="126"/>
      <c r="M21" s="126"/>
      <c r="N21" s="126"/>
      <c r="O21" s="126"/>
      <c r="P21" s="126"/>
    </row>
    <row r="22" spans="2:16" ht="12.75">
      <c r="B22" s="126"/>
      <c r="C22" s="126"/>
      <c r="D22" s="126" t="s">
        <v>250</v>
      </c>
      <c r="E22" s="126"/>
      <c r="F22" s="126"/>
      <c r="G22" s="126"/>
      <c r="H22" s="126"/>
      <c r="I22" s="126"/>
      <c r="J22" s="126"/>
      <c r="K22" s="126"/>
      <c r="L22" s="126"/>
      <c r="M22" s="126"/>
      <c r="N22" s="126"/>
      <c r="O22" s="126"/>
      <c r="P22" s="126"/>
    </row>
    <row r="23" spans="2:16" ht="12.75">
      <c r="B23" s="126"/>
      <c r="C23" s="126"/>
      <c r="D23" s="440" t="s">
        <v>266</v>
      </c>
      <c r="E23" s="126"/>
      <c r="F23" s="126"/>
      <c r="G23" s="126"/>
      <c r="H23" s="126"/>
      <c r="I23" s="126"/>
      <c r="J23" s="126"/>
      <c r="K23" s="126"/>
      <c r="L23" s="126"/>
      <c r="M23" s="126"/>
      <c r="N23" s="126"/>
      <c r="O23" s="126"/>
      <c r="P23" s="126"/>
    </row>
    <row r="24" spans="2:16" ht="12.75">
      <c r="B24" s="126"/>
      <c r="C24" s="126"/>
      <c r="D24" s="126"/>
      <c r="E24" s="126"/>
      <c r="F24" s="126"/>
      <c r="G24" s="126"/>
      <c r="H24" s="126"/>
      <c r="I24" s="126"/>
      <c r="J24" s="126"/>
      <c r="K24" s="126"/>
      <c r="L24" s="126"/>
      <c r="M24" s="126"/>
      <c r="N24" s="126"/>
      <c r="O24" s="126"/>
      <c r="P24" s="126"/>
    </row>
    <row r="25" spans="2:16" ht="12.75">
      <c r="B25" s="126"/>
      <c r="C25" s="126"/>
      <c r="D25" s="126" t="s">
        <v>330</v>
      </c>
      <c r="E25" s="126"/>
      <c r="F25" s="126"/>
      <c r="G25" s="126"/>
      <c r="H25" s="126"/>
      <c r="I25" s="126"/>
      <c r="J25" s="126"/>
      <c r="K25" s="126"/>
      <c r="L25" s="126"/>
      <c r="M25" s="126"/>
      <c r="N25" s="126"/>
      <c r="O25" s="126"/>
      <c r="P25" s="126"/>
    </row>
    <row r="26" spans="2:16" ht="12.75">
      <c r="B26" s="126"/>
      <c r="C26" s="126"/>
      <c r="D26" s="126" t="s">
        <v>360</v>
      </c>
      <c r="E26" s="126"/>
      <c r="F26" s="126"/>
      <c r="G26" s="126"/>
      <c r="H26" s="126"/>
      <c r="I26" s="126"/>
      <c r="J26" s="126"/>
      <c r="K26" s="126"/>
      <c r="L26" s="126"/>
      <c r="M26" s="126"/>
      <c r="N26" s="126"/>
      <c r="O26" s="126"/>
      <c r="P26" s="126"/>
    </row>
    <row r="27" spans="2:16" ht="12.75">
      <c r="B27" s="126"/>
      <c r="C27" s="126"/>
      <c r="D27" s="126" t="s">
        <v>361</v>
      </c>
      <c r="E27" s="126"/>
      <c r="F27" s="126"/>
      <c r="G27" s="126"/>
      <c r="H27" s="126"/>
      <c r="I27" s="126"/>
      <c r="J27" s="126"/>
      <c r="K27" s="126"/>
      <c r="L27" s="126"/>
      <c r="M27" s="126"/>
      <c r="N27" s="126"/>
      <c r="O27" s="126"/>
      <c r="P27" s="126"/>
    </row>
    <row r="28" spans="2:16" ht="12.75">
      <c r="B28" s="126"/>
      <c r="C28" s="126"/>
      <c r="D28" s="126"/>
      <c r="E28" s="126"/>
      <c r="F28" s="126"/>
      <c r="G28" s="126"/>
      <c r="H28" s="126"/>
      <c r="I28" s="126"/>
      <c r="J28" s="126"/>
      <c r="K28" s="126"/>
      <c r="L28" s="126"/>
      <c r="M28" s="126"/>
      <c r="N28" s="126"/>
      <c r="O28" s="126"/>
      <c r="P28" s="126"/>
    </row>
    <row r="29" spans="2:16" ht="12.75">
      <c r="B29" s="126"/>
      <c r="C29" s="126"/>
      <c r="D29" s="126" t="s">
        <v>362</v>
      </c>
      <c r="E29" s="126"/>
      <c r="F29" s="126"/>
      <c r="G29" s="126"/>
      <c r="H29" s="126"/>
      <c r="I29" s="126"/>
      <c r="J29" s="126"/>
      <c r="K29" s="126"/>
      <c r="L29" s="126"/>
      <c r="M29" s="126"/>
      <c r="N29" s="126"/>
      <c r="O29" s="126"/>
      <c r="P29" s="126"/>
    </row>
    <row r="30" spans="2:16" ht="12.75">
      <c r="B30" s="126"/>
      <c r="C30" s="126"/>
      <c r="D30" s="126" t="s">
        <v>363</v>
      </c>
      <c r="E30" s="126"/>
      <c r="F30" s="126"/>
      <c r="G30" s="126"/>
      <c r="H30" s="126"/>
      <c r="I30" s="126"/>
      <c r="J30" s="126"/>
      <c r="K30" s="126"/>
      <c r="L30" s="126"/>
      <c r="M30" s="126"/>
      <c r="N30" s="126"/>
      <c r="O30" s="126"/>
      <c r="P30" s="126"/>
    </row>
    <row r="31" spans="2:16" ht="12.75">
      <c r="B31" s="126"/>
      <c r="C31" s="126"/>
      <c r="D31" s="126" t="s">
        <v>286</v>
      </c>
      <c r="E31" s="126"/>
      <c r="F31" s="126"/>
      <c r="G31" s="126"/>
      <c r="H31" s="126"/>
      <c r="I31" s="126"/>
      <c r="J31" s="126"/>
      <c r="K31" s="126"/>
      <c r="L31" s="126"/>
      <c r="M31" s="126"/>
      <c r="N31" s="126"/>
      <c r="O31" s="126"/>
      <c r="P31" s="126"/>
    </row>
    <row r="32" spans="2:16" ht="12.75">
      <c r="B32" s="126"/>
      <c r="C32" s="126"/>
      <c r="D32" s="126" t="s">
        <v>287</v>
      </c>
      <c r="E32" s="126"/>
      <c r="F32" s="126"/>
      <c r="G32" s="126"/>
      <c r="H32" s="126"/>
      <c r="I32" s="126"/>
      <c r="J32" s="126"/>
      <c r="K32" s="126"/>
      <c r="L32" s="126"/>
      <c r="M32" s="126"/>
      <c r="N32" s="126"/>
      <c r="O32" s="126"/>
      <c r="P32" s="126"/>
    </row>
    <row r="33" spans="2:16" ht="12.75">
      <c r="B33" s="126"/>
      <c r="C33" s="126"/>
      <c r="D33" s="126" t="s">
        <v>288</v>
      </c>
      <c r="E33" s="126"/>
      <c r="F33" s="126"/>
      <c r="G33" s="126"/>
      <c r="H33" s="126"/>
      <c r="I33" s="126"/>
      <c r="J33" s="126"/>
      <c r="K33" s="126"/>
      <c r="L33" s="126"/>
      <c r="M33" s="126"/>
      <c r="N33" s="126"/>
      <c r="O33" s="126"/>
      <c r="P33" s="126"/>
    </row>
    <row r="34" spans="2:16" ht="12.75">
      <c r="B34" s="126"/>
      <c r="C34" s="126"/>
      <c r="D34" s="126" t="s">
        <v>289</v>
      </c>
      <c r="E34" s="126"/>
      <c r="F34" s="126"/>
      <c r="G34" s="126"/>
      <c r="H34" s="126"/>
      <c r="I34" s="126"/>
      <c r="J34" s="126"/>
      <c r="K34" s="126"/>
      <c r="L34" s="126"/>
      <c r="M34" s="126"/>
      <c r="N34" s="126"/>
      <c r="O34" s="126"/>
      <c r="P34" s="126"/>
    </row>
    <row r="35" spans="2:16" ht="12.75">
      <c r="B35" s="126"/>
      <c r="C35" s="126"/>
      <c r="D35" s="126" t="s">
        <v>290</v>
      </c>
      <c r="E35" s="126"/>
      <c r="F35" s="126"/>
      <c r="G35" s="126"/>
      <c r="H35" s="126"/>
      <c r="I35" s="126"/>
      <c r="J35" s="126"/>
      <c r="K35" s="126"/>
      <c r="L35" s="126"/>
      <c r="M35" s="126"/>
      <c r="N35" s="126"/>
      <c r="O35" s="126"/>
      <c r="P35" s="126"/>
    </row>
    <row r="36" spans="2:16" ht="12.75">
      <c r="B36" s="126"/>
      <c r="C36" s="126"/>
      <c r="D36" s="126" t="s">
        <v>322</v>
      </c>
      <c r="E36" s="126"/>
      <c r="F36" s="126"/>
      <c r="G36" s="126"/>
      <c r="H36" s="441" t="s">
        <v>323</v>
      </c>
      <c r="I36" s="126"/>
      <c r="J36" s="126"/>
      <c r="K36" s="126"/>
      <c r="L36" s="126"/>
      <c r="M36" s="126"/>
      <c r="N36" s="126"/>
      <c r="O36" s="126"/>
      <c r="P36" s="126"/>
    </row>
    <row r="37" spans="2:16" ht="12.75">
      <c r="B37" s="126"/>
      <c r="C37" s="126"/>
      <c r="D37" s="126"/>
      <c r="E37" s="126"/>
      <c r="F37" s="126"/>
      <c r="G37" s="126"/>
      <c r="H37" s="126"/>
      <c r="I37" s="126"/>
      <c r="J37" s="126"/>
      <c r="K37" s="126"/>
      <c r="L37" s="126"/>
      <c r="M37" s="126"/>
      <c r="N37" s="126"/>
      <c r="O37" s="126"/>
      <c r="P37" s="126"/>
    </row>
    <row r="38" spans="2:16" ht="12.75">
      <c r="B38" s="126"/>
      <c r="C38" s="126"/>
      <c r="D38" s="126" t="s">
        <v>276</v>
      </c>
      <c r="E38" s="126"/>
      <c r="F38" s="126"/>
      <c r="G38" s="126"/>
      <c r="H38" s="126"/>
      <c r="I38" s="126"/>
      <c r="J38" s="126"/>
      <c r="K38" s="126"/>
      <c r="L38" s="126"/>
      <c r="M38" s="126"/>
      <c r="N38" s="126"/>
      <c r="O38" s="126"/>
      <c r="P38" s="126"/>
    </row>
    <row r="39" spans="2:16" ht="12.75">
      <c r="B39" s="126"/>
      <c r="C39" s="126"/>
      <c r="D39" s="126" t="s">
        <v>262</v>
      </c>
      <c r="E39" s="126"/>
      <c r="F39" s="126"/>
      <c r="G39" s="126"/>
      <c r="H39" s="126"/>
      <c r="I39" s="126"/>
      <c r="J39" s="126"/>
      <c r="K39" s="126"/>
      <c r="L39" s="126"/>
      <c r="M39" s="126"/>
      <c r="N39" s="126"/>
      <c r="O39" s="126"/>
      <c r="P39" s="126"/>
    </row>
    <row r="40" spans="2:16" ht="12.75">
      <c r="B40" s="126"/>
      <c r="C40" s="126"/>
      <c r="D40" s="126" t="s">
        <v>277</v>
      </c>
      <c r="E40" s="126"/>
      <c r="F40" s="126"/>
      <c r="G40" s="126"/>
      <c r="H40" s="126"/>
      <c r="I40" s="126"/>
      <c r="J40" s="126"/>
      <c r="K40" s="126"/>
      <c r="L40" s="126"/>
      <c r="M40" s="126"/>
      <c r="N40" s="126"/>
      <c r="O40" s="126"/>
      <c r="P40" s="126"/>
    </row>
    <row r="41" spans="2:16" ht="12.75">
      <c r="B41" s="126"/>
      <c r="C41" s="126"/>
      <c r="D41" s="126" t="s">
        <v>263</v>
      </c>
      <c r="E41" s="126"/>
      <c r="F41" s="126"/>
      <c r="G41" s="126"/>
      <c r="H41" s="126"/>
      <c r="I41" s="126"/>
      <c r="J41" s="126"/>
      <c r="K41" s="126"/>
      <c r="L41" s="126"/>
      <c r="M41" s="126"/>
      <c r="N41" s="126"/>
      <c r="O41" s="126"/>
      <c r="P41" s="126"/>
    </row>
    <row r="42" spans="2:16" ht="12.75">
      <c r="B42" s="126"/>
      <c r="C42" s="126"/>
      <c r="D42" s="157" t="s">
        <v>284</v>
      </c>
      <c r="E42" s="126"/>
      <c r="F42" s="126"/>
      <c r="G42" s="126"/>
      <c r="H42" s="126"/>
      <c r="I42" s="126"/>
      <c r="J42" s="126"/>
      <c r="K42" s="126"/>
      <c r="L42" s="126"/>
      <c r="M42" s="126"/>
      <c r="N42" s="126"/>
      <c r="O42" s="126"/>
      <c r="P42" s="126"/>
    </row>
    <row r="43" spans="2:16" ht="12.75">
      <c r="B43" s="126"/>
      <c r="C43" s="126"/>
      <c r="D43" s="126" t="s">
        <v>285</v>
      </c>
      <c r="E43" s="126"/>
      <c r="F43" s="126"/>
      <c r="G43" s="126"/>
      <c r="H43" s="126"/>
      <c r="I43" s="126"/>
      <c r="J43" s="126"/>
      <c r="K43" s="126"/>
      <c r="L43" s="126"/>
      <c r="M43" s="126"/>
      <c r="N43" s="126"/>
      <c r="O43" s="126"/>
      <c r="P43" s="126"/>
    </row>
    <row r="44" spans="2:16" ht="12.75">
      <c r="B44" s="126"/>
      <c r="C44" s="126"/>
      <c r="D44" s="126" t="s">
        <v>268</v>
      </c>
      <c r="E44" s="126"/>
      <c r="F44" s="126"/>
      <c r="G44" s="126"/>
      <c r="H44" s="126"/>
      <c r="I44" s="126"/>
      <c r="J44" s="126"/>
      <c r="K44" s="126"/>
      <c r="L44" s="126"/>
      <c r="M44" s="126"/>
      <c r="N44" s="126"/>
      <c r="O44" s="126"/>
      <c r="P44" s="126"/>
    </row>
    <row r="45" spans="2:16" ht="12.75">
      <c r="B45" s="126"/>
      <c r="C45" s="126"/>
      <c r="D45" s="126" t="s">
        <v>364</v>
      </c>
      <c r="E45" s="126"/>
      <c r="F45" s="126"/>
      <c r="G45" s="126"/>
      <c r="H45" s="126"/>
      <c r="I45" s="158"/>
      <c r="J45" s="158"/>
      <c r="K45" s="158"/>
      <c r="L45" s="126"/>
      <c r="M45" s="126"/>
      <c r="N45" s="126"/>
      <c r="O45" s="126"/>
      <c r="P45" s="126"/>
    </row>
    <row r="46" spans="2:16" ht="12.75">
      <c r="B46" s="126"/>
      <c r="C46" s="126"/>
      <c r="D46" s="126"/>
      <c r="E46" s="126"/>
      <c r="F46" s="126"/>
      <c r="G46" s="126"/>
      <c r="H46" s="126"/>
      <c r="I46" s="158"/>
      <c r="J46" s="158"/>
      <c r="K46" s="158"/>
      <c r="L46" s="126"/>
      <c r="M46" s="126"/>
      <c r="N46" s="126"/>
      <c r="O46" s="126"/>
      <c r="P46" s="126"/>
    </row>
    <row r="47" spans="1:16" ht="12.75">
      <c r="A47" s="123"/>
      <c r="B47" s="130"/>
      <c r="C47" s="130">
        <v>1</v>
      </c>
      <c r="D47" s="129" t="s">
        <v>34</v>
      </c>
      <c r="E47" s="126"/>
      <c r="F47" s="126"/>
      <c r="G47" s="126"/>
      <c r="H47" s="126"/>
      <c r="I47" s="158"/>
      <c r="J47" s="158"/>
      <c r="K47" s="158"/>
      <c r="L47" s="126"/>
      <c r="M47" s="126"/>
      <c r="N47" s="126"/>
      <c r="O47" s="126"/>
      <c r="P47" s="126"/>
    </row>
    <row r="48" spans="2:16" ht="12.75">
      <c r="B48" s="126"/>
      <c r="C48" s="126"/>
      <c r="D48" s="129" t="s">
        <v>191</v>
      </c>
      <c r="E48" s="126"/>
      <c r="F48" s="126"/>
      <c r="G48" s="126"/>
      <c r="H48" s="126"/>
      <c r="I48" s="158"/>
      <c r="J48" s="158"/>
      <c r="K48" s="158"/>
      <c r="L48" s="126"/>
      <c r="M48" s="126"/>
      <c r="N48" s="126"/>
      <c r="O48" s="126"/>
      <c r="P48" s="126"/>
    </row>
    <row r="49" spans="2:16" ht="12.75">
      <c r="B49" s="126"/>
      <c r="C49" s="126"/>
      <c r="D49" s="504" t="s">
        <v>269</v>
      </c>
      <c r="E49" s="126"/>
      <c r="F49" s="126"/>
      <c r="G49" s="126"/>
      <c r="H49" s="126"/>
      <c r="I49" s="158"/>
      <c r="J49" s="158"/>
      <c r="K49" s="158"/>
      <c r="L49" s="126"/>
      <c r="M49" s="126"/>
      <c r="N49" s="126"/>
      <c r="O49" s="126"/>
      <c r="P49" s="126"/>
    </row>
    <row r="50" spans="2:16" ht="12.75">
      <c r="B50" s="126"/>
      <c r="C50" s="126"/>
      <c r="D50" s="504" t="s">
        <v>221</v>
      </c>
      <c r="E50" s="126"/>
      <c r="F50" s="126"/>
      <c r="G50" s="126"/>
      <c r="H50" s="126"/>
      <c r="I50" s="158"/>
      <c r="J50" s="158"/>
      <c r="K50" s="158"/>
      <c r="L50" s="126"/>
      <c r="M50" s="126"/>
      <c r="N50" s="126"/>
      <c r="O50" s="126"/>
      <c r="P50" s="126"/>
    </row>
    <row r="51" spans="2:16" ht="12.75">
      <c r="B51" s="126"/>
      <c r="C51" s="126"/>
      <c r="D51" s="504" t="s">
        <v>246</v>
      </c>
      <c r="E51" s="126"/>
      <c r="F51" s="126"/>
      <c r="G51" s="126"/>
      <c r="H51" s="126"/>
      <c r="I51" s="158"/>
      <c r="J51" s="158"/>
      <c r="K51" s="158"/>
      <c r="L51" s="126"/>
      <c r="M51" s="126"/>
      <c r="N51" s="126"/>
      <c r="O51" s="126"/>
      <c r="P51" s="126"/>
    </row>
    <row r="52" spans="2:16" ht="12.75">
      <c r="B52" s="126"/>
      <c r="C52" s="126"/>
      <c r="D52" s="504" t="s">
        <v>369</v>
      </c>
      <c r="E52" s="126"/>
      <c r="F52" s="126"/>
      <c r="G52" s="126"/>
      <c r="H52" s="126"/>
      <c r="I52" s="158"/>
      <c r="J52" s="158"/>
      <c r="K52" s="158"/>
      <c r="L52" s="126"/>
      <c r="M52" s="126"/>
      <c r="N52" s="126"/>
      <c r="O52" s="126"/>
      <c r="P52" s="126"/>
    </row>
    <row r="53" spans="2:16" ht="12.75">
      <c r="B53" s="126"/>
      <c r="C53" s="126"/>
      <c r="D53" s="504" t="s">
        <v>370</v>
      </c>
      <c r="E53" s="126"/>
      <c r="F53" s="126"/>
      <c r="G53" s="126"/>
      <c r="H53" s="126"/>
      <c r="I53" s="158"/>
      <c r="J53" s="158"/>
      <c r="K53" s="158"/>
      <c r="L53" s="126"/>
      <c r="M53" s="126"/>
      <c r="N53" s="126"/>
      <c r="O53" s="126"/>
      <c r="P53" s="126"/>
    </row>
    <row r="54" spans="2:16" ht="12.75">
      <c r="B54" s="126"/>
      <c r="C54" s="126"/>
      <c r="D54" s="504" t="s">
        <v>371</v>
      </c>
      <c r="E54" s="126"/>
      <c r="F54" s="126"/>
      <c r="G54" s="126"/>
      <c r="H54" s="126"/>
      <c r="I54" s="158"/>
      <c r="J54" s="158"/>
      <c r="K54" s="158"/>
      <c r="L54" s="126"/>
      <c r="M54" s="126"/>
      <c r="N54" s="126"/>
      <c r="O54" s="126"/>
      <c r="P54" s="126"/>
    </row>
    <row r="55" spans="2:16" ht="12.75">
      <c r="B55" s="126"/>
      <c r="C55" s="126"/>
      <c r="D55" s="156"/>
      <c r="E55" s="126"/>
      <c r="F55" s="126"/>
      <c r="G55" s="126"/>
      <c r="H55" s="126"/>
      <c r="I55" s="158"/>
      <c r="J55" s="158"/>
      <c r="K55" s="158"/>
      <c r="L55" s="126"/>
      <c r="M55" s="126"/>
      <c r="N55" s="126"/>
      <c r="O55" s="126"/>
      <c r="P55" s="126"/>
    </row>
    <row r="56" spans="2:16" ht="12.75">
      <c r="B56" s="126"/>
      <c r="C56" s="126"/>
      <c r="D56" s="156" t="s">
        <v>126</v>
      </c>
      <c r="E56" s="126"/>
      <c r="F56" s="126"/>
      <c r="G56" s="126"/>
      <c r="H56" s="126"/>
      <c r="I56" s="158"/>
      <c r="J56" s="158"/>
      <c r="K56" s="158"/>
      <c r="L56" s="126"/>
      <c r="M56" s="126"/>
      <c r="N56" s="126"/>
      <c r="O56" s="126"/>
      <c r="P56" s="126"/>
    </row>
    <row r="57" spans="2:16" ht="12.75">
      <c r="B57" s="126"/>
      <c r="C57" s="126"/>
      <c r="D57" s="156" t="s">
        <v>127</v>
      </c>
      <c r="E57" s="126"/>
      <c r="F57" s="126"/>
      <c r="G57" s="126"/>
      <c r="H57" s="126"/>
      <c r="I57" s="158"/>
      <c r="J57" s="158"/>
      <c r="K57" s="158"/>
      <c r="L57" s="126"/>
      <c r="M57" s="126"/>
      <c r="N57" s="126"/>
      <c r="O57" s="126"/>
      <c r="P57" s="126"/>
    </row>
    <row r="58" spans="2:16" ht="12.75">
      <c r="B58" s="126"/>
      <c r="C58" s="126"/>
      <c r="D58" s="156" t="s">
        <v>372</v>
      </c>
      <c r="E58" s="126"/>
      <c r="F58" s="126"/>
      <c r="G58" s="126"/>
      <c r="H58" s="126"/>
      <c r="I58" s="158"/>
      <c r="J58" s="158"/>
      <c r="K58" s="158"/>
      <c r="L58" s="126"/>
      <c r="M58" s="126"/>
      <c r="N58" s="126"/>
      <c r="O58" s="126"/>
      <c r="P58" s="126"/>
    </row>
    <row r="59" spans="2:16" ht="12.75">
      <c r="B59" s="126"/>
      <c r="C59" s="126"/>
      <c r="D59" s="156" t="s">
        <v>365</v>
      </c>
      <c r="E59" s="126"/>
      <c r="F59" s="126"/>
      <c r="G59" s="126"/>
      <c r="H59" s="126"/>
      <c r="I59" s="158"/>
      <c r="J59" s="158"/>
      <c r="K59" s="158"/>
      <c r="L59" s="126"/>
      <c r="M59" s="126"/>
      <c r="N59" s="126"/>
      <c r="O59" s="126"/>
      <c r="P59" s="126"/>
    </row>
    <row r="60" spans="2:16" ht="12.75">
      <c r="B60" s="126"/>
      <c r="C60" s="126"/>
      <c r="D60" s="129"/>
      <c r="E60" s="126"/>
      <c r="F60" s="126"/>
      <c r="G60" s="126"/>
      <c r="H60" s="126"/>
      <c r="I60" s="158"/>
      <c r="J60" s="158"/>
      <c r="K60" s="158"/>
      <c r="L60" s="126"/>
      <c r="M60" s="126"/>
      <c r="N60" s="126"/>
      <c r="O60" s="126"/>
      <c r="P60" s="126"/>
    </row>
    <row r="61" spans="2:16" ht="12.75">
      <c r="B61" s="126"/>
      <c r="C61" s="126"/>
      <c r="D61" s="126" t="s">
        <v>71</v>
      </c>
      <c r="E61" s="126"/>
      <c r="F61" s="126"/>
      <c r="G61" s="126"/>
      <c r="H61" s="126"/>
      <c r="I61" s="158"/>
      <c r="J61" s="158"/>
      <c r="K61" s="158"/>
      <c r="L61" s="126"/>
      <c r="M61" s="126"/>
      <c r="N61" s="126"/>
      <c r="O61" s="126"/>
      <c r="P61" s="126"/>
    </row>
    <row r="62" spans="2:16" ht="12.75">
      <c r="B62" s="126"/>
      <c r="C62" s="126"/>
      <c r="D62" s="126" t="s">
        <v>72</v>
      </c>
      <c r="E62" s="126"/>
      <c r="F62" s="126"/>
      <c r="G62" s="126"/>
      <c r="H62" s="126"/>
      <c r="I62" s="158"/>
      <c r="J62" s="158"/>
      <c r="K62" s="158"/>
      <c r="L62" s="126"/>
      <c r="M62" s="126"/>
      <c r="N62" s="126"/>
      <c r="O62" s="126"/>
      <c r="P62" s="126"/>
    </row>
    <row r="63" spans="2:16" ht="12.75">
      <c r="B63" s="126"/>
      <c r="C63" s="126"/>
      <c r="D63" s="126" t="s">
        <v>373</v>
      </c>
      <c r="E63" s="126"/>
      <c r="F63" s="126"/>
      <c r="G63" s="126"/>
      <c r="H63" s="126"/>
      <c r="I63" s="158"/>
      <c r="J63" s="158"/>
      <c r="K63" s="158"/>
      <c r="L63" s="126"/>
      <c r="M63" s="126"/>
      <c r="N63" s="126"/>
      <c r="O63" s="126"/>
      <c r="P63" s="126"/>
    </row>
    <row r="64" spans="2:16" ht="12.75">
      <c r="B64" s="126"/>
      <c r="C64" s="126"/>
      <c r="D64" s="126"/>
      <c r="E64" s="126"/>
      <c r="F64" s="126"/>
      <c r="G64" s="126"/>
      <c r="H64" s="126"/>
      <c r="I64" s="158"/>
      <c r="J64" s="158"/>
      <c r="K64" s="158"/>
      <c r="L64" s="126"/>
      <c r="M64" s="126"/>
      <c r="N64" s="126"/>
      <c r="O64" s="126"/>
      <c r="P64" s="126"/>
    </row>
    <row r="65" spans="2:16" ht="12.75">
      <c r="B65" s="126"/>
      <c r="C65" s="126"/>
      <c r="D65" s="126" t="s">
        <v>247</v>
      </c>
      <c r="E65" s="126"/>
      <c r="F65" s="126"/>
      <c r="G65" s="126"/>
      <c r="H65" s="126"/>
      <c r="I65" s="158"/>
      <c r="J65" s="158"/>
      <c r="K65" s="158"/>
      <c r="L65" s="126"/>
      <c r="M65" s="126"/>
      <c r="N65" s="126"/>
      <c r="O65" s="126"/>
      <c r="P65" s="126"/>
    </row>
    <row r="66" spans="2:16" ht="12.75">
      <c r="B66" s="126"/>
      <c r="C66" s="126"/>
      <c r="D66" s="126" t="s">
        <v>248</v>
      </c>
      <c r="E66" s="126"/>
      <c r="F66" s="126"/>
      <c r="G66" s="126"/>
      <c r="H66" s="126"/>
      <c r="I66" s="158"/>
      <c r="J66" s="158"/>
      <c r="K66" s="158"/>
      <c r="L66" s="126"/>
      <c r="M66" s="126"/>
      <c r="N66" s="126"/>
      <c r="O66" s="126"/>
      <c r="P66" s="126"/>
    </row>
    <row r="67" spans="2:16" ht="12.75">
      <c r="B67" s="126"/>
      <c r="C67" s="126"/>
      <c r="D67" s="126" t="s">
        <v>249</v>
      </c>
      <c r="E67" s="126"/>
      <c r="F67" s="126"/>
      <c r="G67" s="126"/>
      <c r="H67" s="126"/>
      <c r="I67" s="158"/>
      <c r="J67" s="158"/>
      <c r="K67" s="158"/>
      <c r="L67" s="126"/>
      <c r="M67" s="126"/>
      <c r="N67" s="126"/>
      <c r="O67" s="126"/>
      <c r="P67" s="126"/>
    </row>
    <row r="68" spans="2:16" ht="12.75">
      <c r="B68" s="126"/>
      <c r="C68" s="126"/>
      <c r="D68" s="126" t="s">
        <v>222</v>
      </c>
      <c r="E68" s="126"/>
      <c r="F68" s="126"/>
      <c r="G68" s="126"/>
      <c r="H68" s="126"/>
      <c r="I68" s="158"/>
      <c r="J68" s="158"/>
      <c r="K68" s="158"/>
      <c r="L68" s="126"/>
      <c r="M68" s="159"/>
      <c r="N68" s="159"/>
      <c r="O68" s="126"/>
      <c r="P68" s="126"/>
    </row>
    <row r="69" spans="2:16" ht="12.75">
      <c r="B69" s="126"/>
      <c r="C69" s="126"/>
      <c r="D69" s="126"/>
      <c r="E69" s="126"/>
      <c r="F69" s="126"/>
      <c r="G69" s="126"/>
      <c r="H69" s="126"/>
      <c r="I69" s="158"/>
      <c r="J69" s="158"/>
      <c r="K69" s="158"/>
      <c r="L69" s="126"/>
      <c r="M69" s="159"/>
      <c r="N69" s="159"/>
      <c r="O69" s="126"/>
      <c r="P69" s="126"/>
    </row>
    <row r="70" spans="2:16" ht="12.75">
      <c r="B70" s="126"/>
      <c r="C70" s="126"/>
      <c r="D70" s="126" t="s">
        <v>374</v>
      </c>
      <c r="E70" s="126"/>
      <c r="F70" s="126"/>
      <c r="G70" s="126"/>
      <c r="H70" s="126"/>
      <c r="I70" s="158"/>
      <c r="J70" s="158"/>
      <c r="K70" s="158"/>
      <c r="L70" s="126"/>
      <c r="M70" s="126"/>
      <c r="N70" s="126"/>
      <c r="O70" s="126"/>
      <c r="P70" s="126"/>
    </row>
    <row r="71" spans="2:16" ht="12.75">
      <c r="B71" s="126"/>
      <c r="C71" s="126"/>
      <c r="D71" s="126" t="s">
        <v>375</v>
      </c>
      <c r="E71" s="126"/>
      <c r="F71" s="126"/>
      <c r="G71" s="126"/>
      <c r="H71" s="126"/>
      <c r="I71" s="158"/>
      <c r="J71" s="158"/>
      <c r="K71" s="158"/>
      <c r="L71" s="126"/>
      <c r="M71" s="126"/>
      <c r="N71" s="126"/>
      <c r="O71" s="126"/>
      <c r="P71" s="126"/>
    </row>
    <row r="72" spans="2:16" ht="12.75">
      <c r="B72" s="126"/>
      <c r="C72" s="126"/>
      <c r="D72" s="126" t="s">
        <v>278</v>
      </c>
      <c r="E72" s="126"/>
      <c r="F72" s="126"/>
      <c r="G72" s="126"/>
      <c r="H72" s="126"/>
      <c r="I72" s="158"/>
      <c r="J72" s="158"/>
      <c r="K72" s="158"/>
      <c r="L72" s="126"/>
      <c r="M72" s="126"/>
      <c r="N72" s="126"/>
      <c r="O72" s="126"/>
      <c r="P72" s="126"/>
    </row>
    <row r="73" spans="2:16" ht="12.75">
      <c r="B73" s="126"/>
      <c r="C73" s="126"/>
      <c r="D73" s="126" t="s">
        <v>128</v>
      </c>
      <c r="E73" s="126"/>
      <c r="F73" s="126"/>
      <c r="G73" s="126"/>
      <c r="H73" s="126"/>
      <c r="I73" s="158"/>
      <c r="J73" s="158"/>
      <c r="K73" s="158"/>
      <c r="L73" s="126"/>
      <c r="M73" s="126"/>
      <c r="N73" s="126"/>
      <c r="O73" s="126"/>
      <c r="P73" s="126"/>
    </row>
    <row r="74" spans="2:16" ht="12.75">
      <c r="B74" s="126"/>
      <c r="C74" s="126"/>
      <c r="D74" s="126"/>
      <c r="E74" s="126"/>
      <c r="F74" s="126"/>
      <c r="G74" s="126"/>
      <c r="H74" s="126"/>
      <c r="I74" s="158"/>
      <c r="J74" s="158"/>
      <c r="K74" s="158"/>
      <c r="L74" s="126"/>
      <c r="M74" s="126"/>
      <c r="N74" s="126"/>
      <c r="O74" s="126"/>
      <c r="P74" s="126"/>
    </row>
    <row r="75" spans="2:16" ht="12.75">
      <c r="B75" s="126"/>
      <c r="C75" s="126"/>
      <c r="D75" s="126" t="s">
        <v>73</v>
      </c>
      <c r="E75" s="126"/>
      <c r="F75" s="126"/>
      <c r="G75" s="126"/>
      <c r="H75" s="126"/>
      <c r="I75" s="158"/>
      <c r="J75" s="158"/>
      <c r="K75" s="158"/>
      <c r="L75" s="126"/>
      <c r="M75" s="126"/>
      <c r="N75" s="126"/>
      <c r="O75" s="126"/>
      <c r="P75" s="126"/>
    </row>
    <row r="76" spans="2:16" ht="12.75">
      <c r="B76" s="126"/>
      <c r="C76" s="126"/>
      <c r="D76" s="126" t="s">
        <v>74</v>
      </c>
      <c r="E76" s="126"/>
      <c r="F76" s="126"/>
      <c r="G76" s="126"/>
      <c r="H76" s="126"/>
      <c r="I76" s="158"/>
      <c r="J76" s="158"/>
      <c r="K76" s="158"/>
      <c r="L76" s="126"/>
      <c r="M76" s="126"/>
      <c r="N76" s="126"/>
      <c r="O76" s="126"/>
      <c r="P76" s="126"/>
    </row>
    <row r="77" spans="2:16" ht="12.75">
      <c r="B77" s="126"/>
      <c r="C77" s="126"/>
      <c r="D77" s="126" t="s">
        <v>366</v>
      </c>
      <c r="E77" s="126"/>
      <c r="F77" s="126"/>
      <c r="G77" s="126"/>
      <c r="H77" s="126"/>
      <c r="I77" s="158"/>
      <c r="J77" s="158"/>
      <c r="K77" s="158"/>
      <c r="L77" s="126"/>
      <c r="M77" s="126"/>
      <c r="N77" s="126"/>
      <c r="O77" s="126"/>
      <c r="P77" s="126"/>
    </row>
    <row r="78" spans="2:16" ht="12.75">
      <c r="B78" s="126"/>
      <c r="C78" s="126"/>
      <c r="D78" s="126" t="s">
        <v>75</v>
      </c>
      <c r="E78" s="126"/>
      <c r="F78" s="126"/>
      <c r="G78" s="126"/>
      <c r="H78" s="126"/>
      <c r="I78" s="158"/>
      <c r="J78" s="158"/>
      <c r="K78" s="158"/>
      <c r="L78" s="126"/>
      <c r="M78" s="126"/>
      <c r="N78" s="126"/>
      <c r="O78" s="126"/>
      <c r="P78" s="126"/>
    </row>
    <row r="79" spans="2:16" ht="12.75">
      <c r="B79" s="126"/>
      <c r="C79" s="126"/>
      <c r="D79" s="126"/>
      <c r="E79" s="126"/>
      <c r="F79" s="126"/>
      <c r="G79" s="126"/>
      <c r="H79" s="126"/>
      <c r="I79" s="158"/>
      <c r="J79" s="158"/>
      <c r="K79" s="158"/>
      <c r="L79" s="126"/>
      <c r="M79" s="126"/>
      <c r="N79" s="126"/>
      <c r="O79" s="126"/>
      <c r="P79" s="126"/>
    </row>
    <row r="80" spans="2:16" ht="12.75">
      <c r="B80" s="126"/>
      <c r="C80" s="126"/>
      <c r="D80" s="156" t="s">
        <v>77</v>
      </c>
      <c r="E80" s="126"/>
      <c r="F80" s="126"/>
      <c r="G80" s="126"/>
      <c r="H80" s="126"/>
      <c r="I80" s="158"/>
      <c r="J80" s="158"/>
      <c r="K80" s="158"/>
      <c r="L80" s="126"/>
      <c r="M80" s="126"/>
      <c r="N80" s="126"/>
      <c r="O80" s="126"/>
      <c r="P80" s="126"/>
    </row>
    <row r="81" spans="2:16" ht="12.75">
      <c r="B81" s="126"/>
      <c r="C81" s="126"/>
      <c r="D81" s="126" t="s">
        <v>234</v>
      </c>
      <c r="E81" s="126"/>
      <c r="F81" s="126"/>
      <c r="G81" s="126"/>
      <c r="H81" s="126"/>
      <c r="I81" s="158"/>
      <c r="J81" s="158"/>
      <c r="K81" s="158"/>
      <c r="L81" s="126"/>
      <c r="M81" s="126"/>
      <c r="N81" s="126"/>
      <c r="O81" s="126"/>
      <c r="P81" s="126"/>
    </row>
    <row r="82" spans="2:16" ht="12.75">
      <c r="B82" s="126"/>
      <c r="C82" s="126"/>
      <c r="D82" s="126"/>
      <c r="E82" s="126"/>
      <c r="F82" s="126"/>
      <c r="G82" s="126"/>
      <c r="H82" s="126"/>
      <c r="I82" s="158"/>
      <c r="J82" s="158"/>
      <c r="K82" s="158"/>
      <c r="L82" s="126"/>
      <c r="M82" s="126"/>
      <c r="N82" s="126"/>
      <c r="O82" s="126"/>
      <c r="P82" s="126"/>
    </row>
    <row r="83" spans="2:16" ht="12.75">
      <c r="B83" s="126"/>
      <c r="C83" s="126"/>
      <c r="D83" s="156" t="s">
        <v>78</v>
      </c>
      <c r="E83" s="126"/>
      <c r="F83" s="126"/>
      <c r="G83" s="126"/>
      <c r="H83" s="126"/>
      <c r="I83" s="158"/>
      <c r="J83" s="158"/>
      <c r="K83" s="158"/>
      <c r="L83" s="126"/>
      <c r="M83" s="126"/>
      <c r="N83" s="126"/>
      <c r="O83" s="126"/>
      <c r="P83" s="126"/>
    </row>
    <row r="84" spans="2:16" ht="12.75">
      <c r="B84" s="126"/>
      <c r="C84" s="126"/>
      <c r="D84" s="126" t="s">
        <v>233</v>
      </c>
      <c r="E84" s="126"/>
      <c r="F84" s="126"/>
      <c r="G84" s="126"/>
      <c r="H84" s="126"/>
      <c r="I84" s="158"/>
      <c r="J84" s="158"/>
      <c r="K84" s="158"/>
      <c r="L84" s="126"/>
      <c r="M84" s="126"/>
      <c r="N84" s="126"/>
      <c r="O84" s="126"/>
      <c r="P84" s="126"/>
    </row>
    <row r="85" spans="2:16" ht="12.75">
      <c r="B85" s="126"/>
      <c r="C85" s="126"/>
      <c r="D85" s="126"/>
      <c r="E85" s="126"/>
      <c r="F85" s="126"/>
      <c r="G85" s="126"/>
      <c r="H85" s="126"/>
      <c r="I85" s="158"/>
      <c r="J85" s="158"/>
      <c r="K85" s="158"/>
      <c r="L85" s="126"/>
      <c r="M85" s="126"/>
      <c r="N85" s="126"/>
      <c r="O85" s="126"/>
      <c r="P85" s="126"/>
    </row>
    <row r="86" spans="2:16" ht="12.75">
      <c r="B86" s="126"/>
      <c r="C86" s="126"/>
      <c r="D86" s="156" t="s">
        <v>279</v>
      </c>
      <c r="E86" s="126"/>
      <c r="F86" s="126"/>
      <c r="G86" s="126"/>
      <c r="H86" s="126"/>
      <c r="I86" s="158"/>
      <c r="J86" s="158"/>
      <c r="K86" s="158"/>
      <c r="L86" s="126"/>
      <c r="M86" s="126"/>
      <c r="N86" s="126"/>
      <c r="O86" s="126"/>
      <c r="P86" s="126"/>
    </row>
    <row r="87" spans="2:16" ht="12.75">
      <c r="B87" s="126"/>
      <c r="C87" s="126"/>
      <c r="D87" s="126" t="s">
        <v>280</v>
      </c>
      <c r="E87" s="126"/>
      <c r="F87" s="126"/>
      <c r="G87" s="126"/>
      <c r="H87" s="126"/>
      <c r="I87" s="158"/>
      <c r="J87" s="158"/>
      <c r="K87" s="158"/>
      <c r="L87" s="126"/>
      <c r="M87" s="126"/>
      <c r="N87" s="126"/>
      <c r="O87" s="126"/>
      <c r="P87" s="126"/>
    </row>
    <row r="88" spans="2:16" ht="12.75">
      <c r="B88" s="126"/>
      <c r="C88" s="126"/>
      <c r="D88" s="126"/>
      <c r="E88" s="126"/>
      <c r="F88" s="126"/>
      <c r="G88" s="126"/>
      <c r="H88" s="126"/>
      <c r="I88" s="158"/>
      <c r="J88" s="158"/>
      <c r="K88" s="158"/>
      <c r="L88" s="126"/>
      <c r="M88" s="126"/>
      <c r="N88" s="126"/>
      <c r="O88" s="126"/>
      <c r="P88" s="126"/>
    </row>
    <row r="89" spans="2:16" ht="12.75">
      <c r="B89" s="126"/>
      <c r="C89" s="126"/>
      <c r="D89" s="156" t="s">
        <v>129</v>
      </c>
      <c r="E89" s="126"/>
      <c r="F89" s="126"/>
      <c r="G89" s="126"/>
      <c r="H89" s="126"/>
      <c r="I89" s="158"/>
      <c r="J89" s="158"/>
      <c r="K89" s="158"/>
      <c r="L89" s="126"/>
      <c r="M89" s="126"/>
      <c r="N89" s="126"/>
      <c r="O89" s="126"/>
      <c r="P89" s="126"/>
    </row>
    <row r="90" spans="2:16" ht="12.75">
      <c r="B90" s="126"/>
      <c r="C90" s="126"/>
      <c r="D90" s="126" t="s">
        <v>130</v>
      </c>
      <c r="E90" s="126"/>
      <c r="F90" s="126"/>
      <c r="G90" s="126"/>
      <c r="H90" s="126"/>
      <c r="I90" s="158"/>
      <c r="J90" s="158"/>
      <c r="K90" s="158"/>
      <c r="L90" s="126"/>
      <c r="M90" s="126"/>
      <c r="N90" s="126"/>
      <c r="O90" s="126"/>
      <c r="P90" s="126"/>
    </row>
    <row r="91" spans="2:16" ht="12.75">
      <c r="B91" s="126"/>
      <c r="C91" s="126"/>
      <c r="D91" s="126"/>
      <c r="E91" s="126"/>
      <c r="F91" s="126"/>
      <c r="G91" s="126"/>
      <c r="H91" s="126"/>
      <c r="I91" s="158"/>
      <c r="J91" s="158"/>
      <c r="K91" s="158"/>
      <c r="L91" s="126"/>
      <c r="M91" s="126"/>
      <c r="N91" s="126"/>
      <c r="O91" s="126"/>
      <c r="P91" s="126"/>
    </row>
    <row r="92" spans="2:16" ht="12.75">
      <c r="B92" s="126"/>
      <c r="C92" s="126"/>
      <c r="D92" s="156" t="s">
        <v>83</v>
      </c>
      <c r="E92" s="126"/>
      <c r="F92" s="126"/>
      <c r="G92" s="126"/>
      <c r="H92" s="126"/>
      <c r="I92" s="158"/>
      <c r="J92" s="158"/>
      <c r="K92" s="158"/>
      <c r="L92" s="126"/>
      <c r="M92" s="126"/>
      <c r="N92" s="126"/>
      <c r="O92" s="126"/>
      <c r="P92" s="126"/>
    </row>
    <row r="93" spans="2:16" ht="12.75">
      <c r="B93" s="126"/>
      <c r="C93" s="126"/>
      <c r="D93" s="126" t="s">
        <v>291</v>
      </c>
      <c r="E93" s="126"/>
      <c r="F93" s="126"/>
      <c r="G93" s="126"/>
      <c r="H93" s="126"/>
      <c r="I93" s="158"/>
      <c r="J93" s="158"/>
      <c r="K93" s="158"/>
      <c r="L93" s="126"/>
      <c r="M93" s="126"/>
      <c r="N93" s="126"/>
      <c r="O93" s="126"/>
      <c r="P93" s="126"/>
    </row>
    <row r="94" spans="2:16" ht="12.75">
      <c r="B94" s="126"/>
      <c r="C94" s="126"/>
      <c r="D94" s="126" t="s">
        <v>292</v>
      </c>
      <c r="E94" s="126"/>
      <c r="F94" s="126"/>
      <c r="G94" s="126"/>
      <c r="H94" s="126"/>
      <c r="I94" s="158"/>
      <c r="J94" s="158"/>
      <c r="K94" s="158"/>
      <c r="L94" s="126"/>
      <c r="M94" s="126"/>
      <c r="N94" s="126"/>
      <c r="O94" s="126"/>
      <c r="P94" s="126"/>
    </row>
    <row r="95" spans="2:16" ht="12.75">
      <c r="B95" s="126"/>
      <c r="C95" s="126"/>
      <c r="D95" s="126"/>
      <c r="E95" s="126"/>
      <c r="F95" s="126"/>
      <c r="G95" s="126"/>
      <c r="H95" s="126"/>
      <c r="I95" s="158"/>
      <c r="J95" s="158"/>
      <c r="K95" s="158"/>
      <c r="L95" s="126"/>
      <c r="M95" s="126"/>
      <c r="N95" s="126"/>
      <c r="O95" s="126"/>
      <c r="P95" s="126"/>
    </row>
    <row r="96" spans="1:16" ht="12.75">
      <c r="A96" s="123"/>
      <c r="B96" s="130"/>
      <c r="C96" s="130">
        <v>2</v>
      </c>
      <c r="D96" s="129" t="s">
        <v>192</v>
      </c>
      <c r="E96" s="126"/>
      <c r="F96" s="126"/>
      <c r="G96" s="126"/>
      <c r="H96" s="126"/>
      <c r="I96" s="158"/>
      <c r="J96" s="158"/>
      <c r="K96" s="158"/>
      <c r="L96" s="126"/>
      <c r="M96" s="126"/>
      <c r="N96" s="126"/>
      <c r="O96" s="126"/>
      <c r="P96" s="126"/>
    </row>
    <row r="97" spans="1:16" ht="12.75">
      <c r="A97" s="123"/>
      <c r="B97" s="130"/>
      <c r="C97" s="130"/>
      <c r="D97" s="156" t="s">
        <v>82</v>
      </c>
      <c r="E97" s="126"/>
      <c r="F97" s="126"/>
      <c r="G97" s="126"/>
      <c r="H97" s="126"/>
      <c r="I97" s="158"/>
      <c r="J97" s="158"/>
      <c r="K97" s="158"/>
      <c r="L97" s="126"/>
      <c r="M97" s="126"/>
      <c r="N97" s="126"/>
      <c r="O97" s="126"/>
      <c r="P97" s="126"/>
    </row>
    <row r="98" spans="1:16" ht="12.75">
      <c r="A98" s="123"/>
      <c r="B98" s="130"/>
      <c r="C98" s="130"/>
      <c r="D98" s="126" t="s">
        <v>193</v>
      </c>
      <c r="E98" s="126"/>
      <c r="F98" s="126"/>
      <c r="G98" s="126"/>
      <c r="H98" s="126"/>
      <c r="I98" s="158"/>
      <c r="J98" s="158"/>
      <c r="K98" s="158"/>
      <c r="L98" s="126"/>
      <c r="M98" s="126"/>
      <c r="N98" s="126"/>
      <c r="O98" s="126"/>
      <c r="P98" s="126"/>
    </row>
    <row r="99" spans="1:16" ht="12.75">
      <c r="A99" s="123"/>
      <c r="B99" s="130"/>
      <c r="C99" s="130"/>
      <c r="D99" s="126" t="s">
        <v>293</v>
      </c>
      <c r="E99" s="126"/>
      <c r="F99" s="126"/>
      <c r="G99" s="126"/>
      <c r="H99" s="126"/>
      <c r="I99" s="158"/>
      <c r="J99" s="158"/>
      <c r="K99" s="158"/>
      <c r="L99" s="126"/>
      <c r="M99" s="126"/>
      <c r="N99" s="126"/>
      <c r="O99" s="126"/>
      <c r="P99" s="126"/>
    </row>
    <row r="100" spans="1:16" ht="12.75">
      <c r="A100" s="123"/>
      <c r="B100" s="130"/>
      <c r="C100" s="130"/>
      <c r="D100" s="126"/>
      <c r="E100" s="126"/>
      <c r="F100" s="126"/>
      <c r="G100" s="126"/>
      <c r="H100" s="126"/>
      <c r="I100" s="158"/>
      <c r="J100" s="158"/>
      <c r="K100" s="158"/>
      <c r="L100" s="126"/>
      <c r="M100" s="126"/>
      <c r="N100" s="126"/>
      <c r="O100" s="126"/>
      <c r="P100" s="126"/>
    </row>
    <row r="101" spans="1:16" ht="12.75">
      <c r="A101" s="123"/>
      <c r="B101" s="130"/>
      <c r="C101" s="130"/>
      <c r="D101" s="126" t="s">
        <v>254</v>
      </c>
      <c r="E101" s="126"/>
      <c r="F101" s="160"/>
      <c r="G101" s="161"/>
      <c r="H101" s="126"/>
      <c r="I101" s="158"/>
      <c r="J101" s="158"/>
      <c r="K101" s="158"/>
      <c r="L101" s="126"/>
      <c r="M101" s="126"/>
      <c r="N101" s="126"/>
      <c r="O101" s="126"/>
      <c r="P101" s="126"/>
    </row>
    <row r="102" spans="1:16" ht="12.75">
      <c r="A102" s="123"/>
      <c r="B102" s="130"/>
      <c r="C102" s="130"/>
      <c r="D102" s="126" t="s">
        <v>224</v>
      </c>
      <c r="E102" s="126"/>
      <c r="F102" s="160"/>
      <c r="G102" s="161"/>
      <c r="H102" s="126"/>
      <c r="I102" s="158"/>
      <c r="J102" s="158"/>
      <c r="K102" s="158"/>
      <c r="L102" s="126"/>
      <c r="M102" s="126"/>
      <c r="N102" s="126"/>
      <c r="O102" s="126"/>
      <c r="P102" s="126"/>
    </row>
    <row r="103" spans="1:16" ht="12.75">
      <c r="A103" s="123"/>
      <c r="B103" s="130"/>
      <c r="C103" s="130"/>
      <c r="D103" s="439" t="s">
        <v>378</v>
      </c>
      <c r="E103" s="126"/>
      <c r="F103" s="160"/>
      <c r="G103" s="161"/>
      <c r="H103" s="126"/>
      <c r="I103" s="158"/>
      <c r="J103" s="158"/>
      <c r="K103" s="158"/>
      <c r="L103" s="126"/>
      <c r="M103" s="126"/>
      <c r="N103" s="126"/>
      <c r="O103" s="126"/>
      <c r="P103" s="126"/>
    </row>
    <row r="104" spans="1:16" ht="12.75">
      <c r="A104" s="123"/>
      <c r="B104" s="130"/>
      <c r="C104" s="130"/>
      <c r="D104" s="126" t="s">
        <v>261</v>
      </c>
      <c r="E104" s="126"/>
      <c r="F104" s="160"/>
      <c r="G104" s="161"/>
      <c r="H104" s="126"/>
      <c r="I104" s="158"/>
      <c r="J104" s="158"/>
      <c r="K104" s="158"/>
      <c r="L104" s="126"/>
      <c r="M104" s="126"/>
      <c r="N104" s="126"/>
      <c r="O104" s="126"/>
      <c r="P104" s="126"/>
    </row>
    <row r="105" spans="1:16" ht="12.75">
      <c r="A105" s="123"/>
      <c r="B105" s="130"/>
      <c r="C105" s="130"/>
      <c r="D105" s="126"/>
      <c r="E105" s="126"/>
      <c r="F105" s="162"/>
      <c r="G105" s="158"/>
      <c r="H105" s="126"/>
      <c r="I105" s="158"/>
      <c r="J105" s="158"/>
      <c r="K105" s="158"/>
      <c r="L105" s="126"/>
      <c r="M105" s="126"/>
      <c r="N105" s="126"/>
      <c r="O105" s="126"/>
      <c r="P105" s="126"/>
    </row>
    <row r="106" spans="1:16" ht="12.75">
      <c r="A106" s="123"/>
      <c r="B106" s="130"/>
      <c r="C106" s="130"/>
      <c r="D106" s="156" t="s">
        <v>194</v>
      </c>
      <c r="E106" s="126"/>
      <c r="F106" s="160"/>
      <c r="G106" s="158"/>
      <c r="H106" s="126"/>
      <c r="I106" s="158"/>
      <c r="J106" s="158"/>
      <c r="K106" s="158"/>
      <c r="L106" s="126"/>
      <c r="M106" s="126"/>
      <c r="N106" s="126"/>
      <c r="O106" s="126"/>
      <c r="P106" s="126"/>
    </row>
    <row r="107" spans="1:16" ht="12.75">
      <c r="A107" s="123"/>
      <c r="B107" s="130"/>
      <c r="C107" s="130"/>
      <c r="D107" s="126" t="s">
        <v>251</v>
      </c>
      <c r="E107" s="126"/>
      <c r="F107" s="163"/>
      <c r="G107" s="126"/>
      <c r="H107" s="126"/>
      <c r="I107" s="158"/>
      <c r="J107" s="158"/>
      <c r="K107" s="158"/>
      <c r="L107" s="126"/>
      <c r="M107" s="126"/>
      <c r="N107" s="126"/>
      <c r="O107" s="126"/>
      <c r="P107" s="126"/>
    </row>
    <row r="108" spans="1:16" ht="12.75">
      <c r="A108" s="123"/>
      <c r="B108" s="130"/>
      <c r="C108" s="130"/>
      <c r="D108" s="126" t="s">
        <v>252</v>
      </c>
      <c r="E108" s="126"/>
      <c r="F108" s="126"/>
      <c r="G108" s="126"/>
      <c r="H108" s="126"/>
      <c r="I108" s="158"/>
      <c r="J108" s="158"/>
      <c r="K108" s="158"/>
      <c r="L108" s="126"/>
      <c r="M108" s="126"/>
      <c r="N108" s="126"/>
      <c r="O108" s="126"/>
      <c r="P108" s="126"/>
    </row>
    <row r="109" spans="1:16" ht="12.75">
      <c r="A109" s="123"/>
      <c r="B109" s="130"/>
      <c r="C109" s="130"/>
      <c r="D109" s="126" t="s">
        <v>195</v>
      </c>
      <c r="E109" s="126"/>
      <c r="F109" s="126"/>
      <c r="G109" s="126"/>
      <c r="H109" s="126"/>
      <c r="I109" s="158"/>
      <c r="J109" s="158"/>
      <c r="K109" s="158"/>
      <c r="L109" s="126"/>
      <c r="M109" s="126"/>
      <c r="N109" s="126"/>
      <c r="O109" s="126"/>
      <c r="P109" s="126"/>
    </row>
    <row r="110" spans="1:16" ht="12.75">
      <c r="A110" s="123"/>
      <c r="B110" s="130"/>
      <c r="C110" s="130"/>
      <c r="D110" s="126" t="s">
        <v>196</v>
      </c>
      <c r="E110" s="126"/>
      <c r="F110" s="126"/>
      <c r="G110" s="126"/>
      <c r="H110" s="126"/>
      <c r="I110" s="126"/>
      <c r="J110" s="126"/>
      <c r="K110" s="126"/>
      <c r="L110" s="126"/>
      <c r="M110" s="126"/>
      <c r="N110" s="126"/>
      <c r="O110" s="126"/>
      <c r="P110" s="126"/>
    </row>
    <row r="111" spans="1:16" ht="12.75">
      <c r="A111" s="123"/>
      <c r="B111" s="130"/>
      <c r="C111" s="130"/>
      <c r="D111" s="126"/>
      <c r="E111" s="126"/>
      <c r="F111" s="126"/>
      <c r="G111" s="126"/>
      <c r="H111" s="126"/>
      <c r="I111" s="126"/>
      <c r="J111" s="126"/>
      <c r="K111" s="126"/>
      <c r="L111" s="126"/>
      <c r="M111" s="126"/>
      <c r="N111" s="126"/>
      <c r="O111" s="126"/>
      <c r="P111" s="126"/>
    </row>
    <row r="112" spans="1:16" ht="12.75">
      <c r="A112" s="123"/>
      <c r="B112" s="130"/>
      <c r="C112" s="130">
        <v>3</v>
      </c>
      <c r="D112" s="129" t="s">
        <v>197</v>
      </c>
      <c r="E112" s="126"/>
      <c r="F112" s="126"/>
      <c r="G112" s="126"/>
      <c r="H112" s="126"/>
      <c r="I112" s="126"/>
      <c r="J112" s="126"/>
      <c r="K112" s="126"/>
      <c r="L112" s="126"/>
      <c r="M112" s="126"/>
      <c r="N112" s="126"/>
      <c r="O112" s="126"/>
      <c r="P112" s="126"/>
    </row>
    <row r="113" spans="1:16" ht="12.75">
      <c r="A113" s="123"/>
      <c r="B113" s="130"/>
      <c r="C113" s="130"/>
      <c r="D113" s="126" t="s">
        <v>198</v>
      </c>
      <c r="E113" s="126"/>
      <c r="F113" s="126"/>
      <c r="G113" s="126"/>
      <c r="H113" s="126"/>
      <c r="I113" s="126"/>
      <c r="J113" s="126"/>
      <c r="K113" s="126"/>
      <c r="L113" s="126"/>
      <c r="M113" s="126"/>
      <c r="N113" s="126"/>
      <c r="O113" s="126"/>
      <c r="P113" s="126"/>
    </row>
    <row r="114" spans="1:16" ht="12.75">
      <c r="A114" s="123"/>
      <c r="B114" s="130"/>
      <c r="C114" s="130"/>
      <c r="D114" s="126" t="s">
        <v>199</v>
      </c>
      <c r="E114" s="126"/>
      <c r="F114" s="126"/>
      <c r="G114" s="126"/>
      <c r="H114" s="126"/>
      <c r="I114" s="126"/>
      <c r="J114" s="126"/>
      <c r="K114" s="126"/>
      <c r="L114" s="126"/>
      <c r="M114" s="126"/>
      <c r="N114" s="126"/>
      <c r="O114" s="126"/>
      <c r="P114" s="126"/>
    </row>
    <row r="115" spans="1:16" ht="12.75">
      <c r="A115" s="123"/>
      <c r="B115" s="130"/>
      <c r="C115" s="130"/>
      <c r="D115" s="126" t="s">
        <v>200</v>
      </c>
      <c r="E115" s="126"/>
      <c r="F115" s="126"/>
      <c r="G115" s="126"/>
      <c r="H115" s="126"/>
      <c r="I115" s="126"/>
      <c r="J115" s="126"/>
      <c r="K115" s="126"/>
      <c r="L115" s="126"/>
      <c r="M115" s="126"/>
      <c r="N115" s="126"/>
      <c r="O115" s="126"/>
      <c r="P115" s="126"/>
    </row>
    <row r="116" spans="1:16" ht="12.75">
      <c r="A116" s="123"/>
      <c r="B116" s="130"/>
      <c r="C116" s="130"/>
      <c r="D116" s="126" t="s">
        <v>201</v>
      </c>
      <c r="E116" s="126"/>
      <c r="F116" s="126"/>
      <c r="G116" s="126"/>
      <c r="H116" s="126"/>
      <c r="I116" s="126"/>
      <c r="J116" s="126"/>
      <c r="K116" s="126"/>
      <c r="L116" s="126"/>
      <c r="M116" s="126"/>
      <c r="N116" s="126"/>
      <c r="O116" s="126"/>
      <c r="P116" s="126"/>
    </row>
    <row r="117" spans="1:16" ht="12.75">
      <c r="A117" s="123"/>
      <c r="B117" s="130"/>
      <c r="C117" s="130"/>
      <c r="D117" s="126"/>
      <c r="E117" s="126"/>
      <c r="F117" s="126"/>
      <c r="G117" s="126"/>
      <c r="H117" s="126"/>
      <c r="I117" s="126"/>
      <c r="J117" s="126"/>
      <c r="K117" s="126"/>
      <c r="L117" s="126"/>
      <c r="M117" s="126"/>
      <c r="N117" s="126"/>
      <c r="O117" s="126"/>
      <c r="P117" s="126"/>
    </row>
    <row r="118" spans="1:16" ht="12.75">
      <c r="A118" s="123"/>
      <c r="B118" s="130"/>
      <c r="C118" s="130"/>
      <c r="D118" s="126" t="s">
        <v>202</v>
      </c>
      <c r="E118" s="126"/>
      <c r="F118" s="126"/>
      <c r="G118" s="126"/>
      <c r="H118" s="126"/>
      <c r="I118" s="126"/>
      <c r="J118" s="126"/>
      <c r="K118" s="126"/>
      <c r="L118" s="126"/>
      <c r="M118" s="126"/>
      <c r="N118" s="126"/>
      <c r="O118" s="126"/>
      <c r="P118" s="126"/>
    </row>
    <row r="119" spans="1:16" ht="12.75">
      <c r="A119" s="123"/>
      <c r="B119" s="130"/>
      <c r="C119" s="130"/>
      <c r="D119" s="126" t="s">
        <v>203</v>
      </c>
      <c r="E119" s="126"/>
      <c r="F119" s="126"/>
      <c r="G119" s="126"/>
      <c r="H119" s="126"/>
      <c r="I119" s="126"/>
      <c r="J119" s="126"/>
      <c r="K119" s="126"/>
      <c r="L119" s="126"/>
      <c r="M119" s="126"/>
      <c r="N119" s="126"/>
      <c r="O119" s="126"/>
      <c r="P119" s="126"/>
    </row>
    <row r="120" spans="1:16" ht="12.75">
      <c r="A120" s="123"/>
      <c r="B120" s="130"/>
      <c r="C120" s="130"/>
      <c r="D120" s="126"/>
      <c r="E120" s="126"/>
      <c r="F120" s="126"/>
      <c r="G120" s="126"/>
      <c r="H120" s="126"/>
      <c r="I120" s="126"/>
      <c r="J120" s="126"/>
      <c r="K120" s="126"/>
      <c r="L120" s="126"/>
      <c r="M120" s="126"/>
      <c r="N120" s="126"/>
      <c r="O120" s="126"/>
      <c r="P120" s="126"/>
    </row>
    <row r="121" spans="1:16" ht="12.75">
      <c r="A121" s="123"/>
      <c r="B121" s="130"/>
      <c r="C121" s="130"/>
      <c r="D121" s="126" t="s">
        <v>204</v>
      </c>
      <c r="E121" s="126"/>
      <c r="F121" s="126"/>
      <c r="G121" s="126"/>
      <c r="H121" s="126"/>
      <c r="I121" s="126"/>
      <c r="J121" s="126"/>
      <c r="K121" s="126"/>
      <c r="L121" s="126"/>
      <c r="M121" s="126"/>
      <c r="N121" s="126"/>
      <c r="O121" s="126"/>
      <c r="P121" s="126"/>
    </row>
    <row r="122" spans="1:16" ht="12.75">
      <c r="A122" s="123"/>
      <c r="B122" s="130"/>
      <c r="C122" s="130"/>
      <c r="D122" s="126" t="s">
        <v>205</v>
      </c>
      <c r="E122" s="126"/>
      <c r="F122" s="126"/>
      <c r="G122" s="126"/>
      <c r="H122" s="126"/>
      <c r="I122" s="126"/>
      <c r="J122" s="126"/>
      <c r="K122" s="126"/>
      <c r="L122" s="126"/>
      <c r="M122" s="126"/>
      <c r="N122" s="126"/>
      <c r="O122" s="126"/>
      <c r="P122" s="126"/>
    </row>
    <row r="123" spans="1:16" ht="12.75">
      <c r="A123" s="123"/>
      <c r="B123" s="130"/>
      <c r="C123" s="130"/>
      <c r="D123" s="126"/>
      <c r="E123" s="126"/>
      <c r="F123" s="126"/>
      <c r="G123" s="126"/>
      <c r="H123" s="126"/>
      <c r="I123" s="126"/>
      <c r="J123" s="126"/>
      <c r="K123" s="126"/>
      <c r="L123" s="126"/>
      <c r="M123" s="126"/>
      <c r="N123" s="126"/>
      <c r="O123" s="126"/>
      <c r="P123" s="126"/>
    </row>
    <row r="124" spans="1:16" ht="12.75">
      <c r="A124" s="123"/>
      <c r="B124" s="130"/>
      <c r="C124" s="130"/>
      <c r="D124" s="126" t="s">
        <v>206</v>
      </c>
      <c r="E124" s="126"/>
      <c r="F124" s="126"/>
      <c r="G124" s="126"/>
      <c r="H124" s="126"/>
      <c r="I124" s="126"/>
      <c r="J124" s="126"/>
      <c r="K124" s="126"/>
      <c r="L124" s="126"/>
      <c r="M124" s="126"/>
      <c r="N124" s="126"/>
      <c r="O124" s="126"/>
      <c r="P124" s="126"/>
    </row>
    <row r="125" spans="1:16" ht="12.75">
      <c r="A125" s="123"/>
      <c r="B125" s="130"/>
      <c r="C125" s="130"/>
      <c r="D125" s="126" t="s">
        <v>306</v>
      </c>
      <c r="E125" s="126"/>
      <c r="F125" s="126"/>
      <c r="G125" s="126"/>
      <c r="H125" s="126"/>
      <c r="I125" s="126"/>
      <c r="J125" s="126"/>
      <c r="K125" s="126"/>
      <c r="L125" s="126"/>
      <c r="M125" s="126"/>
      <c r="N125" s="126"/>
      <c r="O125" s="126"/>
      <c r="P125" s="126"/>
    </row>
    <row r="126" spans="1:16" ht="12.75">
      <c r="A126" s="123"/>
      <c r="B126" s="130"/>
      <c r="C126" s="130"/>
      <c r="D126" s="126" t="s">
        <v>207</v>
      </c>
      <c r="E126" s="126"/>
      <c r="F126" s="126"/>
      <c r="G126" s="126"/>
      <c r="H126" s="126"/>
      <c r="I126" s="126"/>
      <c r="J126" s="126"/>
      <c r="K126" s="126"/>
      <c r="L126" s="126"/>
      <c r="M126" s="126"/>
      <c r="N126" s="126"/>
      <c r="O126" s="126"/>
      <c r="P126" s="126"/>
    </row>
    <row r="127" spans="1:16" ht="12.75">
      <c r="A127" s="123"/>
      <c r="B127" s="130"/>
      <c r="C127" s="130"/>
      <c r="D127" s="126"/>
      <c r="E127" s="126"/>
      <c r="F127" s="126"/>
      <c r="G127" s="126"/>
      <c r="H127" s="126"/>
      <c r="I127" s="126"/>
      <c r="J127" s="126"/>
      <c r="K127" s="126"/>
      <c r="L127" s="126"/>
      <c r="M127" s="126"/>
      <c r="N127" s="126"/>
      <c r="O127" s="126"/>
      <c r="P127" s="126"/>
    </row>
    <row r="128" spans="1:16" ht="12.75">
      <c r="A128" s="123"/>
      <c r="B128" s="130"/>
      <c r="C128" s="130"/>
      <c r="D128" s="439" t="s">
        <v>378</v>
      </c>
      <c r="E128" s="126"/>
      <c r="F128" s="126"/>
      <c r="G128" s="126"/>
      <c r="H128" s="126"/>
      <c r="I128" s="126"/>
      <c r="J128" s="126"/>
      <c r="K128" s="126"/>
      <c r="L128" s="126"/>
      <c r="M128" s="126"/>
      <c r="N128" s="126"/>
      <c r="O128" s="126"/>
      <c r="P128" s="126"/>
    </row>
    <row r="129" spans="1:16" ht="12.75">
      <c r="A129" s="123"/>
      <c r="B129" s="130"/>
      <c r="C129" s="130"/>
      <c r="D129" s="126" t="s">
        <v>261</v>
      </c>
      <c r="E129" s="126"/>
      <c r="F129" s="126"/>
      <c r="G129" s="126"/>
      <c r="H129" s="126"/>
      <c r="I129" s="126"/>
      <c r="J129" s="126"/>
      <c r="K129" s="126"/>
      <c r="L129" s="126"/>
      <c r="M129" s="126"/>
      <c r="N129" s="126"/>
      <c r="O129" s="126"/>
      <c r="P129" s="126"/>
    </row>
    <row r="130" spans="1:16" ht="12.75">
      <c r="A130" s="123"/>
      <c r="B130" s="130"/>
      <c r="C130" s="130"/>
      <c r="D130" s="126" t="s">
        <v>208</v>
      </c>
      <c r="E130" s="126"/>
      <c r="F130" s="126"/>
      <c r="G130" s="126"/>
      <c r="H130" s="126"/>
      <c r="I130" s="126"/>
      <c r="J130" s="126"/>
      <c r="K130" s="126"/>
      <c r="L130" s="126"/>
      <c r="M130" s="126"/>
      <c r="N130" s="126"/>
      <c r="O130" s="126"/>
      <c r="P130" s="126"/>
    </row>
    <row r="131" spans="1:16" ht="12.75">
      <c r="A131" s="123"/>
      <c r="B131" s="130"/>
      <c r="C131" s="130"/>
      <c r="D131" s="126" t="s">
        <v>209</v>
      </c>
      <c r="E131" s="126"/>
      <c r="F131" s="126"/>
      <c r="G131" s="126"/>
      <c r="H131" s="126"/>
      <c r="I131" s="126"/>
      <c r="J131" s="126"/>
      <c r="K131" s="126"/>
      <c r="L131" s="126"/>
      <c r="M131" s="126"/>
      <c r="N131" s="126"/>
      <c r="O131" s="126"/>
      <c r="P131" s="126"/>
    </row>
    <row r="132" spans="1:16" ht="12.75">
      <c r="A132" s="123"/>
      <c r="B132" s="130"/>
      <c r="C132" s="130"/>
      <c r="D132" s="126"/>
      <c r="E132" s="126"/>
      <c r="F132" s="126"/>
      <c r="G132" s="126"/>
      <c r="H132" s="126"/>
      <c r="I132" s="126"/>
      <c r="J132" s="126"/>
      <c r="K132" s="126"/>
      <c r="L132" s="126"/>
      <c r="M132" s="126"/>
      <c r="N132" s="126"/>
      <c r="O132" s="126"/>
      <c r="P132" s="126"/>
    </row>
    <row r="133" spans="1:16" ht="12.75">
      <c r="A133" s="123"/>
      <c r="B133" s="130"/>
      <c r="C133" s="130">
        <v>4</v>
      </c>
      <c r="D133" s="129" t="s">
        <v>210</v>
      </c>
      <c r="E133" s="126"/>
      <c r="F133" s="126"/>
      <c r="G133" s="126"/>
      <c r="H133" s="126"/>
      <c r="I133" s="126"/>
      <c r="J133" s="126"/>
      <c r="K133" s="126"/>
      <c r="L133" s="126"/>
      <c r="M133" s="126"/>
      <c r="N133" s="126"/>
      <c r="O133" s="126"/>
      <c r="P133" s="126"/>
    </row>
    <row r="134" spans="1:16" ht="12.75">
      <c r="A134" s="123"/>
      <c r="B134" s="130"/>
      <c r="C134" s="130"/>
      <c r="D134" s="126" t="s">
        <v>211</v>
      </c>
      <c r="E134" s="126"/>
      <c r="F134" s="126"/>
      <c r="G134" s="126"/>
      <c r="H134" s="126"/>
      <c r="I134" s="126"/>
      <c r="J134" s="126"/>
      <c r="K134" s="126"/>
      <c r="L134" s="126"/>
      <c r="M134" s="126"/>
      <c r="N134" s="126"/>
      <c r="O134" s="126"/>
      <c r="P134" s="126"/>
    </row>
    <row r="135" spans="1:16" ht="12.75">
      <c r="A135" s="123"/>
      <c r="B135" s="130"/>
      <c r="C135" s="130"/>
      <c r="D135" s="126" t="s">
        <v>212</v>
      </c>
      <c r="E135" s="126"/>
      <c r="F135" s="126"/>
      <c r="G135" s="126"/>
      <c r="H135" s="126"/>
      <c r="I135" s="126"/>
      <c r="J135" s="126"/>
      <c r="K135" s="126"/>
      <c r="L135" s="126"/>
      <c r="M135" s="126"/>
      <c r="N135" s="126"/>
      <c r="O135" s="126"/>
      <c r="P135" s="126"/>
    </row>
    <row r="136" spans="1:16" ht="12.75">
      <c r="A136" s="123"/>
      <c r="B136" s="130"/>
      <c r="C136" s="130"/>
      <c r="D136" s="126" t="s">
        <v>213</v>
      </c>
      <c r="E136" s="126"/>
      <c r="F136" s="126"/>
      <c r="G136" s="126"/>
      <c r="H136" s="126"/>
      <c r="I136" s="126"/>
      <c r="J136" s="126"/>
      <c r="K136" s="126"/>
      <c r="L136" s="126"/>
      <c r="M136" s="126"/>
      <c r="N136" s="126"/>
      <c r="O136" s="126"/>
      <c r="P136" s="126"/>
    </row>
    <row r="137" spans="1:16" ht="12.75">
      <c r="A137" s="123"/>
      <c r="B137" s="130"/>
      <c r="C137" s="130"/>
      <c r="D137" s="126" t="s">
        <v>214</v>
      </c>
      <c r="E137" s="126"/>
      <c r="F137" s="126"/>
      <c r="G137" s="126"/>
      <c r="H137" s="126"/>
      <c r="I137" s="126"/>
      <c r="J137" s="126"/>
      <c r="K137" s="126"/>
      <c r="L137" s="126"/>
      <c r="M137" s="126"/>
      <c r="N137" s="126"/>
      <c r="O137" s="126"/>
      <c r="P137" s="126"/>
    </row>
    <row r="138" spans="1:16" ht="12.75">
      <c r="A138" s="123"/>
      <c r="B138" s="130"/>
      <c r="C138" s="130"/>
      <c r="D138" s="126"/>
      <c r="E138" s="126"/>
      <c r="F138" s="126"/>
      <c r="G138" s="126"/>
      <c r="H138" s="126"/>
      <c r="I138" s="126"/>
      <c r="J138" s="126"/>
      <c r="K138" s="126"/>
      <c r="L138" s="126"/>
      <c r="M138" s="126"/>
      <c r="N138" s="126"/>
      <c r="O138" s="126"/>
      <c r="P138" s="126"/>
    </row>
    <row r="139" spans="1:16" ht="12.75">
      <c r="A139" s="123"/>
      <c r="B139" s="130"/>
      <c r="C139" s="130"/>
      <c r="D139" s="439" t="s">
        <v>378</v>
      </c>
      <c r="E139" s="126"/>
      <c r="F139" s="126"/>
      <c r="G139" s="126"/>
      <c r="H139" s="126"/>
      <c r="I139" s="126"/>
      <c r="J139" s="126"/>
      <c r="K139" s="126"/>
      <c r="L139" s="126"/>
      <c r="M139" s="126"/>
      <c r="N139" s="126"/>
      <c r="O139" s="126"/>
      <c r="P139" s="126"/>
    </row>
    <row r="140" spans="1:16" ht="12.75">
      <c r="A140" s="123"/>
      <c r="B140" s="130"/>
      <c r="C140" s="130"/>
      <c r="D140" s="126" t="s">
        <v>261</v>
      </c>
      <c r="E140" s="126"/>
      <c r="F140" s="126"/>
      <c r="G140" s="126"/>
      <c r="H140" s="126"/>
      <c r="I140" s="126"/>
      <c r="J140" s="126"/>
      <c r="K140" s="126"/>
      <c r="L140" s="126"/>
      <c r="M140" s="126"/>
      <c r="N140" s="126"/>
      <c r="O140" s="126"/>
      <c r="P140" s="126"/>
    </row>
    <row r="141" spans="1:16" ht="12.75">
      <c r="A141" s="123"/>
      <c r="B141" s="130"/>
      <c r="C141" s="130"/>
      <c r="D141" s="126" t="s">
        <v>208</v>
      </c>
      <c r="E141" s="126"/>
      <c r="F141" s="126"/>
      <c r="G141" s="126"/>
      <c r="H141" s="126"/>
      <c r="I141" s="126"/>
      <c r="J141" s="126"/>
      <c r="K141" s="126"/>
      <c r="L141" s="126"/>
      <c r="M141" s="126"/>
      <c r="N141" s="126"/>
      <c r="O141" s="126"/>
      <c r="P141" s="126"/>
    </row>
    <row r="142" spans="1:16" ht="12.75">
      <c r="A142" s="123"/>
      <c r="B142" s="130"/>
      <c r="C142" s="130"/>
      <c r="D142" s="126" t="s">
        <v>209</v>
      </c>
      <c r="E142" s="126"/>
      <c r="F142" s="126"/>
      <c r="G142" s="126"/>
      <c r="H142" s="126"/>
      <c r="I142" s="126"/>
      <c r="J142" s="126"/>
      <c r="K142" s="126"/>
      <c r="L142" s="126"/>
      <c r="M142" s="126"/>
      <c r="N142" s="126"/>
      <c r="O142" s="126"/>
      <c r="P142" s="126"/>
    </row>
    <row r="143" spans="1:16" ht="12.75">
      <c r="A143" s="123"/>
      <c r="B143" s="130"/>
      <c r="C143" s="130"/>
      <c r="D143" s="126"/>
      <c r="E143" s="126"/>
      <c r="F143" s="126"/>
      <c r="G143" s="126"/>
      <c r="H143" s="126"/>
      <c r="I143" s="126"/>
      <c r="J143" s="126"/>
      <c r="K143" s="126"/>
      <c r="L143" s="126"/>
      <c r="M143" s="126"/>
      <c r="N143" s="126"/>
      <c r="O143" s="126"/>
      <c r="P143" s="126"/>
    </row>
    <row r="144" spans="1:16" ht="12.75">
      <c r="A144" s="123"/>
      <c r="B144" s="130"/>
      <c r="C144" s="130"/>
      <c r="D144" s="156" t="s">
        <v>194</v>
      </c>
      <c r="E144" s="126"/>
      <c r="F144" s="126"/>
      <c r="G144" s="126"/>
      <c r="H144" s="126"/>
      <c r="I144" s="126"/>
      <c r="J144" s="126"/>
      <c r="K144" s="126"/>
      <c r="L144" s="126"/>
      <c r="M144" s="126"/>
      <c r="N144" s="126"/>
      <c r="O144" s="126"/>
      <c r="P144" s="126"/>
    </row>
    <row r="145" spans="1:16" ht="12.75">
      <c r="A145" s="123"/>
      <c r="B145" s="130"/>
      <c r="C145" s="130"/>
      <c r="D145" s="126" t="s">
        <v>255</v>
      </c>
      <c r="E145" s="126"/>
      <c r="F145" s="126"/>
      <c r="G145" s="126"/>
      <c r="H145" s="126"/>
      <c r="I145" s="126"/>
      <c r="J145" s="126"/>
      <c r="K145" s="126"/>
      <c r="L145" s="126"/>
      <c r="M145" s="126"/>
      <c r="N145" s="126"/>
      <c r="O145" s="126"/>
      <c r="P145" s="126"/>
    </row>
    <row r="146" spans="1:16" ht="12.75">
      <c r="A146" s="123"/>
      <c r="B146" s="130"/>
      <c r="C146" s="130"/>
      <c r="D146" s="126" t="s">
        <v>215</v>
      </c>
      <c r="E146" s="126"/>
      <c r="F146" s="126"/>
      <c r="G146" s="126"/>
      <c r="H146" s="126"/>
      <c r="I146" s="126"/>
      <c r="J146" s="126"/>
      <c r="K146" s="126"/>
      <c r="L146" s="126"/>
      <c r="M146" s="126"/>
      <c r="N146" s="126"/>
      <c r="O146" s="126"/>
      <c r="P146" s="126"/>
    </row>
    <row r="147" spans="1:16" ht="12.75">
      <c r="A147" s="123"/>
      <c r="B147" s="130"/>
      <c r="C147" s="130"/>
      <c r="D147" s="126" t="s">
        <v>216</v>
      </c>
      <c r="E147" s="126"/>
      <c r="F147" s="126"/>
      <c r="G147" s="126"/>
      <c r="H147" s="126"/>
      <c r="I147" s="126"/>
      <c r="J147" s="126"/>
      <c r="K147" s="126"/>
      <c r="L147" s="126"/>
      <c r="M147" s="126"/>
      <c r="N147" s="126"/>
      <c r="O147" s="126"/>
      <c r="P147" s="126"/>
    </row>
    <row r="148" spans="1:16" ht="12.75">
      <c r="A148" s="123"/>
      <c r="B148" s="130"/>
      <c r="C148" s="130"/>
      <c r="D148" s="126" t="s">
        <v>217</v>
      </c>
      <c r="E148" s="126"/>
      <c r="F148" s="126"/>
      <c r="G148" s="126"/>
      <c r="H148" s="126"/>
      <c r="I148" s="126"/>
      <c r="J148" s="126"/>
      <c r="K148" s="126"/>
      <c r="L148" s="126"/>
      <c r="M148" s="126"/>
      <c r="N148" s="126"/>
      <c r="O148" s="126"/>
      <c r="P148" s="126"/>
    </row>
    <row r="149" spans="1:16" ht="12.75">
      <c r="A149" s="123"/>
      <c r="B149" s="130"/>
      <c r="C149" s="130"/>
      <c r="D149" s="126" t="s">
        <v>218</v>
      </c>
      <c r="E149" s="126"/>
      <c r="F149" s="126"/>
      <c r="G149" s="126"/>
      <c r="H149" s="126"/>
      <c r="I149" s="126"/>
      <c r="J149" s="126"/>
      <c r="K149" s="126"/>
      <c r="L149" s="126"/>
      <c r="M149" s="126"/>
      <c r="N149" s="126"/>
      <c r="O149" s="126"/>
      <c r="P149" s="126"/>
    </row>
    <row r="150" spans="1:16" ht="12.75">
      <c r="A150" s="123"/>
      <c r="B150" s="130"/>
      <c r="C150" s="130"/>
      <c r="D150" s="126" t="s">
        <v>219</v>
      </c>
      <c r="E150" s="126"/>
      <c r="F150" s="126"/>
      <c r="G150" s="126"/>
      <c r="H150" s="126"/>
      <c r="I150" s="126"/>
      <c r="J150" s="126"/>
      <c r="K150" s="126"/>
      <c r="L150" s="126"/>
      <c r="M150" s="126"/>
      <c r="N150" s="126"/>
      <c r="O150" s="126"/>
      <c r="P150" s="126"/>
    </row>
    <row r="151" spans="1:16" ht="12.75">
      <c r="A151" s="123"/>
      <c r="B151" s="130"/>
      <c r="C151" s="130"/>
      <c r="D151" s="126" t="s">
        <v>220</v>
      </c>
      <c r="E151" s="126"/>
      <c r="F151" s="126"/>
      <c r="G151" s="126"/>
      <c r="H151" s="126"/>
      <c r="I151" s="126"/>
      <c r="J151" s="126"/>
      <c r="K151" s="126"/>
      <c r="L151" s="126"/>
      <c r="M151" s="126"/>
      <c r="N151" s="126"/>
      <c r="O151" s="126"/>
      <c r="P151" s="126"/>
    </row>
    <row r="152" spans="1:16" ht="12.75">
      <c r="A152" s="123"/>
      <c r="B152" s="130"/>
      <c r="C152" s="130"/>
      <c r="D152" s="126"/>
      <c r="E152" s="126"/>
      <c r="F152" s="126"/>
      <c r="G152" s="126"/>
      <c r="H152" s="126"/>
      <c r="I152" s="126"/>
      <c r="J152" s="126"/>
      <c r="K152" s="126"/>
      <c r="L152" s="126"/>
      <c r="M152" s="126"/>
      <c r="N152" s="126"/>
      <c r="O152" s="126"/>
      <c r="P152" s="126"/>
    </row>
    <row r="153" spans="1:16" ht="12.75">
      <c r="A153" s="123"/>
      <c r="B153" s="130"/>
      <c r="C153" s="130">
        <v>5</v>
      </c>
      <c r="D153" s="129" t="s">
        <v>35</v>
      </c>
      <c r="E153" s="126"/>
      <c r="F153" s="126"/>
      <c r="G153" s="126"/>
      <c r="H153" s="126"/>
      <c r="I153" s="126"/>
      <c r="J153" s="126"/>
      <c r="K153" s="126"/>
      <c r="L153" s="126"/>
      <c r="M153" s="126"/>
      <c r="N153" s="126"/>
      <c r="O153" s="126"/>
      <c r="P153" s="126"/>
    </row>
    <row r="154" spans="1:16" ht="12.75">
      <c r="A154" s="123"/>
      <c r="B154" s="130"/>
      <c r="C154" s="130"/>
      <c r="D154" s="126" t="s">
        <v>324</v>
      </c>
      <c r="E154" s="126"/>
      <c r="F154" s="126"/>
      <c r="G154" s="126"/>
      <c r="H154" s="126"/>
      <c r="I154" s="126"/>
      <c r="J154" s="126"/>
      <c r="K154" s="126"/>
      <c r="L154" s="126"/>
      <c r="M154" s="126"/>
      <c r="N154" s="126"/>
      <c r="O154" s="126"/>
      <c r="P154" s="126"/>
    </row>
    <row r="155" spans="1:16" ht="12.75">
      <c r="A155" s="123"/>
      <c r="B155" s="130"/>
      <c r="C155" s="130"/>
      <c r="D155" s="126" t="s">
        <v>270</v>
      </c>
      <c r="E155" s="126"/>
      <c r="F155" s="126"/>
      <c r="G155" s="126"/>
      <c r="H155" s="126"/>
      <c r="I155" s="126"/>
      <c r="J155" s="126"/>
      <c r="K155" s="126"/>
      <c r="L155" s="126"/>
      <c r="M155" s="126"/>
      <c r="N155" s="126"/>
      <c r="O155" s="126"/>
      <c r="P155" s="126"/>
    </row>
    <row r="156" spans="1:16" ht="12.75">
      <c r="A156" s="123"/>
      <c r="B156" s="130"/>
      <c r="C156" s="130"/>
      <c r="D156" s="126"/>
      <c r="E156" s="126"/>
      <c r="F156" s="126"/>
      <c r="G156" s="126"/>
      <c r="H156" s="126"/>
      <c r="I156" s="126"/>
      <c r="J156" s="126"/>
      <c r="K156" s="126"/>
      <c r="L156" s="126"/>
      <c r="M156" s="126"/>
      <c r="N156" s="126"/>
      <c r="O156" s="126"/>
      <c r="P156" s="126"/>
    </row>
    <row r="157" spans="1:16" ht="12.75">
      <c r="A157" s="123"/>
      <c r="B157" s="130"/>
      <c r="C157" s="130"/>
      <c r="D157" s="126"/>
      <c r="E157" s="126"/>
      <c r="F157" s="126"/>
      <c r="G157" s="126"/>
      <c r="H157" s="126"/>
      <c r="I157" s="126"/>
      <c r="J157" s="126"/>
      <c r="K157" s="126"/>
      <c r="L157" s="126"/>
      <c r="M157" s="126"/>
      <c r="N157" s="126"/>
      <c r="O157" s="126"/>
      <c r="P157" s="126"/>
    </row>
    <row r="158" spans="1:16" ht="12.75">
      <c r="A158" s="123"/>
      <c r="B158" s="130"/>
      <c r="C158" s="130"/>
      <c r="D158" s="129" t="s">
        <v>281</v>
      </c>
      <c r="E158" s="126"/>
      <c r="F158" s="126"/>
      <c r="G158" s="126"/>
      <c r="H158" s="126"/>
      <c r="I158" s="126"/>
      <c r="J158" s="126"/>
      <c r="K158" s="126"/>
      <c r="L158" s="126"/>
      <c r="M158" s="126"/>
      <c r="N158" s="126"/>
      <c r="O158" s="126"/>
      <c r="P158" s="126"/>
    </row>
    <row r="159" spans="1:16" s="503" customFormat="1" ht="12.75">
      <c r="A159" s="501"/>
      <c r="B159" s="502"/>
      <c r="C159" s="502"/>
      <c r="D159" s="500" t="s">
        <v>325</v>
      </c>
      <c r="E159" s="126"/>
      <c r="F159" s="126"/>
      <c r="G159" s="126"/>
      <c r="H159" s="126"/>
      <c r="I159" s="126"/>
      <c r="J159" s="126"/>
      <c r="K159" s="164" t="s">
        <v>326</v>
      </c>
      <c r="L159" s="439"/>
      <c r="M159" s="439"/>
      <c r="N159" s="439"/>
      <c r="O159" s="439"/>
      <c r="P159" s="439"/>
    </row>
    <row r="160" spans="1:16" s="503" customFormat="1" ht="12.75">
      <c r="A160" s="501"/>
      <c r="B160" s="502"/>
      <c r="C160" s="502"/>
      <c r="D160" s="500" t="s">
        <v>368</v>
      </c>
      <c r="E160" s="126"/>
      <c r="F160" s="129"/>
      <c r="G160" s="439"/>
      <c r="H160" s="439"/>
      <c r="I160" s="439"/>
      <c r="J160" s="439"/>
      <c r="K160" s="164" t="s">
        <v>367</v>
      </c>
      <c r="L160" s="439"/>
      <c r="M160" s="439"/>
      <c r="N160" s="439"/>
      <c r="O160" s="439"/>
      <c r="P160" s="439"/>
    </row>
    <row r="161" spans="2:16" s="503" customFormat="1" ht="12.75">
      <c r="B161" s="439"/>
      <c r="C161" s="439"/>
      <c r="D161" s="500" t="s">
        <v>282</v>
      </c>
      <c r="E161" s="126"/>
      <c r="F161" s="126"/>
      <c r="G161" s="126"/>
      <c r="H161" s="126"/>
      <c r="I161" s="126"/>
      <c r="J161" s="126"/>
      <c r="K161" s="164" t="s">
        <v>283</v>
      </c>
      <c r="L161" s="439"/>
      <c r="M161" s="439"/>
      <c r="N161" s="439"/>
      <c r="O161" s="439"/>
      <c r="P161" s="439"/>
    </row>
    <row r="162" spans="2:16" s="503" customFormat="1" ht="12.75">
      <c r="B162" s="439"/>
      <c r="C162" s="439"/>
      <c r="D162" s="439"/>
      <c r="E162" s="439"/>
      <c r="F162" s="439"/>
      <c r="G162" s="439"/>
      <c r="H162" s="439"/>
      <c r="I162" s="439"/>
      <c r="J162" s="439"/>
      <c r="K162" s="439"/>
      <c r="L162" s="439"/>
      <c r="M162" s="439"/>
      <c r="N162" s="439"/>
      <c r="O162" s="439"/>
      <c r="P162" s="439"/>
    </row>
    <row r="163" spans="2:16" ht="12.75">
      <c r="B163" s="126"/>
      <c r="C163" s="126"/>
      <c r="D163" s="126"/>
      <c r="E163" s="126"/>
      <c r="F163" s="126"/>
      <c r="G163" s="126"/>
      <c r="H163" s="126"/>
      <c r="I163" s="126"/>
      <c r="J163" s="126"/>
      <c r="K163" s="126"/>
      <c r="L163" s="126"/>
      <c r="M163" s="126"/>
      <c r="N163" s="126"/>
      <c r="O163" s="126"/>
      <c r="P163" s="126"/>
    </row>
    <row r="164" spans="2:16" ht="12.75">
      <c r="B164" s="126"/>
      <c r="C164" s="126"/>
      <c r="D164" s="126"/>
      <c r="E164" s="126"/>
      <c r="F164" s="126"/>
      <c r="G164" s="126"/>
      <c r="H164" s="126"/>
      <c r="I164" s="126"/>
      <c r="J164" s="126"/>
      <c r="K164" s="126"/>
      <c r="L164" s="126"/>
      <c r="M164" s="126"/>
      <c r="N164" s="126"/>
      <c r="O164" s="126"/>
      <c r="P164" s="126"/>
    </row>
    <row r="165" spans="2:16" ht="15.75">
      <c r="B165" s="132"/>
      <c r="C165" s="132"/>
      <c r="D165" s="132"/>
      <c r="E165" s="132"/>
      <c r="F165" s="132"/>
      <c r="G165" s="132"/>
      <c r="H165" s="132"/>
      <c r="I165" s="132"/>
      <c r="J165" s="132"/>
      <c r="K165" s="132"/>
      <c r="L165" s="132"/>
      <c r="M165" s="132"/>
      <c r="N165" s="132"/>
      <c r="O165" s="133" t="s">
        <v>295</v>
      </c>
      <c r="P165" s="132"/>
    </row>
  </sheetData>
  <sheetProtection password="DFB1" sheet="1"/>
  <hyperlinks>
    <hyperlink ref="K159" r:id="rId1" display="r.goedhart@poraad.nl "/>
    <hyperlink ref="K161" r:id="rId2" display="PO-raad: Helpdesk"/>
    <hyperlink ref="H36" r:id="rId3" display="premie WAO/WIA voor 55-plussers"/>
    <hyperlink ref="K160" r:id="rId4" display="be.keizer@wxs.nl"/>
  </hyperlinks>
  <printOptions gridLines="1"/>
  <pageMargins left="0.7480314960629921" right="0.7480314960629921" top="0.984251968503937" bottom="0.984251968503937" header="0.5118110236220472" footer="0.5118110236220472"/>
  <pageSetup horizontalDpi="600" verticalDpi="600" orientation="portrait" paperSize="9" scale="70" r:id="rId6"/>
  <headerFooter alignWithMargins="0">
    <oddHeader>&amp;L&amp;"Arial,Vet"&amp;A&amp;C&amp;"Arial,Vet"&amp;D&amp;R&amp;"Arial,Vet"&amp;F</oddHeader>
    <oddFooter>&amp;L&amp;"Arial,Vet"&amp;8gemaakt door keizer en goedhart, PO-Raad&amp;R&amp;"Arial,Vet"&amp;P</oddFooter>
  </headerFooter>
  <rowBreaks count="1" manualBreakCount="1">
    <brk id="85" min="1" max="15" man="1"/>
  </rowBreaks>
  <drawing r:id="rId5"/>
</worksheet>
</file>

<file path=xl/worksheets/sheet2.xml><?xml version="1.0" encoding="utf-8"?>
<worksheet xmlns="http://schemas.openxmlformats.org/spreadsheetml/2006/main" xmlns:r="http://schemas.openxmlformats.org/officeDocument/2006/relationships">
  <dimension ref="A1:R22"/>
  <sheetViews>
    <sheetView zoomScalePageLayoutView="0" workbookViewId="0" topLeftCell="A1">
      <selection activeCell="E9" sqref="E9"/>
    </sheetView>
  </sheetViews>
  <sheetFormatPr defaultColWidth="9.140625" defaultRowHeight="12.75"/>
  <cols>
    <col min="1" max="1" width="4.00390625" style="470" customWidth="1"/>
    <col min="2" max="2" width="15.7109375" style="470" customWidth="1"/>
    <col min="3" max="3" width="17.7109375" style="470" customWidth="1"/>
    <col min="4" max="4" width="14.00390625" style="470" bestFit="1" customWidth="1"/>
    <col min="5" max="5" width="11.421875" style="470" bestFit="1" customWidth="1"/>
    <col min="6" max="6" width="13.421875" style="470" bestFit="1" customWidth="1"/>
    <col min="7" max="7" width="11.8515625" style="470" customWidth="1"/>
    <col min="8" max="8" width="14.00390625" style="470" customWidth="1"/>
    <col min="9" max="9" width="14.57421875" style="470" customWidth="1"/>
    <col min="10" max="10" width="15.8515625" style="470" bestFit="1" customWidth="1"/>
    <col min="11" max="11" width="20.00390625" style="470" customWidth="1"/>
    <col min="12" max="12" width="15.7109375" style="470" customWidth="1"/>
    <col min="13" max="13" width="13.7109375" style="470" customWidth="1"/>
    <col min="14" max="16384" width="9.140625" style="470" customWidth="1"/>
  </cols>
  <sheetData>
    <row r="1" spans="1:7" ht="14.25">
      <c r="A1" s="468"/>
      <c r="B1" s="469"/>
      <c r="C1" s="468"/>
      <c r="G1" s="471"/>
    </row>
    <row r="2" spans="1:10" ht="14.25">
      <c r="A2" s="468"/>
      <c r="B2" s="470" t="s">
        <v>376</v>
      </c>
      <c r="E2" s="494">
        <f>+Werkgeverslasten!J67</f>
        <v>39255.13135</v>
      </c>
      <c r="G2" s="470" t="s">
        <v>338</v>
      </c>
      <c r="J2" s="472">
        <f>+tabellen!G58</f>
        <v>48715.65</v>
      </c>
    </row>
    <row r="3" spans="1:10" ht="14.25">
      <c r="A3" s="468"/>
      <c r="E3" s="473"/>
      <c r="G3" s="470" t="s">
        <v>339</v>
      </c>
      <c r="J3" s="474">
        <f>+tabellen!C58</f>
        <v>0.057</v>
      </c>
    </row>
    <row r="4" spans="2:10" ht="14.25">
      <c r="B4" s="470" t="s">
        <v>340</v>
      </c>
      <c r="E4" s="473">
        <f>+Werkgeverslasten!I10</f>
        <v>25051</v>
      </c>
      <c r="G4" s="470" t="s">
        <v>341</v>
      </c>
      <c r="J4" s="474">
        <f>+tabellen!C61</f>
        <v>0.0007</v>
      </c>
    </row>
    <row r="5" spans="2:10" ht="15">
      <c r="B5" s="470" t="s">
        <v>342</v>
      </c>
      <c r="D5" s="475"/>
      <c r="E5" s="505" t="str">
        <f>+Werkgeverslasten!G45</f>
        <v>n</v>
      </c>
      <c r="F5" s="475"/>
      <c r="G5" s="470" t="s">
        <v>343</v>
      </c>
      <c r="J5" s="474">
        <f>+tabellen!C59</f>
        <v>0.0059</v>
      </c>
    </row>
    <row r="6" spans="2:11" ht="14.25">
      <c r="B6" s="470" t="s">
        <v>344</v>
      </c>
      <c r="E6" s="495">
        <f>+Werkgeverslasten!I16</f>
        <v>1</v>
      </c>
      <c r="G6" s="470" t="s">
        <v>345</v>
      </c>
      <c r="J6" s="496">
        <f>+tabellen!C60</f>
        <v>0</v>
      </c>
      <c r="K6" s="470" t="s">
        <v>346</v>
      </c>
    </row>
    <row r="7" spans="2:3" ht="14.25">
      <c r="B7" s="476"/>
      <c r="C7" s="468"/>
    </row>
    <row r="8" spans="2:10" ht="14.25">
      <c r="B8" s="470" t="s">
        <v>334</v>
      </c>
      <c r="C8" s="468"/>
      <c r="E8" s="470">
        <f>IF(AND(E5="j",E12&gt;=E4,E4&gt;E13),1,0)</f>
        <v>0</v>
      </c>
      <c r="G8" s="470" t="s">
        <v>347</v>
      </c>
      <c r="J8" s="477">
        <f>IF(AND(E5="j",E8=1),5.7%,0%)</f>
        <v>0</v>
      </c>
    </row>
    <row r="9" spans="2:10" ht="14.25">
      <c r="B9" s="470" t="s">
        <v>335</v>
      </c>
      <c r="C9" s="468"/>
      <c r="E9" s="470">
        <f>IF(AND(E4&lt;=E13,E4&gt;E14),1,0)</f>
        <v>0</v>
      </c>
      <c r="G9" s="470" t="s">
        <v>348</v>
      </c>
      <c r="J9" s="478">
        <f>IF(AND(E9=1,E10=1),2750,0)</f>
        <v>0</v>
      </c>
    </row>
    <row r="10" spans="2:5" ht="14.25">
      <c r="B10" s="468" t="s">
        <v>336</v>
      </c>
      <c r="C10" s="468"/>
      <c r="E10" s="470">
        <f>IF((Werkgeverslasten!I16*1659/(45*36))&gt;1,1,0)</f>
        <v>1</v>
      </c>
    </row>
    <row r="11" spans="2:3" ht="14.25">
      <c r="B11" s="476"/>
      <c r="C11" s="468"/>
    </row>
    <row r="12" spans="2:18" s="479" customFormat="1" ht="14.25">
      <c r="B12" s="480" t="s">
        <v>351</v>
      </c>
      <c r="D12" s="480" t="s">
        <v>352</v>
      </c>
      <c r="E12" s="481">
        <v>19541</v>
      </c>
      <c r="G12" s="482" t="s">
        <v>231</v>
      </c>
      <c r="H12" s="479" t="s">
        <v>349</v>
      </c>
      <c r="I12" s="479" t="s">
        <v>350</v>
      </c>
      <c r="J12" s="483"/>
      <c r="K12" s="471"/>
      <c r="L12" s="471"/>
      <c r="M12" s="471"/>
      <c r="N12" s="471"/>
      <c r="O12" s="471"/>
      <c r="P12" s="471"/>
      <c r="Q12" s="471"/>
      <c r="R12" s="471"/>
    </row>
    <row r="13" spans="4:18" ht="14.25">
      <c r="D13" s="480" t="s">
        <v>353</v>
      </c>
      <c r="E13" s="481">
        <v>17533</v>
      </c>
      <c r="G13" s="484">
        <f>+J3-J8</f>
        <v>0.057</v>
      </c>
      <c r="H13" s="484">
        <f>+J4</f>
        <v>0.0007</v>
      </c>
      <c r="I13" s="485">
        <f>+J5+J6</f>
        <v>0.0059</v>
      </c>
      <c r="J13" s="486"/>
      <c r="K13" s="471"/>
      <c r="L13" s="471"/>
      <c r="M13" s="471"/>
      <c r="N13" s="471"/>
      <c r="O13" s="471"/>
      <c r="P13" s="471"/>
      <c r="Q13" s="471"/>
      <c r="R13" s="471"/>
    </row>
    <row r="14" spans="1:18" ht="14.25">
      <c r="A14" s="471"/>
      <c r="B14" s="471"/>
      <c r="C14" s="471"/>
      <c r="D14" s="487" t="s">
        <v>354</v>
      </c>
      <c r="E14" s="488">
        <v>16438</v>
      </c>
      <c r="F14" s="471"/>
      <c r="G14" s="489">
        <f>ROUND(IF(E2&lt;J2,(J3-J8)*E2,(J3-J8)*J2),2)</f>
        <v>2237.54</v>
      </c>
      <c r="H14" s="489">
        <f>ROUND(IF(E2&lt;J2,J4*E2,J4*J2),2)</f>
        <v>27.48</v>
      </c>
      <c r="I14" s="489">
        <f>ROUND(IF(E2&lt;J2,(J5+J6)*E2,(J5+J6)*J2),2)</f>
        <v>231.61</v>
      </c>
      <c r="J14" s="490">
        <f>SUM(G14:I14)</f>
        <v>2496.63</v>
      </c>
      <c r="K14" s="471"/>
      <c r="L14" s="471"/>
      <c r="M14" s="471"/>
      <c r="N14" s="471"/>
      <c r="O14" s="471"/>
      <c r="P14" s="471"/>
      <c r="Q14" s="471"/>
      <c r="R14" s="471"/>
    </row>
    <row r="17" spans="5:6" ht="14.25">
      <c r="E17" s="471"/>
      <c r="F17" s="471"/>
    </row>
    <row r="18" spans="5:11" ht="14.25">
      <c r="E18" s="471"/>
      <c r="F18" s="471"/>
      <c r="G18" s="491"/>
      <c r="H18" s="492"/>
      <c r="I18" s="493"/>
      <c r="J18" s="471"/>
      <c r="K18" s="471"/>
    </row>
    <row r="19" spans="5:11" ht="14.25">
      <c r="E19" s="471"/>
      <c r="F19" s="471"/>
      <c r="H19" s="471"/>
      <c r="I19" s="471"/>
      <c r="J19" s="471"/>
      <c r="K19" s="471"/>
    </row>
    <row r="20" spans="5:6" ht="14.25">
      <c r="E20" s="471"/>
      <c r="F20" s="471"/>
    </row>
    <row r="21" spans="5:6" ht="14.25">
      <c r="E21" s="471"/>
      <c r="F21" s="471"/>
    </row>
    <row r="22" spans="5:6" ht="14.25">
      <c r="E22" s="471"/>
      <c r="F22" s="471"/>
    </row>
  </sheetData>
  <sheetProtection password="DFB1" sheet="1"/>
  <dataValidations count="1">
    <dataValidation type="list" allowBlank="1" showInputMessage="1" showErrorMessage="1" sqref="E5">
      <formula1>"j,n"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Q134"/>
  <sheetViews>
    <sheetView tabSelected="1" zoomScale="85" zoomScaleNormal="85" zoomScalePageLayoutView="0" workbookViewId="0" topLeftCell="A1">
      <selection activeCell="B2" sqref="B2"/>
    </sheetView>
  </sheetViews>
  <sheetFormatPr defaultColWidth="9.7109375" defaultRowHeight="13.5" customHeight="1"/>
  <cols>
    <col min="1" max="1" width="3.7109375" style="1" customWidth="1"/>
    <col min="2" max="4" width="2.57421875" style="1" customWidth="1"/>
    <col min="5" max="5" width="35.7109375" style="1" customWidth="1"/>
    <col min="6" max="6" width="12.7109375" style="4" customWidth="1"/>
    <col min="7" max="7" width="12.7109375" style="7" customWidth="1"/>
    <col min="8" max="8" width="2.7109375" style="7" customWidth="1"/>
    <col min="9" max="10" width="12.8515625" style="1" customWidth="1"/>
    <col min="11" max="11" width="2.7109375" style="1" customWidth="1"/>
    <col min="12" max="13" width="12.7109375" style="1" customWidth="1"/>
    <col min="14" max="15" width="2.7109375" style="1" customWidth="1"/>
    <col min="16" max="16384" width="9.7109375" style="1" customWidth="1"/>
  </cols>
  <sheetData>
    <row r="2" spans="2:15" ht="13.5" customHeight="1">
      <c r="B2" s="16"/>
      <c r="C2" s="17"/>
      <c r="D2" s="17"/>
      <c r="E2" s="17"/>
      <c r="F2" s="18"/>
      <c r="G2" s="19"/>
      <c r="H2" s="19"/>
      <c r="I2" s="17"/>
      <c r="J2" s="17"/>
      <c r="K2" s="17"/>
      <c r="L2" s="17"/>
      <c r="M2" s="17"/>
      <c r="N2" s="17"/>
      <c r="O2" s="20"/>
    </row>
    <row r="3" spans="2:15" ht="13.5" customHeight="1">
      <c r="B3" s="21"/>
      <c r="C3" s="22"/>
      <c r="D3" s="22"/>
      <c r="E3" s="22"/>
      <c r="F3" s="23"/>
      <c r="G3" s="24"/>
      <c r="H3" s="24"/>
      <c r="I3" s="22"/>
      <c r="J3" s="22"/>
      <c r="K3" s="22"/>
      <c r="L3" s="22"/>
      <c r="M3" s="22"/>
      <c r="N3" s="22"/>
      <c r="O3" s="25"/>
    </row>
    <row r="4" spans="2:15" s="111" customFormat="1" ht="18" customHeight="1">
      <c r="B4" s="105"/>
      <c r="C4" s="106" t="s">
        <v>294</v>
      </c>
      <c r="D4" s="106"/>
      <c r="E4" s="106"/>
      <c r="F4" s="108">
        <f>tabellen!B2</f>
        <v>2010</v>
      </c>
      <c r="G4" s="107" t="str">
        <f>tabellen!C2</f>
        <v>na 1 augustus</v>
      </c>
      <c r="H4" s="108"/>
      <c r="I4" s="106"/>
      <c r="J4" s="106"/>
      <c r="K4" s="106"/>
      <c r="L4" s="109"/>
      <c r="M4" s="106"/>
      <c r="N4" s="106"/>
      <c r="O4" s="110"/>
    </row>
    <row r="5" spans="2:15" ht="13.5" customHeight="1">
      <c r="B5" s="21"/>
      <c r="C5" s="22"/>
      <c r="D5" s="22"/>
      <c r="E5" s="27"/>
      <c r="F5" s="23"/>
      <c r="G5" s="24"/>
      <c r="H5" s="24"/>
      <c r="I5" s="467">
        <f ca="1">NOW()</f>
        <v>40477.50225752315</v>
      </c>
      <c r="J5" s="463"/>
      <c r="K5" s="22"/>
      <c r="L5" s="465"/>
      <c r="M5" s="463"/>
      <c r="N5" s="22"/>
      <c r="O5" s="25"/>
    </row>
    <row r="6" spans="2:15" ht="13.5" customHeight="1">
      <c r="B6" s="21"/>
      <c r="C6" s="180"/>
      <c r="D6" s="181"/>
      <c r="E6" s="182"/>
      <c r="F6" s="183"/>
      <c r="G6" s="184"/>
      <c r="H6" s="184"/>
      <c r="I6" s="181"/>
      <c r="J6" s="181"/>
      <c r="K6" s="181"/>
      <c r="L6" s="185"/>
      <c r="M6" s="181"/>
      <c r="N6" s="186"/>
      <c r="O6" s="25"/>
    </row>
    <row r="7" spans="2:15" ht="13.5" customHeight="1">
      <c r="B7" s="21"/>
      <c r="C7" s="187"/>
      <c r="D7" s="188" t="s">
        <v>307</v>
      </c>
      <c r="E7" s="189"/>
      <c r="F7" s="190"/>
      <c r="G7" s="191"/>
      <c r="H7" s="191"/>
      <c r="I7" s="192"/>
      <c r="J7" s="192"/>
      <c r="K7" s="192"/>
      <c r="L7" s="193"/>
      <c r="M7" s="192"/>
      <c r="N7" s="194"/>
      <c r="O7" s="25"/>
    </row>
    <row r="8" spans="2:15" ht="13.5" customHeight="1">
      <c r="B8" s="21"/>
      <c r="C8" s="187"/>
      <c r="D8" s="192"/>
      <c r="E8" s="189"/>
      <c r="F8" s="190"/>
      <c r="G8" s="191"/>
      <c r="H8" s="191"/>
      <c r="I8" s="192"/>
      <c r="J8" s="192"/>
      <c r="K8" s="192"/>
      <c r="L8" s="193"/>
      <c r="M8" s="192"/>
      <c r="N8" s="194"/>
      <c r="O8" s="25"/>
    </row>
    <row r="9" spans="2:15" ht="13.5" customHeight="1">
      <c r="B9" s="30"/>
      <c r="C9" s="195"/>
      <c r="D9" s="192" t="s">
        <v>82</v>
      </c>
      <c r="E9" s="192"/>
      <c r="F9" s="192"/>
      <c r="G9" s="192"/>
      <c r="H9" s="192"/>
      <c r="I9" s="196" t="s">
        <v>32</v>
      </c>
      <c r="J9" s="197"/>
      <c r="K9" s="192"/>
      <c r="L9" s="198"/>
      <c r="M9" s="192"/>
      <c r="N9" s="194"/>
      <c r="O9" s="25"/>
    </row>
    <row r="10" spans="2:15" ht="13.5" customHeight="1">
      <c r="B10" s="21"/>
      <c r="C10" s="187"/>
      <c r="D10" s="192" t="s">
        <v>332</v>
      </c>
      <c r="E10" s="192"/>
      <c r="F10" s="190"/>
      <c r="G10" s="191"/>
      <c r="H10" s="191"/>
      <c r="I10" s="462">
        <v>25051</v>
      </c>
      <c r="J10" s="464">
        <f>YEAR(I5)-YEAR(I10)</f>
        <v>42</v>
      </c>
      <c r="K10" s="200"/>
      <c r="L10" s="466">
        <f>MONTH(I5)-MONTH(I10)</f>
        <v>2</v>
      </c>
      <c r="M10" s="466">
        <f>DAY(I5)-DAY(I10)</f>
        <v>25</v>
      </c>
      <c r="N10" s="194"/>
      <c r="O10" s="25"/>
    </row>
    <row r="11" spans="2:15" ht="13.5" customHeight="1">
      <c r="B11" s="21"/>
      <c r="C11" s="187"/>
      <c r="D11" s="203"/>
      <c r="E11" s="192"/>
      <c r="F11" s="190"/>
      <c r="G11" s="191"/>
      <c r="H11" s="191"/>
      <c r="I11" s="202"/>
      <c r="J11" s="200"/>
      <c r="K11" s="200"/>
      <c r="L11" s="201"/>
      <c r="M11" s="201"/>
      <c r="N11" s="194"/>
      <c r="O11" s="25"/>
    </row>
    <row r="12" spans="2:15" ht="13.5" customHeight="1">
      <c r="B12" s="21"/>
      <c r="C12" s="187"/>
      <c r="D12" s="204" t="s">
        <v>23</v>
      </c>
      <c r="E12" s="192"/>
      <c r="F12" s="192"/>
      <c r="G12" s="192"/>
      <c r="H12" s="192"/>
      <c r="I12" s="205"/>
      <c r="J12" s="192"/>
      <c r="K12" s="192"/>
      <c r="L12" s="192"/>
      <c r="M12" s="201"/>
      <c r="N12" s="194"/>
      <c r="O12" s="25"/>
    </row>
    <row r="13" spans="2:15" ht="13.5" customHeight="1">
      <c r="B13" s="21"/>
      <c r="C13" s="187"/>
      <c r="D13" s="190" t="s">
        <v>21</v>
      </c>
      <c r="E13" s="192"/>
      <c r="F13" s="192"/>
      <c r="G13" s="190"/>
      <c r="H13" s="191"/>
      <c r="I13" s="199" t="s">
        <v>0</v>
      </c>
      <c r="J13" s="201">
        <f>IF(AND(I13&gt;0,I13&lt;16),0,100)</f>
        <v>100</v>
      </c>
      <c r="K13" s="201"/>
      <c r="L13" s="201"/>
      <c r="M13" s="192"/>
      <c r="N13" s="194"/>
      <c r="O13" s="25"/>
    </row>
    <row r="14" spans="2:15" ht="13.5" customHeight="1">
      <c r="B14" s="21"/>
      <c r="C14" s="187"/>
      <c r="D14" s="190" t="s">
        <v>22</v>
      </c>
      <c r="E14" s="192"/>
      <c r="F14" s="192"/>
      <c r="G14" s="191"/>
      <c r="H14" s="191"/>
      <c r="I14" s="199">
        <v>13</v>
      </c>
      <c r="J14" s="207" t="str">
        <f>IF(AND(I14&gt;0,I14&lt;M14+1)," ",#REF!)</f>
        <v> </v>
      </c>
      <c r="K14" s="207"/>
      <c r="L14" s="201" t="s">
        <v>69</v>
      </c>
      <c r="M14" s="208">
        <f>VLOOKUP(I13,salaristabellen,22,FALSE)</f>
        <v>16</v>
      </c>
      <c r="N14" s="194"/>
      <c r="O14" s="25"/>
    </row>
    <row r="15" spans="2:15" ht="13.5" customHeight="1">
      <c r="B15" s="21"/>
      <c r="C15" s="187"/>
      <c r="D15" s="190" t="s">
        <v>24</v>
      </c>
      <c r="E15" s="192"/>
      <c r="F15" s="192"/>
      <c r="G15" s="191"/>
      <c r="H15" s="191"/>
      <c r="I15" s="209">
        <f>VLOOKUP(I13,salaristabellen,I14+1,FALSE)</f>
        <v>3015</v>
      </c>
      <c r="J15" s="201"/>
      <c r="K15" s="201"/>
      <c r="L15" s="201"/>
      <c r="M15" s="201"/>
      <c r="N15" s="194"/>
      <c r="O15" s="25"/>
    </row>
    <row r="16" spans="2:15" ht="13.5" customHeight="1">
      <c r="B16" s="21"/>
      <c r="C16" s="187"/>
      <c r="D16" s="192" t="s">
        <v>25</v>
      </c>
      <c r="E16" s="192"/>
      <c r="F16" s="190"/>
      <c r="G16" s="191"/>
      <c r="H16" s="191"/>
      <c r="I16" s="210">
        <v>1</v>
      </c>
      <c r="J16" s="201"/>
      <c r="K16" s="201"/>
      <c r="L16" s="201"/>
      <c r="M16" s="201"/>
      <c r="N16" s="194"/>
      <c r="O16" s="25"/>
    </row>
    <row r="17" spans="2:15" ht="13.5" customHeight="1">
      <c r="B17" s="21"/>
      <c r="C17" s="187"/>
      <c r="D17" s="190" t="s">
        <v>26</v>
      </c>
      <c r="E17" s="192"/>
      <c r="F17" s="192"/>
      <c r="G17" s="191"/>
      <c r="H17" s="191"/>
      <c r="I17" s="209">
        <f>+I15*I16</f>
        <v>3015</v>
      </c>
      <c r="J17" s="201"/>
      <c r="K17" s="201"/>
      <c r="L17" s="201"/>
      <c r="M17" s="201"/>
      <c r="N17" s="194"/>
      <c r="O17" s="25"/>
    </row>
    <row r="18" spans="2:15" ht="13.5" customHeight="1">
      <c r="B18" s="21"/>
      <c r="C18" s="187"/>
      <c r="D18" s="192"/>
      <c r="E18" s="192"/>
      <c r="F18" s="190"/>
      <c r="G18" s="191"/>
      <c r="H18" s="191"/>
      <c r="I18" s="206"/>
      <c r="J18" s="201"/>
      <c r="K18" s="201"/>
      <c r="L18" s="201"/>
      <c r="M18" s="201"/>
      <c r="N18" s="194"/>
      <c r="O18" s="25"/>
    </row>
    <row r="19" spans="2:15" ht="13.5" customHeight="1">
      <c r="B19" s="21"/>
      <c r="C19" s="187"/>
      <c r="D19" s="203" t="s">
        <v>37</v>
      </c>
      <c r="E19" s="192"/>
      <c r="F19" s="190"/>
      <c r="G19" s="191"/>
      <c r="H19" s="191"/>
      <c r="I19" s="192"/>
      <c r="J19" s="201"/>
      <c r="K19" s="201"/>
      <c r="L19" s="201"/>
      <c r="M19" s="201"/>
      <c r="N19" s="194"/>
      <c r="O19" s="25"/>
    </row>
    <row r="20" spans="2:15" ht="13.5" customHeight="1">
      <c r="B20" s="21"/>
      <c r="C20" s="187"/>
      <c r="D20" s="190" t="s">
        <v>49</v>
      </c>
      <c r="E20" s="192"/>
      <c r="F20" s="212" t="s">
        <v>0</v>
      </c>
      <c r="G20" s="199" t="s">
        <v>377</v>
      </c>
      <c r="H20" s="213"/>
      <c r="I20" s="209">
        <f>ROUND(IF(G20="j",VLOOKUP(F20,uitlooptoeslag,2,FALSE))*IF(I16&gt;1,1,I16),2)</f>
        <v>0</v>
      </c>
      <c r="J20" s="201"/>
      <c r="K20" s="201"/>
      <c r="L20" s="201"/>
      <c r="M20" s="201"/>
      <c r="N20" s="194"/>
      <c r="O20" s="25"/>
    </row>
    <row r="21" spans="2:15" ht="13.5" customHeight="1">
      <c r="B21" s="21"/>
      <c r="C21" s="187"/>
      <c r="D21" s="446" t="s">
        <v>258</v>
      </c>
      <c r="E21" s="445"/>
      <c r="F21" s="432">
        <v>40390</v>
      </c>
      <c r="G21" s="199" t="s">
        <v>377</v>
      </c>
      <c r="H21" s="213"/>
      <c r="I21" s="209">
        <f>ROUND(IF(OR(I13="LA",I13="LB"),IF(G21="j",tabellen!C78*I16,0),0),2)</f>
        <v>0</v>
      </c>
      <c r="J21" s="201"/>
      <c r="K21" s="201"/>
      <c r="L21" s="201"/>
      <c r="M21" s="201"/>
      <c r="N21" s="194"/>
      <c r="O21" s="25"/>
    </row>
    <row r="22" spans="2:15" ht="13.5" customHeight="1">
      <c r="B22" s="21"/>
      <c r="C22" s="187"/>
      <c r="D22" s="190" t="s">
        <v>38</v>
      </c>
      <c r="E22" s="192"/>
      <c r="F22" s="190"/>
      <c r="G22" s="214">
        <v>0.08</v>
      </c>
      <c r="H22" s="215"/>
      <c r="I22" s="209">
        <f>ROUND(IF((I$17+I$20+I21)*G22&lt;I16*tabellen!D89,I16*tabellen!D89,(I$17+I$20+I21)*G22),2)</f>
        <v>241.2</v>
      </c>
      <c r="J22" s="201"/>
      <c r="K22" s="201"/>
      <c r="L22" s="201"/>
      <c r="M22" s="201"/>
      <c r="N22" s="194"/>
      <c r="O22" s="25"/>
    </row>
    <row r="23" spans="2:15" ht="13.5" customHeight="1">
      <c r="B23" s="21"/>
      <c r="C23" s="187"/>
      <c r="D23" s="190" t="s">
        <v>86</v>
      </c>
      <c r="E23" s="192"/>
      <c r="F23" s="190"/>
      <c r="G23" s="216">
        <f>+tabellen!D90</f>
        <v>0.063</v>
      </c>
      <c r="H23" s="217"/>
      <c r="I23" s="209">
        <f>ROUND(+(I$17+I$20+I21)*G23,2)</f>
        <v>189.95</v>
      </c>
      <c r="J23" s="201"/>
      <c r="K23" s="201"/>
      <c r="L23" s="201"/>
      <c r="M23" s="201"/>
      <c r="N23" s="194"/>
      <c r="O23" s="25"/>
    </row>
    <row r="24" spans="2:15" ht="13.5" customHeight="1">
      <c r="B24" s="21"/>
      <c r="C24" s="187"/>
      <c r="D24" s="190" t="s">
        <v>125</v>
      </c>
      <c r="E24" s="192"/>
      <c r="F24" s="190"/>
      <c r="G24" s="217"/>
      <c r="H24" s="217"/>
      <c r="I24" s="209">
        <f>+tabellen!C85*I16</f>
        <v>32.41</v>
      </c>
      <c r="J24" s="201"/>
      <c r="K24" s="201"/>
      <c r="L24" s="201"/>
      <c r="M24" s="201"/>
      <c r="N24" s="194"/>
      <c r="O24" s="25"/>
    </row>
    <row r="25" spans="2:15" ht="13.5" customHeight="1">
      <c r="B25" s="21"/>
      <c r="C25" s="187"/>
      <c r="D25" s="190" t="s">
        <v>123</v>
      </c>
      <c r="E25" s="192"/>
      <c r="F25" s="433"/>
      <c r="G25" s="218">
        <f>IF(J13=100,0,I13)</f>
        <v>0</v>
      </c>
      <c r="H25" s="217"/>
      <c r="I25" s="209">
        <f>VLOOKUP(G25,eindejaarsuitkering_OOP,2,TRUE)*I16/12</f>
        <v>0</v>
      </c>
      <c r="J25" s="201"/>
      <c r="K25" s="201"/>
      <c r="L25" s="201"/>
      <c r="M25" s="201"/>
      <c r="N25" s="194"/>
      <c r="O25" s="25"/>
    </row>
    <row r="26" spans="2:15" ht="13.5" customHeight="1">
      <c r="B26" s="21"/>
      <c r="C26" s="187"/>
      <c r="D26" s="190" t="s">
        <v>260</v>
      </c>
      <c r="E26" s="192"/>
      <c r="F26" s="433"/>
      <c r="G26" s="216" t="str">
        <f>IF(OR(I13="DA",I13="DB",I13="DBuit",I13="DC",I13="DCuit",MID(I13,1,5)="meerh"),"j","n")</f>
        <v>n</v>
      </c>
      <c r="H26" s="217"/>
      <c r="I26" s="209">
        <f>ROUND(IF(G26="j",tabellen!D98*IF(I16&gt;1,1,I16),0),2)</f>
        <v>0</v>
      </c>
      <c r="J26" s="201"/>
      <c r="K26" s="201"/>
      <c r="L26" s="201"/>
      <c r="M26" s="201"/>
      <c r="N26" s="194"/>
      <c r="O26" s="25"/>
    </row>
    <row r="27" spans="2:15" s="2" customFormat="1" ht="13.5" customHeight="1">
      <c r="B27" s="30"/>
      <c r="C27" s="195"/>
      <c r="D27" s="203"/>
      <c r="E27" s="203"/>
      <c r="F27" s="219"/>
      <c r="G27" s="220"/>
      <c r="H27" s="220"/>
      <c r="I27" s="221">
        <f>+I17+SUM(I20:I26)</f>
        <v>3478.56</v>
      </c>
      <c r="J27" s="223"/>
      <c r="K27" s="223"/>
      <c r="L27" s="223"/>
      <c r="M27" s="223"/>
      <c r="N27" s="224"/>
      <c r="O27" s="34"/>
    </row>
    <row r="28" spans="2:15" ht="13.5" customHeight="1">
      <c r="B28" s="21"/>
      <c r="C28" s="187"/>
      <c r="D28" s="203"/>
      <c r="E28" s="192"/>
      <c r="F28" s="190"/>
      <c r="G28" s="191"/>
      <c r="H28" s="191"/>
      <c r="I28" s="225"/>
      <c r="J28" s="201"/>
      <c r="K28" s="201"/>
      <c r="L28" s="201"/>
      <c r="M28" s="201"/>
      <c r="N28" s="194"/>
      <c r="O28" s="25"/>
    </row>
    <row r="29" spans="2:15" ht="13.5" customHeight="1">
      <c r="B29" s="21"/>
      <c r="C29" s="187"/>
      <c r="D29" s="192" t="s">
        <v>39</v>
      </c>
      <c r="E29" s="203"/>
      <c r="F29" s="190"/>
      <c r="G29" s="191"/>
      <c r="H29" s="191"/>
      <c r="I29" s="209">
        <f>+I27*12</f>
        <v>41742.72</v>
      </c>
      <c r="J29" s="201"/>
      <c r="K29" s="201"/>
      <c r="L29" s="201"/>
      <c r="M29" s="201"/>
      <c r="N29" s="194"/>
      <c r="O29" s="25"/>
    </row>
    <row r="30" spans="2:15" ht="13.5" customHeight="1">
      <c r="B30" s="21"/>
      <c r="C30" s="187"/>
      <c r="D30" s="192" t="s">
        <v>78</v>
      </c>
      <c r="E30" s="203"/>
      <c r="F30" s="212" t="s">
        <v>79</v>
      </c>
      <c r="G30" s="199" t="s">
        <v>377</v>
      </c>
      <c r="H30" s="213"/>
      <c r="I30" s="209">
        <f>ROUND(IF(G30="j",VLOOKUP(F30,bindingstoelage,2,FALSE))*IF(I16&gt;1,1,I16),2)</f>
        <v>0</v>
      </c>
      <c r="J30" s="201"/>
      <c r="K30" s="201"/>
      <c r="L30" s="201"/>
      <c r="M30" s="201"/>
      <c r="N30" s="194"/>
      <c r="O30" s="25"/>
    </row>
    <row r="31" spans="2:15" ht="13.5" customHeight="1">
      <c r="B31" s="21"/>
      <c r="C31" s="187"/>
      <c r="D31" s="192" t="s">
        <v>244</v>
      </c>
      <c r="E31" s="203"/>
      <c r="F31" s="226"/>
      <c r="G31" s="227"/>
      <c r="H31" s="227"/>
      <c r="I31" s="209">
        <f>ROUND(I16*tabellen!D96,2)</f>
        <v>200</v>
      </c>
      <c r="J31" s="201"/>
      <c r="K31" s="201"/>
      <c r="L31" s="201"/>
      <c r="M31" s="201"/>
      <c r="N31" s="194"/>
      <c r="O31" s="25"/>
    </row>
    <row r="32" spans="2:15" ht="13.5" customHeight="1">
      <c r="B32" s="21"/>
      <c r="C32" s="187"/>
      <c r="D32" s="203"/>
      <c r="E32" s="192"/>
      <c r="F32" s="190"/>
      <c r="G32" s="191"/>
      <c r="H32" s="191"/>
      <c r="I32" s="221">
        <f>ROUND(SUM(I29:I31),0)</f>
        <v>41943</v>
      </c>
      <c r="J32" s="201"/>
      <c r="K32" s="201"/>
      <c r="L32" s="201"/>
      <c r="M32" s="201"/>
      <c r="N32" s="194"/>
      <c r="O32" s="25"/>
    </row>
    <row r="33" spans="2:15" ht="13.5" customHeight="1">
      <c r="B33" s="21"/>
      <c r="C33" s="187"/>
      <c r="D33" s="203"/>
      <c r="E33" s="192"/>
      <c r="F33" s="190"/>
      <c r="G33" s="191"/>
      <c r="H33" s="191"/>
      <c r="I33" s="228"/>
      <c r="J33" s="201"/>
      <c r="K33" s="201"/>
      <c r="L33" s="201"/>
      <c r="M33" s="201"/>
      <c r="N33" s="194"/>
      <c r="O33" s="25"/>
    </row>
    <row r="34" spans="2:15" ht="13.5" customHeight="1">
      <c r="B34" s="21"/>
      <c r="C34" s="187"/>
      <c r="D34" s="192" t="s">
        <v>65</v>
      </c>
      <c r="E34" s="192"/>
      <c r="F34" s="190"/>
      <c r="G34" s="229">
        <v>0.019</v>
      </c>
      <c r="H34" s="217"/>
      <c r="I34" s="209">
        <f>+(I32/(1+1.9%))*G34</f>
        <v>782.0578999018646</v>
      </c>
      <c r="J34" s="201"/>
      <c r="K34" s="201"/>
      <c r="L34" s="201"/>
      <c r="M34" s="201"/>
      <c r="N34" s="194"/>
      <c r="O34" s="25"/>
    </row>
    <row r="35" spans="2:15" ht="13.5" customHeight="1">
      <c r="B35" s="21"/>
      <c r="C35" s="187"/>
      <c r="D35" s="192" t="s">
        <v>64</v>
      </c>
      <c r="E35" s="192"/>
      <c r="F35" s="190"/>
      <c r="G35" s="191"/>
      <c r="H35" s="191"/>
      <c r="I35" s="209">
        <v>791.85</v>
      </c>
      <c r="J35" s="230">
        <f>IF(I35&gt;I34,I34,I35)</f>
        <v>782.0578999018646</v>
      </c>
      <c r="K35" s="230"/>
      <c r="L35" s="201"/>
      <c r="M35" s="201"/>
      <c r="N35" s="194"/>
      <c r="O35" s="25"/>
    </row>
    <row r="36" spans="2:15" ht="13.5" customHeight="1">
      <c r="B36" s="21"/>
      <c r="C36" s="187"/>
      <c r="D36" s="203" t="s">
        <v>66</v>
      </c>
      <c r="E36" s="192"/>
      <c r="F36" s="190"/>
      <c r="G36" s="191"/>
      <c r="H36" s="191"/>
      <c r="I36" s="221">
        <f>ROUND(I32-IF(I35&gt;I34,I34,I35),0)</f>
        <v>41161</v>
      </c>
      <c r="J36" s="201"/>
      <c r="K36" s="201"/>
      <c r="L36" s="201"/>
      <c r="M36" s="201"/>
      <c r="N36" s="194"/>
      <c r="O36" s="25"/>
    </row>
    <row r="37" spans="2:15" s="10" customFormat="1" ht="13.5" customHeight="1">
      <c r="B37" s="35"/>
      <c r="C37" s="231"/>
      <c r="D37" s="232" t="s">
        <v>223</v>
      </c>
      <c r="E37" s="233"/>
      <c r="F37" s="232"/>
      <c r="G37" s="232"/>
      <c r="H37" s="234"/>
      <c r="I37" s="235">
        <f>IF(I10&lt;1950,0,+(I17+I20+I21)*tabellen!C87)*12</f>
        <v>289.44</v>
      </c>
      <c r="J37" s="237"/>
      <c r="K37" s="237"/>
      <c r="L37" s="237"/>
      <c r="M37" s="237"/>
      <c r="N37" s="238"/>
      <c r="O37" s="36"/>
    </row>
    <row r="38" spans="2:15" ht="13.5" customHeight="1">
      <c r="B38" s="21"/>
      <c r="C38" s="239"/>
      <c r="D38" s="240"/>
      <c r="E38" s="241"/>
      <c r="F38" s="242"/>
      <c r="G38" s="243"/>
      <c r="H38" s="243"/>
      <c r="I38" s="244"/>
      <c r="J38" s="245"/>
      <c r="K38" s="245"/>
      <c r="L38" s="245"/>
      <c r="M38" s="245"/>
      <c r="N38" s="246"/>
      <c r="O38" s="37"/>
    </row>
    <row r="39" spans="2:15" s="8" customFormat="1" ht="13.5" customHeight="1">
      <c r="B39" s="39"/>
      <c r="C39" s="247"/>
      <c r="D39" s="188" t="s">
        <v>70</v>
      </c>
      <c r="E39" s="248"/>
      <c r="F39" s="249"/>
      <c r="G39" s="250"/>
      <c r="H39" s="250"/>
      <c r="I39" s="205" t="s">
        <v>67</v>
      </c>
      <c r="J39" s="205" t="s">
        <v>68</v>
      </c>
      <c r="K39" s="251"/>
      <c r="L39" s="252" t="s">
        <v>296</v>
      </c>
      <c r="M39" s="251" t="s">
        <v>297</v>
      </c>
      <c r="N39" s="253"/>
      <c r="O39" s="45"/>
    </row>
    <row r="40" spans="2:15" ht="13.5" customHeight="1">
      <c r="B40" s="21"/>
      <c r="C40" s="187"/>
      <c r="D40" s="203"/>
      <c r="E40" s="192"/>
      <c r="F40" s="190"/>
      <c r="G40" s="191"/>
      <c r="H40" s="191"/>
      <c r="I40" s="254"/>
      <c r="J40" s="254"/>
      <c r="K40" s="220"/>
      <c r="L40" s="255">
        <f>J41</f>
        <v>41161</v>
      </c>
      <c r="M40" s="256">
        <f>12*I17</f>
        <v>36180</v>
      </c>
      <c r="N40" s="194"/>
      <c r="O40" s="41"/>
    </row>
    <row r="41" spans="2:15" ht="13.5" customHeight="1">
      <c r="B41" s="21"/>
      <c r="C41" s="187"/>
      <c r="D41" s="190" t="s">
        <v>51</v>
      </c>
      <c r="E41" s="192" t="s">
        <v>66</v>
      </c>
      <c r="F41" s="190"/>
      <c r="G41" s="191"/>
      <c r="H41" s="191"/>
      <c r="I41" s="209">
        <f>+I36/12</f>
        <v>3430.0833333333335</v>
      </c>
      <c r="J41" s="209">
        <f>+I36</f>
        <v>41161</v>
      </c>
      <c r="K41" s="206"/>
      <c r="L41" s="192"/>
      <c r="M41" s="192"/>
      <c r="N41" s="194"/>
      <c r="O41" s="41"/>
    </row>
    <row r="42" spans="2:15" ht="13.5" customHeight="1">
      <c r="B42" s="21"/>
      <c r="C42" s="187"/>
      <c r="D42" s="190" t="s">
        <v>52</v>
      </c>
      <c r="E42" s="192" t="s">
        <v>40</v>
      </c>
      <c r="F42" s="190"/>
      <c r="G42" s="191"/>
      <c r="H42" s="191"/>
      <c r="I42" s="209">
        <f>IF($I$36/$I$16&lt;tabellen!E55,0,($I$36-tabellen!E55*$I$16)/12)*tabellen!$C55</f>
        <v>382.87923750000004</v>
      </c>
      <c r="J42" s="209">
        <f>IF($I$36/$I$16&lt;tabellen!E55,0,(+$I$36-tabellen!E55*$I$16))*tabellen!$C55</f>
        <v>4594.5508500000005</v>
      </c>
      <c r="K42" s="206"/>
      <c r="L42" s="257">
        <f aca="true" t="shared" si="0" ref="L42:L52">+J42/J$41</f>
        <v>0.11162388790359808</v>
      </c>
      <c r="M42" s="257">
        <f aca="true" t="shared" si="1" ref="M42:M52">+J42/(12*I$17)</f>
        <v>0.1269914552238806</v>
      </c>
      <c r="N42" s="194"/>
      <c r="O42" s="41"/>
    </row>
    <row r="43" spans="2:15" ht="13.5" customHeight="1">
      <c r="B43" s="21"/>
      <c r="C43" s="187"/>
      <c r="D43" s="190" t="s">
        <v>53</v>
      </c>
      <c r="E43" s="192" t="s">
        <v>238</v>
      </c>
      <c r="F43" s="190"/>
      <c r="G43" s="191"/>
      <c r="H43" s="191"/>
      <c r="I43" s="209">
        <f>IF($I$36/$I$16&lt;tabellen!E56,0,(+$I$36-tabellen!E56*$I$16)/12)*tabellen!$C56</f>
        <v>5.7402500000000005</v>
      </c>
      <c r="J43" s="209">
        <f>IF($I$36/$I$16&lt;tabellen!E56,0,(+$I$36-tabellen!E56*$I$16))*tabellen!$C56</f>
        <v>68.883</v>
      </c>
      <c r="K43" s="206"/>
      <c r="L43" s="257">
        <f t="shared" si="0"/>
        <v>0.0016735016156070065</v>
      </c>
      <c r="M43" s="257">
        <f t="shared" si="1"/>
        <v>0.0019038971807628523</v>
      </c>
      <c r="N43" s="194"/>
      <c r="O43" s="41"/>
    </row>
    <row r="44" spans="2:15" ht="13.5" customHeight="1">
      <c r="B44" s="21"/>
      <c r="C44" s="187"/>
      <c r="D44" s="190" t="s">
        <v>54</v>
      </c>
      <c r="E44" s="192" t="s">
        <v>43</v>
      </c>
      <c r="F44" s="190" t="s">
        <v>45</v>
      </c>
      <c r="G44" s="190"/>
      <c r="H44" s="191"/>
      <c r="I44" s="209">
        <f>$I$36/12*tabellen!$C57</f>
        <v>49.73620833333334</v>
      </c>
      <c r="J44" s="209">
        <f>$I$36*tabellen!$C57</f>
        <v>596.8345</v>
      </c>
      <c r="K44" s="206"/>
      <c r="L44" s="257">
        <f>+J44/J$41</f>
        <v>0.0145</v>
      </c>
      <c r="M44" s="257">
        <f>+J44/(12*I$17)</f>
        <v>0.01649625483692648</v>
      </c>
      <c r="N44" s="194"/>
      <c r="O44" s="41"/>
    </row>
    <row r="45" spans="2:15" ht="13.5" customHeight="1">
      <c r="B45" s="21"/>
      <c r="C45" s="187"/>
      <c r="D45" s="190"/>
      <c r="E45" s="190" t="s">
        <v>333</v>
      </c>
      <c r="F45" s="259"/>
      <c r="G45" s="199" t="s">
        <v>377</v>
      </c>
      <c r="H45" s="191"/>
      <c r="I45" s="225"/>
      <c r="J45" s="225"/>
      <c r="K45" s="206"/>
      <c r="L45" s="260"/>
      <c r="M45" s="260"/>
      <c r="N45" s="194"/>
      <c r="O45" s="41"/>
    </row>
    <row r="46" spans="2:15" ht="13.5" customHeight="1">
      <c r="B46" s="21"/>
      <c r="C46" s="187"/>
      <c r="D46" s="190" t="s">
        <v>55</v>
      </c>
      <c r="E46" s="192" t="s">
        <v>231</v>
      </c>
      <c r="F46" s="190"/>
      <c r="G46" s="191"/>
      <c r="H46" s="191"/>
      <c r="I46" s="209">
        <f>IF('WAO-WIA'!E8=0,IF($I$67&gt;tabellen!$G$58/12,tabellen!$G$58/12,$I$67)*(tabellen!$C58+tabellen!$C59+tabellen!C60+tabellen!C61),IF($I$67&gt;tabellen!$G$58/12,tabellen!$G$58/12,$I$67)*(tabellen!$C59+tabellen!C60+tabellen!C61))-IF('WAO-WIA'!E9=1,'WAO-WIA'!J9)/12</f>
        <v>208.05219615500002</v>
      </c>
      <c r="J46" s="209">
        <f>IF('WAO-WIA'!E8=0,IF($J$67&gt;tabellen!$G$58,tabellen!$G$58,$J$67)*(tabellen!$C58+tabellen!C59+tabellen!C60+tabellen!C61),IF($J$67&gt;tabellen!$G$58,tabellen!$G$58,$J$67)*(tabellen!$C59+tabellen!C60+tabellen!C61))-IF('WAO-WIA'!E9=1,'WAO-WIA'!J9)</f>
        <v>2496.6263538600006</v>
      </c>
      <c r="K46" s="206"/>
      <c r="L46" s="257">
        <f t="shared" si="0"/>
        <v>0.060655143311872904</v>
      </c>
      <c r="M46" s="257">
        <f t="shared" si="1"/>
        <v>0.0690057035339967</v>
      </c>
      <c r="N46" s="194"/>
      <c r="O46" s="41"/>
    </row>
    <row r="47" spans="2:15" ht="13.5" customHeight="1">
      <c r="B47" s="21"/>
      <c r="C47" s="187"/>
      <c r="D47" s="190" t="s">
        <v>56</v>
      </c>
      <c r="E47" s="192" t="s">
        <v>101</v>
      </c>
      <c r="F47" s="190"/>
      <c r="G47" s="191"/>
      <c r="H47" s="191"/>
      <c r="I47" s="209">
        <f>+I68</f>
        <v>194.99</v>
      </c>
      <c r="J47" s="209">
        <f>+J68</f>
        <v>2339.82</v>
      </c>
      <c r="K47" s="206"/>
      <c r="L47" s="257">
        <f t="shared" si="0"/>
        <v>0.05684555768810282</v>
      </c>
      <c r="M47" s="257">
        <f t="shared" si="1"/>
        <v>0.06467164179104479</v>
      </c>
      <c r="N47" s="194"/>
      <c r="O47" s="41"/>
    </row>
    <row r="48" spans="2:15" ht="13.5" customHeight="1">
      <c r="B48" s="21"/>
      <c r="C48" s="187"/>
      <c r="D48" s="190" t="s">
        <v>57</v>
      </c>
      <c r="E48" s="192" t="s">
        <v>60</v>
      </c>
      <c r="F48" s="190"/>
      <c r="G48" s="191"/>
      <c r="H48" s="191"/>
      <c r="I48" s="209">
        <f>IF($I$67&gt;tabellen!$G$64*$I$16/12,tabellen!$G$64*$I$16/12,$I$67)*tabellen!$C64</f>
        <v>36.63812259333334</v>
      </c>
      <c r="J48" s="209">
        <f>IF($J$67&gt;tabellen!$G$64*$I$16,tabellen!$G$64*$I$16,$J$67)*tabellen!$C64</f>
        <v>439.6574711200001</v>
      </c>
      <c r="K48" s="206"/>
      <c r="L48" s="257">
        <f t="shared" si="0"/>
        <v>0.010681408885109694</v>
      </c>
      <c r="M48" s="257">
        <f t="shared" si="1"/>
        <v>0.012151947792150362</v>
      </c>
      <c r="N48" s="194"/>
      <c r="O48" s="41"/>
    </row>
    <row r="49" spans="2:15" ht="13.5" customHeight="1">
      <c r="B49" s="21"/>
      <c r="C49" s="187"/>
      <c r="D49" s="190" t="s">
        <v>58</v>
      </c>
      <c r="E49" s="192" t="s">
        <v>61</v>
      </c>
      <c r="F49" s="190"/>
      <c r="G49" s="258">
        <v>1</v>
      </c>
      <c r="H49" s="213"/>
      <c r="I49" s="209">
        <f>+$I$67*IF(G49=1,tabellen!$C65,IF(G49=2,tabellen!$C66,tabellen!$C67))</f>
        <v>247.30732750500002</v>
      </c>
      <c r="J49" s="209">
        <f>+$J$67*IF(G49=1,tabellen!$C65,IF(G49=2,tabellen!$C66,tabellen!$C67))</f>
        <v>2967.6879300600003</v>
      </c>
      <c r="K49" s="206"/>
      <c r="L49" s="257">
        <f t="shared" si="0"/>
        <v>0.07209950997449042</v>
      </c>
      <c r="M49" s="257">
        <f t="shared" si="1"/>
        <v>0.08202564759701493</v>
      </c>
      <c r="N49" s="194"/>
      <c r="O49" s="41"/>
    </row>
    <row r="50" spans="2:15" ht="13.5" customHeight="1">
      <c r="B50" s="21"/>
      <c r="C50" s="187"/>
      <c r="D50" s="190" t="s">
        <v>59</v>
      </c>
      <c r="E50" s="192" t="s">
        <v>62</v>
      </c>
      <c r="F50" s="190"/>
      <c r="G50" s="191"/>
      <c r="H50" s="191"/>
      <c r="I50" s="209">
        <f>+$I$67*tabellen!$C68</f>
        <v>54.95718389</v>
      </c>
      <c r="J50" s="209">
        <f>+$J$67*tabellen!$C68</f>
        <v>659.48620668</v>
      </c>
      <c r="K50" s="206"/>
      <c r="L50" s="257">
        <f t="shared" si="0"/>
        <v>0.016022113327664535</v>
      </c>
      <c r="M50" s="257">
        <f t="shared" si="1"/>
        <v>0.01822792168822554</v>
      </c>
      <c r="N50" s="194"/>
      <c r="O50" s="41"/>
    </row>
    <row r="51" spans="2:15" ht="13.5" customHeight="1">
      <c r="B51" s="21"/>
      <c r="C51" s="187"/>
      <c r="D51" s="190" t="s">
        <v>76</v>
      </c>
      <c r="E51" s="192" t="s">
        <v>226</v>
      </c>
      <c r="F51" s="190"/>
      <c r="G51" s="191"/>
      <c r="H51" s="191"/>
      <c r="I51" s="209">
        <f>+J35/12</f>
        <v>65.17149165848872</v>
      </c>
      <c r="J51" s="209">
        <f>+J35</f>
        <v>782.0578999018646</v>
      </c>
      <c r="K51" s="206"/>
      <c r="L51" s="257">
        <f t="shared" si="0"/>
        <v>0.01899997327328939</v>
      </c>
      <c r="M51" s="257">
        <f t="shared" si="1"/>
        <v>0.02161575179386027</v>
      </c>
      <c r="N51" s="194"/>
      <c r="O51" s="41"/>
    </row>
    <row r="52" spans="2:15" ht="13.5" customHeight="1">
      <c r="B52" s="21"/>
      <c r="C52" s="187"/>
      <c r="D52" s="190" t="s">
        <v>103</v>
      </c>
      <c r="E52" s="192" t="s">
        <v>225</v>
      </c>
      <c r="F52" s="190"/>
      <c r="G52" s="191"/>
      <c r="H52" s="191"/>
      <c r="I52" s="209">
        <f>+I37/12</f>
        <v>24.12</v>
      </c>
      <c r="J52" s="209">
        <f>+I37</f>
        <v>289.44</v>
      </c>
      <c r="K52" s="206"/>
      <c r="L52" s="257">
        <f t="shared" si="0"/>
        <v>0.007031899127815165</v>
      </c>
      <c r="M52" s="257">
        <f t="shared" si="1"/>
        <v>0.008</v>
      </c>
      <c r="N52" s="194"/>
      <c r="O52" s="41"/>
    </row>
    <row r="53" spans="2:15" ht="13.5" customHeight="1">
      <c r="B53" s="21"/>
      <c r="C53" s="187"/>
      <c r="D53" s="259"/>
      <c r="E53" s="192"/>
      <c r="F53" s="190"/>
      <c r="G53" s="191"/>
      <c r="H53" s="191"/>
      <c r="I53" s="225"/>
      <c r="J53" s="225"/>
      <c r="K53" s="206"/>
      <c r="L53" s="260"/>
      <c r="M53" s="260"/>
      <c r="N53" s="194"/>
      <c r="O53" s="41"/>
    </row>
    <row r="54" spans="2:15" s="2" customFormat="1" ht="13.5" customHeight="1">
      <c r="B54" s="30"/>
      <c r="C54" s="195"/>
      <c r="D54" s="203" t="s">
        <v>63</v>
      </c>
      <c r="E54" s="203"/>
      <c r="F54" s="219"/>
      <c r="G54" s="220"/>
      <c r="H54" s="220"/>
      <c r="I54" s="221">
        <f>SUM(I41:I52)</f>
        <v>4699.675350968489</v>
      </c>
      <c r="J54" s="221">
        <f>SUM(J41:J52)</f>
        <v>56396.04421162186</v>
      </c>
      <c r="K54" s="222"/>
      <c r="L54" s="262">
        <f>+J54/J$41-1</f>
        <v>0.3701329951075498</v>
      </c>
      <c r="M54" s="262">
        <f>+J54/(I17*12)-1</f>
        <v>0.5587629688121023</v>
      </c>
      <c r="N54" s="224"/>
      <c r="O54" s="42"/>
    </row>
    <row r="55" spans="2:15" ht="13.5" customHeight="1">
      <c r="B55" s="21"/>
      <c r="C55" s="187"/>
      <c r="D55" s="225"/>
      <c r="E55" s="203"/>
      <c r="F55" s="190"/>
      <c r="G55" s="191"/>
      <c r="H55" s="191"/>
      <c r="I55" s="263"/>
      <c r="J55" s="263"/>
      <c r="K55" s="264"/>
      <c r="L55" s="265"/>
      <c r="M55" s="265"/>
      <c r="N55" s="194"/>
      <c r="O55" s="41"/>
    </row>
    <row r="56" spans="2:15" s="167" customFormat="1" ht="13.5" customHeight="1">
      <c r="B56" s="165"/>
      <c r="C56" s="266"/>
      <c r="D56" s="267" t="s">
        <v>358</v>
      </c>
      <c r="E56" s="267"/>
      <c r="F56" s="268"/>
      <c r="G56" s="269"/>
      <c r="H56" s="269"/>
      <c r="I56" s="506">
        <f>+I54/I17-1</f>
        <v>0.5587646271868951</v>
      </c>
      <c r="J56" s="507"/>
      <c r="K56" s="270"/>
      <c r="L56" s="270"/>
      <c r="M56" s="270"/>
      <c r="N56" s="271"/>
      <c r="O56" s="166"/>
    </row>
    <row r="57" spans="2:15" ht="13.5" customHeight="1">
      <c r="B57" s="21"/>
      <c r="C57" s="239"/>
      <c r="D57" s="240"/>
      <c r="E57" s="240"/>
      <c r="F57" s="242"/>
      <c r="G57" s="243"/>
      <c r="H57" s="243"/>
      <c r="I57" s="272"/>
      <c r="J57" s="272"/>
      <c r="K57" s="240"/>
      <c r="L57" s="240"/>
      <c r="M57" s="240"/>
      <c r="N57" s="273"/>
      <c r="O57" s="41"/>
    </row>
    <row r="58" spans="2:15" ht="13.5" customHeight="1">
      <c r="B58" s="21"/>
      <c r="C58" s="247"/>
      <c r="D58" s="188" t="s">
        <v>328</v>
      </c>
      <c r="E58" s="248"/>
      <c r="F58" s="249"/>
      <c r="G58" s="250"/>
      <c r="H58" s="250"/>
      <c r="I58" s="275" t="s">
        <v>67</v>
      </c>
      <c r="J58" s="251" t="s">
        <v>68</v>
      </c>
      <c r="K58" s="251"/>
      <c r="L58" s="201"/>
      <c r="M58" s="248"/>
      <c r="N58" s="253"/>
      <c r="O58" s="41"/>
    </row>
    <row r="59" spans="2:15" ht="13.5" customHeight="1">
      <c r="B59" s="21"/>
      <c r="C59" s="187"/>
      <c r="D59" s="203"/>
      <c r="E59" s="192"/>
      <c r="F59" s="190"/>
      <c r="G59" s="191"/>
      <c r="H59" s="191"/>
      <c r="I59" s="276"/>
      <c r="J59" s="203"/>
      <c r="K59" s="192"/>
      <c r="L59" s="201"/>
      <c r="M59" s="192"/>
      <c r="N59" s="194"/>
      <c r="O59" s="41"/>
    </row>
    <row r="60" spans="2:15" ht="13.5" customHeight="1">
      <c r="B60" s="21"/>
      <c r="C60" s="195"/>
      <c r="D60" s="277" t="s">
        <v>51</v>
      </c>
      <c r="E60" s="203" t="s">
        <v>66</v>
      </c>
      <c r="F60" s="219"/>
      <c r="G60" s="220"/>
      <c r="H60" s="220"/>
      <c r="I60" s="278">
        <f>+I36/12</f>
        <v>3430.0833333333335</v>
      </c>
      <c r="J60" s="278">
        <f>+I36</f>
        <v>41161</v>
      </c>
      <c r="K60" s="203"/>
      <c r="L60" s="223"/>
      <c r="M60" s="203"/>
      <c r="N60" s="224"/>
      <c r="O60" s="41"/>
    </row>
    <row r="61" spans="2:15" ht="13.5" customHeight="1">
      <c r="B61" s="21"/>
      <c r="C61" s="195"/>
      <c r="D61" s="277"/>
      <c r="E61" s="203"/>
      <c r="F61" s="219"/>
      <c r="G61" s="220"/>
      <c r="H61" s="220"/>
      <c r="I61" s="261"/>
      <c r="J61" s="261"/>
      <c r="K61" s="203"/>
      <c r="L61" s="223"/>
      <c r="M61" s="203"/>
      <c r="N61" s="224"/>
      <c r="O61" s="41"/>
    </row>
    <row r="62" spans="2:15" ht="13.5" customHeight="1">
      <c r="B62" s="21"/>
      <c r="C62" s="231"/>
      <c r="D62" s="279" t="s">
        <v>52</v>
      </c>
      <c r="E62" s="233" t="s">
        <v>40</v>
      </c>
      <c r="F62" s="232"/>
      <c r="G62" s="234"/>
      <c r="H62" s="280"/>
      <c r="I62" s="281">
        <f>IF($I$36/$I$16&lt;tabellen!E55,0,(+$I$36-tabellen!E55*I16)/12*tabellen!$D55)</f>
        <v>169.0187625</v>
      </c>
      <c r="J62" s="281">
        <f>IF($I$36/$I$16&lt;tabellen!E55,0,(+$I$36-tabellen!E55*I16)*tabellen!$D55)</f>
        <v>2028.22515</v>
      </c>
      <c r="K62" s="236"/>
      <c r="L62" s="237"/>
      <c r="M62" s="233"/>
      <c r="N62" s="238"/>
      <c r="O62" s="41"/>
    </row>
    <row r="63" spans="2:15" ht="13.5" customHeight="1">
      <c r="B63" s="21"/>
      <c r="C63" s="231"/>
      <c r="D63" s="279" t="s">
        <v>53</v>
      </c>
      <c r="E63" s="233" t="s">
        <v>238</v>
      </c>
      <c r="F63" s="232"/>
      <c r="G63" s="234"/>
      <c r="H63" s="280"/>
      <c r="I63" s="281">
        <f>IF($I$36/$I$16&lt;tabellen!E56,0,(+$I$36-tabellen!E56*$I$16)/12*tabellen!$D56)</f>
        <v>1.9134166666666668</v>
      </c>
      <c r="J63" s="281">
        <f>IF($I$36/$I$16&lt;tabellen!E56,0,(+$I$36-tabellen!E56*$I$16)*tabellen!$D56)</f>
        <v>22.961000000000002</v>
      </c>
      <c r="K63" s="236"/>
      <c r="L63" s="237"/>
      <c r="M63" s="282"/>
      <c r="N63" s="238"/>
      <c r="O63" s="41"/>
    </row>
    <row r="64" spans="2:15" ht="13.5" customHeight="1">
      <c r="B64" s="21"/>
      <c r="C64" s="231"/>
      <c r="D64" s="279" t="s">
        <v>54</v>
      </c>
      <c r="E64" s="233" t="s">
        <v>43</v>
      </c>
      <c r="F64" s="232" t="s">
        <v>329</v>
      </c>
      <c r="G64" s="234"/>
      <c r="H64" s="280"/>
      <c r="I64" s="281">
        <f>$I$36/12*tabellen!$D57</f>
        <v>77.176875</v>
      </c>
      <c r="J64" s="281">
        <f>$I$36*tabellen!$D57</f>
        <v>926.1225</v>
      </c>
      <c r="K64" s="236"/>
      <c r="L64" s="237"/>
      <c r="M64" s="233"/>
      <c r="N64" s="238"/>
      <c r="O64" s="41"/>
    </row>
    <row r="65" spans="2:15" ht="13.5" customHeight="1">
      <c r="B65" s="21"/>
      <c r="C65" s="283"/>
      <c r="D65" s="284" t="s">
        <v>55</v>
      </c>
      <c r="E65" s="285" t="s">
        <v>48</v>
      </c>
      <c r="F65" s="286"/>
      <c r="G65" s="287"/>
      <c r="H65" s="288"/>
      <c r="I65" s="289">
        <f>SUM(I62:I64)</f>
        <v>248.10905416666668</v>
      </c>
      <c r="J65" s="289">
        <f>SUM(J62:J64)</f>
        <v>2977.30865</v>
      </c>
      <c r="K65" s="290"/>
      <c r="L65" s="291"/>
      <c r="M65" s="285"/>
      <c r="N65" s="292"/>
      <c r="O65" s="41"/>
    </row>
    <row r="66" spans="2:15" ht="13.5" customHeight="1">
      <c r="B66" s="21"/>
      <c r="C66" s="283"/>
      <c r="D66" s="284"/>
      <c r="E66" s="285"/>
      <c r="F66" s="286"/>
      <c r="G66" s="287"/>
      <c r="H66" s="288"/>
      <c r="I66" s="293"/>
      <c r="J66" s="293"/>
      <c r="K66" s="290"/>
      <c r="L66" s="291"/>
      <c r="M66" s="285"/>
      <c r="N66" s="292"/>
      <c r="O66" s="41"/>
    </row>
    <row r="67" spans="2:15" ht="13.5" customHeight="1">
      <c r="B67" s="21"/>
      <c r="C67" s="187"/>
      <c r="D67" s="294" t="s">
        <v>56</v>
      </c>
      <c r="E67" s="192" t="s">
        <v>102</v>
      </c>
      <c r="F67" s="190"/>
      <c r="G67" s="191"/>
      <c r="H67" s="191"/>
      <c r="I67" s="209">
        <f>+(I32+I37)/12-I65</f>
        <v>3271.2609458333336</v>
      </c>
      <c r="J67" s="209">
        <f>+I32+I37-J65</f>
        <v>39255.13135</v>
      </c>
      <c r="K67" s="295"/>
      <c r="L67" s="201"/>
      <c r="M67" s="222"/>
      <c r="N67" s="194"/>
      <c r="O67" s="41"/>
    </row>
    <row r="68" spans="2:15" ht="13.5" customHeight="1">
      <c r="B68" s="21"/>
      <c r="C68" s="187"/>
      <c r="D68" s="294" t="s">
        <v>57</v>
      </c>
      <c r="E68" s="192" t="s">
        <v>101</v>
      </c>
      <c r="F68" s="190"/>
      <c r="G68" s="191"/>
      <c r="H68" s="191"/>
      <c r="I68" s="209">
        <f>+I72</f>
        <v>194.99</v>
      </c>
      <c r="J68" s="209">
        <f>+J72</f>
        <v>2339.82</v>
      </c>
      <c r="K68" s="222"/>
      <c r="L68" s="201"/>
      <c r="M68" s="192"/>
      <c r="N68" s="194"/>
      <c r="O68" s="41"/>
    </row>
    <row r="69" spans="2:15" ht="13.5" customHeight="1">
      <c r="B69" s="21"/>
      <c r="C69" s="195"/>
      <c r="D69" s="277" t="s">
        <v>58</v>
      </c>
      <c r="E69" s="203" t="s">
        <v>104</v>
      </c>
      <c r="F69" s="219"/>
      <c r="G69" s="220"/>
      <c r="H69" s="220"/>
      <c r="I69" s="221">
        <f>+I67+I68</f>
        <v>3466.2509458333334</v>
      </c>
      <c r="J69" s="221">
        <f>+J67+J68</f>
        <v>41594.95135</v>
      </c>
      <c r="K69" s="203"/>
      <c r="L69" s="223"/>
      <c r="M69" s="203"/>
      <c r="N69" s="224"/>
      <c r="O69" s="41"/>
    </row>
    <row r="70" spans="2:15" ht="13.5" customHeight="1">
      <c r="B70" s="21"/>
      <c r="C70" s="195"/>
      <c r="D70" s="277"/>
      <c r="E70" s="203"/>
      <c r="F70" s="219"/>
      <c r="G70" s="220"/>
      <c r="H70" s="220"/>
      <c r="I70" s="261"/>
      <c r="J70" s="261"/>
      <c r="K70" s="203"/>
      <c r="L70" s="223"/>
      <c r="M70" s="203"/>
      <c r="N70" s="224"/>
      <c r="O70" s="41"/>
    </row>
    <row r="71" spans="2:15" ht="13.5" customHeight="1">
      <c r="B71" s="21"/>
      <c r="C71" s="187"/>
      <c r="D71" s="294" t="s">
        <v>59</v>
      </c>
      <c r="E71" s="192" t="s">
        <v>356</v>
      </c>
      <c r="F71" s="190"/>
      <c r="G71" s="191"/>
      <c r="H71" s="191"/>
      <c r="I71" s="209">
        <f>+I83</f>
        <v>1325.41504725</v>
      </c>
      <c r="J71" s="209">
        <f>+J83</f>
        <v>15904.980567</v>
      </c>
      <c r="K71" s="192"/>
      <c r="L71" s="201"/>
      <c r="M71" s="192"/>
      <c r="N71" s="194"/>
      <c r="O71" s="41"/>
    </row>
    <row r="72" spans="2:15" ht="13.5" customHeight="1">
      <c r="B72" s="21"/>
      <c r="C72" s="187"/>
      <c r="D72" s="294" t="s">
        <v>76</v>
      </c>
      <c r="E72" s="192" t="s">
        <v>105</v>
      </c>
      <c r="F72" s="190"/>
      <c r="G72" s="191"/>
      <c r="H72" s="191"/>
      <c r="I72" s="209">
        <f>ROUND(IF(I67&gt;tabellen!H63,tabellen!H63,I67)*tabellen!C63,2)</f>
        <v>194.99</v>
      </c>
      <c r="J72" s="209">
        <f>ROUND(IF(J67&gt;tabellen!G63,tabellen!G63,J67)*tabellen!C63,2)</f>
        <v>2339.82</v>
      </c>
      <c r="K72" s="192"/>
      <c r="L72" s="201"/>
      <c r="M72" s="192"/>
      <c r="N72" s="194"/>
      <c r="O72" s="41"/>
    </row>
    <row r="73" spans="2:15" ht="13.5" customHeight="1">
      <c r="B73" s="21"/>
      <c r="C73" s="187"/>
      <c r="D73" s="294"/>
      <c r="E73" s="192"/>
      <c r="F73" s="190"/>
      <c r="G73" s="191"/>
      <c r="H73" s="191"/>
      <c r="I73" s="225"/>
      <c r="J73" s="225"/>
      <c r="K73" s="192"/>
      <c r="L73" s="201"/>
      <c r="M73" s="192"/>
      <c r="N73" s="194"/>
      <c r="O73" s="41"/>
    </row>
    <row r="74" spans="2:15" ht="13.5" customHeight="1">
      <c r="B74" s="21"/>
      <c r="C74" s="195"/>
      <c r="D74" s="277" t="s">
        <v>103</v>
      </c>
      <c r="E74" s="203" t="s">
        <v>106</v>
      </c>
      <c r="F74" s="219"/>
      <c r="G74" s="220"/>
      <c r="H74" s="220"/>
      <c r="I74" s="221">
        <f>+I69-I71-I72</f>
        <v>1945.8458985833333</v>
      </c>
      <c r="J74" s="221">
        <f>+J69-J71-J72</f>
        <v>23350.150783000005</v>
      </c>
      <c r="K74" s="203"/>
      <c r="L74" s="223"/>
      <c r="M74" s="203"/>
      <c r="N74" s="224"/>
      <c r="O74" s="41"/>
    </row>
    <row r="75" spans="2:15" ht="13.5" customHeight="1">
      <c r="B75" s="21"/>
      <c r="C75" s="296"/>
      <c r="D75" s="297"/>
      <c r="E75" s="240"/>
      <c r="F75" s="242"/>
      <c r="G75" s="243"/>
      <c r="H75" s="243"/>
      <c r="I75" s="272"/>
      <c r="J75" s="272"/>
      <c r="K75" s="240"/>
      <c r="L75" s="240"/>
      <c r="M75" s="240"/>
      <c r="N75" s="273"/>
      <c r="O75" s="41"/>
    </row>
    <row r="76" spans="2:15" ht="13.5" customHeight="1">
      <c r="B76" s="21"/>
      <c r="C76" s="298"/>
      <c r="D76" s="188" t="s">
        <v>357</v>
      </c>
      <c r="E76" s="192"/>
      <c r="F76" s="190"/>
      <c r="G76" s="191"/>
      <c r="H76" s="191"/>
      <c r="I76" s="275" t="s">
        <v>67</v>
      </c>
      <c r="J76" s="251" t="s">
        <v>68</v>
      </c>
      <c r="K76" s="192"/>
      <c r="L76" s="192"/>
      <c r="M76" s="192"/>
      <c r="N76" s="194"/>
      <c r="O76" s="41"/>
    </row>
    <row r="77" spans="2:15" ht="13.5" customHeight="1">
      <c r="B77" s="21"/>
      <c r="C77" s="187"/>
      <c r="D77" s="203" t="s">
        <v>58</v>
      </c>
      <c r="E77" s="203" t="s">
        <v>355</v>
      </c>
      <c r="F77" s="190"/>
      <c r="G77" s="191"/>
      <c r="H77" s="191"/>
      <c r="I77" s="221">
        <f>+I69</f>
        <v>3466.2509458333334</v>
      </c>
      <c r="J77" s="221">
        <f>+J69</f>
        <v>41594.95135</v>
      </c>
      <c r="K77" s="206"/>
      <c r="L77" s="192"/>
      <c r="M77" s="192"/>
      <c r="N77" s="194"/>
      <c r="O77" s="41"/>
    </row>
    <row r="78" spans="2:15" s="9" customFormat="1" ht="13.5" customHeight="1">
      <c r="B78" s="46"/>
      <c r="C78" s="299"/>
      <c r="D78" s="203"/>
      <c r="E78" s="188"/>
      <c r="F78" s="300"/>
      <c r="G78" s="301"/>
      <c r="H78" s="301"/>
      <c r="I78" s="302"/>
      <c r="J78" s="302"/>
      <c r="K78" s="303"/>
      <c r="L78" s="188"/>
      <c r="M78" s="303"/>
      <c r="N78" s="304"/>
      <c r="O78" s="47"/>
    </row>
    <row r="79" spans="2:15" ht="13.5" customHeight="1">
      <c r="B79" s="21"/>
      <c r="C79" s="187"/>
      <c r="D79" s="192" t="s">
        <v>118</v>
      </c>
      <c r="E79" s="192"/>
      <c r="F79" s="429">
        <f>IF(J69&gt;tabellen!B106,tabellen!B106,J69)</f>
        <v>18218</v>
      </c>
      <c r="G79" s="305">
        <f>+tabellen!C106</f>
        <v>0.3345</v>
      </c>
      <c r="H79" s="217"/>
      <c r="I79" s="209">
        <f>+F79*G79/12</f>
        <v>507.82675</v>
      </c>
      <c r="J79" s="209">
        <f>+F79*G79</f>
        <v>6093.921</v>
      </c>
      <c r="K79" s="192"/>
      <c r="L79" s="192"/>
      <c r="M79" s="192"/>
      <c r="N79" s="194"/>
      <c r="O79" s="44"/>
    </row>
    <row r="80" spans="2:15" ht="13.5" customHeight="1">
      <c r="B80" s="21"/>
      <c r="C80" s="187"/>
      <c r="D80" s="192" t="s">
        <v>119</v>
      </c>
      <c r="E80" s="192"/>
      <c r="F80" s="429">
        <f>IF((IF(J69&gt;tabellen!B107,tabellen!B107,J69)-tabellen!B106)&lt;0,0,IF(J69&gt;tabellen!B107,tabellen!B107,J69)-tabellen!B106)</f>
        <v>14520</v>
      </c>
      <c r="G80" s="305">
        <f>+tabellen!C107</f>
        <v>0.4195</v>
      </c>
      <c r="H80" s="217"/>
      <c r="I80" s="209">
        <f>+F80*G80/12</f>
        <v>507.59499999999997</v>
      </c>
      <c r="J80" s="209">
        <f>+F80*G80</f>
        <v>6091.139999999999</v>
      </c>
      <c r="K80" s="192"/>
      <c r="L80" s="192"/>
      <c r="M80" s="192"/>
      <c r="N80" s="194"/>
      <c r="O80" s="25"/>
    </row>
    <row r="81" spans="2:15" ht="13.5" customHeight="1">
      <c r="B81" s="21"/>
      <c r="C81" s="187"/>
      <c r="D81" s="192" t="s">
        <v>120</v>
      </c>
      <c r="E81" s="192"/>
      <c r="F81" s="429">
        <f>IF((IF(J69&gt;tabellen!B108,tabellen!B108,J69)-tabellen!B107)&lt;0,0,IF(J69&gt;tabellen!B108,tabellen!B108,J69)-tabellen!B107)</f>
        <v>8856.951350000003</v>
      </c>
      <c r="G81" s="305">
        <f>+tabellen!C108</f>
        <v>0.42</v>
      </c>
      <c r="H81" s="215"/>
      <c r="I81" s="209">
        <f>+F81*G81/12</f>
        <v>309.9932972500001</v>
      </c>
      <c r="J81" s="209">
        <f>+F81*G81</f>
        <v>3719.9195670000013</v>
      </c>
      <c r="K81" s="192"/>
      <c r="L81" s="192"/>
      <c r="M81" s="225"/>
      <c r="N81" s="194"/>
      <c r="O81" s="25"/>
    </row>
    <row r="82" spans="2:15" ht="13.5" customHeight="1">
      <c r="B82" s="21"/>
      <c r="C82" s="187"/>
      <c r="D82" s="192" t="s">
        <v>121</v>
      </c>
      <c r="E82" s="192"/>
      <c r="F82" s="429">
        <f>IF((IF(J69&gt;tabellen!B109,tabellen!B109,J69)-tabellen!B108)&lt;0,0,IF(J69&gt;tabellen!B109,tabellen!B109,J69)-tabellen!B108)</f>
        <v>0</v>
      </c>
      <c r="G82" s="305">
        <f>+tabellen!C109</f>
        <v>0.52</v>
      </c>
      <c r="H82" s="215"/>
      <c r="I82" s="209">
        <f>+F82*G82/12</f>
        <v>0</v>
      </c>
      <c r="J82" s="209">
        <f>+F82*G82</f>
        <v>0</v>
      </c>
      <c r="K82" s="192"/>
      <c r="L82" s="192"/>
      <c r="M82" s="192"/>
      <c r="N82" s="194"/>
      <c r="O82" s="25"/>
    </row>
    <row r="83" spans="2:15" s="2" customFormat="1" ht="13.5" customHeight="1">
      <c r="B83" s="30"/>
      <c r="C83" s="195"/>
      <c r="D83" s="219"/>
      <c r="E83" s="203"/>
      <c r="F83" s="306">
        <f>SUM(F79:F82)</f>
        <v>41594.95135</v>
      </c>
      <c r="G83" s="307"/>
      <c r="H83" s="220"/>
      <c r="I83" s="221">
        <f>SUM(I79:I82)</f>
        <v>1325.41504725</v>
      </c>
      <c r="J83" s="221">
        <f>SUM(J79:J82)</f>
        <v>15904.980567</v>
      </c>
      <c r="K83" s="222"/>
      <c r="L83" s="203"/>
      <c r="M83" s="203"/>
      <c r="N83" s="224"/>
      <c r="O83" s="34"/>
    </row>
    <row r="84" spans="2:15" ht="13.5" customHeight="1">
      <c r="B84" s="21"/>
      <c r="C84" s="28"/>
      <c r="D84" s="28"/>
      <c r="E84" s="28"/>
      <c r="F84" s="497"/>
      <c r="G84" s="29"/>
      <c r="H84" s="29"/>
      <c r="I84" s="498"/>
      <c r="J84" s="498"/>
      <c r="K84" s="28"/>
      <c r="L84" s="499"/>
      <c r="M84" s="28"/>
      <c r="N84" s="28"/>
      <c r="O84" s="25"/>
    </row>
    <row r="85" spans="2:15" ht="13.5" customHeight="1">
      <c r="B85" s="21"/>
      <c r="C85" s="22"/>
      <c r="D85" s="22"/>
      <c r="E85" s="22"/>
      <c r="F85" s="23"/>
      <c r="G85" s="24"/>
      <c r="H85" s="24"/>
      <c r="I85" s="48"/>
      <c r="J85" s="48"/>
      <c r="K85" s="48"/>
      <c r="L85" s="48"/>
      <c r="M85" s="22"/>
      <c r="N85" s="22"/>
      <c r="O85" s="25"/>
    </row>
    <row r="86" spans="2:15" ht="13.5" customHeight="1">
      <c r="B86" s="21"/>
      <c r="C86" s="22"/>
      <c r="D86" s="22"/>
      <c r="E86" s="22"/>
      <c r="F86" s="23"/>
      <c r="G86" s="24"/>
      <c r="H86" s="24"/>
      <c r="I86" s="48"/>
      <c r="J86" s="48"/>
      <c r="K86" s="48"/>
      <c r="L86" s="48"/>
      <c r="M86" s="22"/>
      <c r="N86" s="22"/>
      <c r="O86" s="25"/>
    </row>
    <row r="87" spans="2:15" ht="13.5" customHeight="1">
      <c r="B87" s="11"/>
      <c r="C87" s="12"/>
      <c r="D87" s="13"/>
      <c r="E87" s="12"/>
      <c r="F87" s="14"/>
      <c r="G87" s="12"/>
      <c r="H87" s="12"/>
      <c r="I87" s="12"/>
      <c r="J87" s="12"/>
      <c r="K87" s="12"/>
      <c r="L87" s="12"/>
      <c r="M87" s="12"/>
      <c r="N87" s="15" t="s">
        <v>295</v>
      </c>
      <c r="O87" s="49"/>
    </row>
    <row r="91" ht="13.5" customHeight="1">
      <c r="Q91" s="168" t="s">
        <v>95</v>
      </c>
    </row>
    <row r="92" ht="13.5" customHeight="1">
      <c r="Q92" s="168" t="s">
        <v>88</v>
      </c>
    </row>
    <row r="93" ht="13.5" customHeight="1">
      <c r="Q93" s="168" t="s">
        <v>89</v>
      </c>
    </row>
    <row r="94" ht="13.5" customHeight="1">
      <c r="Q94" s="168" t="s">
        <v>90</v>
      </c>
    </row>
    <row r="95" ht="13.5" customHeight="1">
      <c r="Q95" s="168" t="s">
        <v>91</v>
      </c>
    </row>
    <row r="96" ht="13.5" customHeight="1">
      <c r="Q96" s="168" t="s">
        <v>92</v>
      </c>
    </row>
    <row r="97" ht="13.5" customHeight="1">
      <c r="Q97" s="168" t="s">
        <v>93</v>
      </c>
    </row>
    <row r="98" ht="13.5" customHeight="1">
      <c r="Q98" s="168" t="s">
        <v>94</v>
      </c>
    </row>
    <row r="99" ht="13.5" customHeight="1">
      <c r="Q99" s="169" t="s">
        <v>3</v>
      </c>
    </row>
    <row r="100" ht="13.5" customHeight="1">
      <c r="Q100" s="169" t="s">
        <v>4</v>
      </c>
    </row>
    <row r="101" ht="13.5" customHeight="1">
      <c r="Q101" s="169" t="s">
        <v>5</v>
      </c>
    </row>
    <row r="102" ht="13.5" customHeight="1">
      <c r="Q102" s="169" t="s">
        <v>6</v>
      </c>
    </row>
    <row r="103" ht="13.5" customHeight="1">
      <c r="Q103" s="169" t="s">
        <v>7</v>
      </c>
    </row>
    <row r="104" ht="13.5" customHeight="1">
      <c r="Q104" s="169" t="s">
        <v>8</v>
      </c>
    </row>
    <row r="105" ht="13.5" customHeight="1">
      <c r="Q105" s="169" t="s">
        <v>9</v>
      </c>
    </row>
    <row r="106" ht="13.5" customHeight="1">
      <c r="Q106" s="169" t="s">
        <v>10</v>
      </c>
    </row>
    <row r="107" ht="13.5" customHeight="1">
      <c r="Q107" s="169" t="s">
        <v>11</v>
      </c>
    </row>
    <row r="108" ht="13.5" customHeight="1">
      <c r="Q108" s="169" t="s">
        <v>12</v>
      </c>
    </row>
    <row r="109" ht="13.5" customHeight="1">
      <c r="Q109" s="169" t="s">
        <v>13</v>
      </c>
    </row>
    <row r="110" ht="13.5" customHeight="1">
      <c r="Q110" s="169" t="s">
        <v>14</v>
      </c>
    </row>
    <row r="111" ht="13.5" customHeight="1">
      <c r="Q111" s="169" t="s">
        <v>0</v>
      </c>
    </row>
    <row r="112" ht="13.5" customHeight="1">
      <c r="Q112" s="169" t="s">
        <v>15</v>
      </c>
    </row>
    <row r="113" ht="13.5" customHeight="1">
      <c r="Q113" s="169" t="s">
        <v>16</v>
      </c>
    </row>
    <row r="114" ht="13.5" customHeight="1">
      <c r="Q114" s="169" t="s">
        <v>17</v>
      </c>
    </row>
    <row r="115" ht="13.5" customHeight="1">
      <c r="Q115" s="169" t="s">
        <v>18</v>
      </c>
    </row>
    <row r="116" ht="13.5" customHeight="1">
      <c r="Q116" s="168">
        <v>1</v>
      </c>
    </row>
    <row r="117" ht="13.5" customHeight="1">
      <c r="Q117" s="168">
        <v>2</v>
      </c>
    </row>
    <row r="118" ht="13.5" customHeight="1">
      <c r="Q118" s="168">
        <v>3</v>
      </c>
    </row>
    <row r="119" ht="13.5" customHeight="1">
      <c r="Q119" s="168">
        <v>4</v>
      </c>
    </row>
    <row r="120" ht="13.5" customHeight="1">
      <c r="Q120" s="168">
        <v>5</v>
      </c>
    </row>
    <row r="121" ht="13.5" customHeight="1">
      <c r="Q121" s="168">
        <v>6</v>
      </c>
    </row>
    <row r="122" ht="13.5" customHeight="1">
      <c r="Q122" s="168">
        <v>7</v>
      </c>
    </row>
    <row r="123" ht="13.5" customHeight="1">
      <c r="Q123" s="168">
        <v>8</v>
      </c>
    </row>
    <row r="124" ht="13.5" customHeight="1">
      <c r="Q124" s="168">
        <v>9</v>
      </c>
    </row>
    <row r="125" ht="13.5" customHeight="1">
      <c r="Q125" s="168">
        <v>10</v>
      </c>
    </row>
    <row r="126" ht="13.5" customHeight="1">
      <c r="Q126" s="168">
        <v>11</v>
      </c>
    </row>
    <row r="127" ht="13.5" customHeight="1">
      <c r="Q127" s="168">
        <v>12</v>
      </c>
    </row>
    <row r="128" ht="13.5" customHeight="1">
      <c r="Q128" s="168">
        <v>13</v>
      </c>
    </row>
    <row r="129" ht="13.5" customHeight="1">
      <c r="Q129" s="168">
        <v>14</v>
      </c>
    </row>
    <row r="130" ht="13.5" customHeight="1">
      <c r="Q130" s="168" t="s">
        <v>19</v>
      </c>
    </row>
    <row r="131" ht="13.5" customHeight="1">
      <c r="Q131" s="168" t="s">
        <v>20</v>
      </c>
    </row>
    <row r="132" ht="13.5" customHeight="1">
      <c r="Q132" s="168" t="s">
        <v>96</v>
      </c>
    </row>
    <row r="133" ht="13.5" customHeight="1">
      <c r="Q133" s="168" t="s">
        <v>97</v>
      </c>
    </row>
    <row r="134" ht="13.5" customHeight="1">
      <c r="Q134" s="168" t="s">
        <v>98</v>
      </c>
    </row>
  </sheetData>
  <sheetProtection password="DFB1" sheet="1"/>
  <mergeCells count="1">
    <mergeCell ref="I56:J56"/>
  </mergeCells>
  <dataValidations count="6">
    <dataValidation type="list" allowBlank="1" showInputMessage="1" showErrorMessage="1" sqref="G49:H49">
      <formula1>"1,2,3"</formula1>
    </dataValidation>
    <dataValidation type="list" allowBlank="1" showInputMessage="1" showErrorMessage="1" sqref="G45 G20:G21 G30">
      <formula1>"j,n"</formula1>
    </dataValidation>
    <dataValidation type="list" allowBlank="1" showInputMessage="1" showErrorMessage="1" sqref="F30">
      <formula1>"leraar,directie,OOP S9"</formula1>
    </dataValidation>
    <dataValidation type="list" allowBlank="1" showInputMessage="1" showErrorMessage="1" sqref="F20">
      <formula1>"LA,LB,LC,LD"</formula1>
    </dataValidation>
    <dataValidation type="list" allowBlank="1" showInputMessage="1" showErrorMessage="1" sqref="H20:H21 H30">
      <formula1>#REF!</formula1>
    </dataValidation>
    <dataValidation type="list" allowBlank="1" showInputMessage="1" showErrorMessage="1" sqref="I13">
      <formula1>$Q$91:$Q$134</formula1>
    </dataValidation>
  </dataValidations>
  <printOptions gridLines="1"/>
  <pageMargins left="0.7480314960629921" right="0.7480314960629921" top="0.984251968503937" bottom="0.984251968503937" header="0.5118110236220472" footer="0.5118110236220472"/>
  <pageSetup fitToHeight="1" fitToWidth="1" horizontalDpi="600" verticalDpi="600" orientation="portrait" paperSize="9" scale="61" r:id="rId4"/>
  <headerFooter alignWithMargins="0">
    <oddHeader>&amp;L&amp;"Arial,Vet"&amp;A&amp;C&amp;"Arial,Vet"&amp;D&amp;R&amp;"Arial,Vet"&amp;F</oddHeader>
    <oddFooter>&amp;L&amp;"Arial,Vet"&amp;8gemaakt door keizer, PO-Raad&amp;R&amp;"Arial,Vet"&amp;P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2:N114"/>
  <sheetViews>
    <sheetView zoomScale="85" zoomScaleNormal="85" zoomScalePageLayoutView="0" workbookViewId="0" topLeftCell="A1">
      <selection activeCell="B2" sqref="B2"/>
    </sheetView>
  </sheetViews>
  <sheetFormatPr defaultColWidth="9.140625" defaultRowHeight="13.5" customHeight="1"/>
  <cols>
    <col min="1" max="1" width="3.7109375" style="3" customWidth="1"/>
    <col min="2" max="3" width="2.7109375" style="3" customWidth="1"/>
    <col min="4" max="4" width="35.7109375" style="3" customWidth="1"/>
    <col min="5" max="6" width="12.8515625" style="3" customWidth="1"/>
    <col min="7" max="7" width="14.8515625" style="3" customWidth="1"/>
    <col min="8" max="10" width="12.8515625" style="3" customWidth="1"/>
    <col min="11" max="11" width="2.57421875" style="174" customWidth="1"/>
    <col min="12" max="12" width="2.28125" style="3" customWidth="1"/>
    <col min="13" max="16384" width="9.140625" style="3" customWidth="1"/>
  </cols>
  <sheetData>
    <row r="2" spans="2:12" ht="13.5" customHeight="1">
      <c r="B2" s="83"/>
      <c r="C2" s="84"/>
      <c r="D2" s="84"/>
      <c r="E2" s="84"/>
      <c r="F2" s="84"/>
      <c r="G2" s="84"/>
      <c r="H2" s="84"/>
      <c r="I2" s="84"/>
      <c r="J2" s="84"/>
      <c r="K2" s="170"/>
      <c r="L2" s="85"/>
    </row>
    <row r="3" spans="2:12" ht="13.5" customHeight="1">
      <c r="B3" s="86"/>
      <c r="C3" s="26"/>
      <c r="D3" s="26"/>
      <c r="E3" s="26"/>
      <c r="F3" s="26"/>
      <c r="G3" s="26"/>
      <c r="H3" s="26"/>
      <c r="I3" s="26"/>
      <c r="J3" s="26"/>
      <c r="K3" s="171"/>
      <c r="L3" s="37"/>
    </row>
    <row r="4" spans="2:12" s="115" customFormat="1" ht="18" customHeight="1">
      <c r="B4" s="112"/>
      <c r="C4" s="113" t="s">
        <v>300</v>
      </c>
      <c r="D4" s="113"/>
      <c r="E4" s="113"/>
      <c r="F4" s="113"/>
      <c r="G4" s="444" t="str">
        <f>tabellen!B3</f>
        <v>2010/2011</v>
      </c>
      <c r="H4" s="431"/>
      <c r="I4" s="113"/>
      <c r="J4" s="113"/>
      <c r="K4" s="172"/>
      <c r="L4" s="114"/>
    </row>
    <row r="5" spans="2:12" ht="13.5" customHeight="1">
      <c r="B5" s="86"/>
      <c r="C5" s="26"/>
      <c r="D5" s="26"/>
      <c r="E5" s="26"/>
      <c r="F5" s="26"/>
      <c r="G5" s="26"/>
      <c r="H5" s="26"/>
      <c r="I5" s="26"/>
      <c r="J5" s="26"/>
      <c r="K5" s="171"/>
      <c r="L5" s="37"/>
    </row>
    <row r="6" spans="2:12" ht="13.5" customHeight="1">
      <c r="B6" s="86"/>
      <c r="C6" s="26"/>
      <c r="D6" s="26"/>
      <c r="E6" s="26"/>
      <c r="F6" s="26"/>
      <c r="G6" s="26"/>
      <c r="H6" s="26"/>
      <c r="I6" s="26"/>
      <c r="J6" s="26"/>
      <c r="K6" s="171"/>
      <c r="L6" s="37"/>
    </row>
    <row r="7" spans="2:12" ht="13.5" customHeight="1">
      <c r="B7" s="86"/>
      <c r="C7" s="308"/>
      <c r="D7" s="185"/>
      <c r="E7" s="185"/>
      <c r="F7" s="185"/>
      <c r="G7" s="185"/>
      <c r="H7" s="185"/>
      <c r="I7" s="185"/>
      <c r="J7" s="185"/>
      <c r="K7" s="309"/>
      <c r="L7" s="37"/>
    </row>
    <row r="8" spans="2:12" ht="13.5" customHeight="1">
      <c r="B8" s="86"/>
      <c r="C8" s="310"/>
      <c r="D8" s="311" t="s">
        <v>307</v>
      </c>
      <c r="E8" s="193"/>
      <c r="F8" s="193"/>
      <c r="G8" s="193"/>
      <c r="H8" s="193"/>
      <c r="I8" s="193"/>
      <c r="J8" s="193"/>
      <c r="K8" s="312"/>
      <c r="L8" s="37"/>
    </row>
    <row r="9" spans="2:12" ht="13.5" customHeight="1">
      <c r="B9" s="86"/>
      <c r="C9" s="310"/>
      <c r="D9" s="193"/>
      <c r="E9" s="193"/>
      <c r="F9" s="193"/>
      <c r="G9" s="193"/>
      <c r="H9" s="193"/>
      <c r="I9" s="193"/>
      <c r="J9" s="193"/>
      <c r="K9" s="312"/>
      <c r="L9" s="37"/>
    </row>
    <row r="10" spans="2:12" ht="13.5" customHeight="1">
      <c r="B10" s="86"/>
      <c r="C10" s="310"/>
      <c r="D10" s="193" t="s">
        <v>132</v>
      </c>
      <c r="E10" s="193"/>
      <c r="F10" s="193"/>
      <c r="G10" s="193"/>
      <c r="H10" s="212" t="s">
        <v>133</v>
      </c>
      <c r="I10" s="313"/>
      <c r="J10" s="314"/>
      <c r="K10" s="312"/>
      <c r="L10" s="37"/>
    </row>
    <row r="11" spans="2:12" ht="13.5" customHeight="1">
      <c r="B11" s="86"/>
      <c r="C11" s="310"/>
      <c r="D11" s="193"/>
      <c r="E11" s="193"/>
      <c r="F11" s="193"/>
      <c r="G11" s="315"/>
      <c r="H11" s="315"/>
      <c r="I11" s="314"/>
      <c r="J11" s="314"/>
      <c r="K11" s="312"/>
      <c r="L11" s="37"/>
    </row>
    <row r="12" spans="2:12" s="79" customFormat="1" ht="13.5" customHeight="1">
      <c r="B12" s="88"/>
      <c r="C12" s="316"/>
      <c r="D12" s="317" t="s">
        <v>23</v>
      </c>
      <c r="E12" s="317"/>
      <c r="F12" s="317"/>
      <c r="G12" s="317"/>
      <c r="H12" s="317"/>
      <c r="I12" s="317"/>
      <c r="J12" s="317"/>
      <c r="K12" s="318"/>
      <c r="L12" s="40"/>
    </row>
    <row r="13" spans="2:12" ht="13.5" customHeight="1">
      <c r="B13" s="86"/>
      <c r="C13" s="310"/>
      <c r="D13" s="192" t="s">
        <v>21</v>
      </c>
      <c r="E13" s="193"/>
      <c r="F13" s="193"/>
      <c r="G13" s="213"/>
      <c r="H13" s="199" t="s">
        <v>0</v>
      </c>
      <c r="I13" s="319"/>
      <c r="J13" s="193"/>
      <c r="K13" s="312"/>
      <c r="L13" s="37"/>
    </row>
    <row r="14" spans="2:13" ht="13.5" customHeight="1">
      <c r="B14" s="86"/>
      <c r="C14" s="310"/>
      <c r="D14" s="193" t="s">
        <v>22</v>
      </c>
      <c r="E14" s="193"/>
      <c r="F14" s="193"/>
      <c r="G14" s="213"/>
      <c r="H14" s="199">
        <v>8</v>
      </c>
      <c r="I14" s="193"/>
      <c r="J14" s="193"/>
      <c r="K14" s="312"/>
      <c r="L14" s="37"/>
      <c r="M14" s="43"/>
    </row>
    <row r="15" spans="2:13" ht="13.5" customHeight="1">
      <c r="B15" s="86"/>
      <c r="C15" s="310"/>
      <c r="D15" s="193" t="s">
        <v>24</v>
      </c>
      <c r="E15" s="193"/>
      <c r="F15" s="193"/>
      <c r="G15" s="320"/>
      <c r="H15" s="321">
        <f>VLOOKUP(H13,salaristabellen,H14+1,FALSE)</f>
        <v>2659</v>
      </c>
      <c r="I15" s="193"/>
      <c r="J15" s="193"/>
      <c r="K15" s="312"/>
      <c r="L15" s="37"/>
      <c r="M15" s="43"/>
    </row>
    <row r="16" spans="2:13" ht="13.5" customHeight="1">
      <c r="B16" s="86"/>
      <c r="C16" s="310"/>
      <c r="D16" s="193" t="s">
        <v>25</v>
      </c>
      <c r="E16" s="193"/>
      <c r="F16" s="193"/>
      <c r="G16" s="211"/>
      <c r="H16" s="210">
        <v>1</v>
      </c>
      <c r="I16" s="193"/>
      <c r="J16" s="193"/>
      <c r="K16" s="312"/>
      <c r="L16" s="37"/>
      <c r="M16" s="43"/>
    </row>
    <row r="17" spans="2:13" ht="13.5" customHeight="1">
      <c r="B17" s="86"/>
      <c r="C17" s="310"/>
      <c r="D17" s="193" t="s">
        <v>26</v>
      </c>
      <c r="E17" s="193"/>
      <c r="F17" s="193"/>
      <c r="G17" s="322"/>
      <c r="H17" s="323">
        <f>+H15*H16</f>
        <v>2659</v>
      </c>
      <c r="I17" s="193"/>
      <c r="J17" s="193"/>
      <c r="K17" s="312"/>
      <c r="L17" s="37"/>
      <c r="M17" s="43"/>
    </row>
    <row r="18" spans="2:13" ht="13.5" customHeight="1">
      <c r="B18" s="86"/>
      <c r="C18" s="324"/>
      <c r="D18" s="325"/>
      <c r="E18" s="325"/>
      <c r="F18" s="325"/>
      <c r="G18" s="326"/>
      <c r="H18" s="326"/>
      <c r="I18" s="325"/>
      <c r="J18" s="325"/>
      <c r="K18" s="327"/>
      <c r="L18" s="37"/>
      <c r="M18" s="43"/>
    </row>
    <row r="19" spans="2:13" ht="13.5" customHeight="1">
      <c r="B19" s="86"/>
      <c r="C19" s="26"/>
      <c r="D19" s="26"/>
      <c r="E19" s="26"/>
      <c r="F19" s="26"/>
      <c r="G19" s="26"/>
      <c r="H19" s="26"/>
      <c r="I19" s="26"/>
      <c r="J19" s="26"/>
      <c r="K19" s="171"/>
      <c r="L19" s="37"/>
      <c r="M19" s="43"/>
    </row>
    <row r="20" spans="2:13" ht="13.5" customHeight="1">
      <c r="B20" s="86"/>
      <c r="C20" s="308"/>
      <c r="D20" s="185"/>
      <c r="E20" s="185"/>
      <c r="F20" s="185"/>
      <c r="G20" s="185"/>
      <c r="H20" s="185"/>
      <c r="I20" s="185"/>
      <c r="J20" s="185"/>
      <c r="K20" s="309"/>
      <c r="L20" s="37"/>
      <c r="M20" s="43"/>
    </row>
    <row r="21" spans="2:13" s="79" customFormat="1" ht="13.5" customHeight="1">
      <c r="B21" s="88"/>
      <c r="C21" s="316"/>
      <c r="D21" s="311" t="s">
        <v>136</v>
      </c>
      <c r="E21" s="311"/>
      <c r="F21" s="311"/>
      <c r="G21" s="328"/>
      <c r="H21" s="328" t="s">
        <v>137</v>
      </c>
      <c r="I21" s="328" t="s">
        <v>138</v>
      </c>
      <c r="J21" s="329"/>
      <c r="K21" s="330"/>
      <c r="L21" s="40"/>
      <c r="M21" s="81"/>
    </row>
    <row r="22" spans="2:13" ht="13.5" customHeight="1">
      <c r="B22" s="86"/>
      <c r="C22" s="310"/>
      <c r="D22" s="331"/>
      <c r="E22" s="331"/>
      <c r="F22" s="331"/>
      <c r="G22" s="332"/>
      <c r="H22" s="332"/>
      <c r="I22" s="332"/>
      <c r="J22" s="227"/>
      <c r="K22" s="333"/>
      <c r="L22" s="37"/>
      <c r="M22" s="43"/>
    </row>
    <row r="23" spans="2:13" ht="13.5" customHeight="1">
      <c r="B23" s="86"/>
      <c r="C23" s="310"/>
      <c r="D23" s="193" t="s">
        <v>135</v>
      </c>
      <c r="E23" s="193"/>
      <c r="F23" s="193"/>
      <c r="G23" s="213"/>
      <c r="H23" s="199" t="s">
        <v>134</v>
      </c>
      <c r="I23" s="332"/>
      <c r="J23" s="227"/>
      <c r="K23" s="333"/>
      <c r="L23" s="37"/>
      <c r="M23" s="43"/>
    </row>
    <row r="24" spans="2:13" ht="13.5" customHeight="1">
      <c r="B24" s="86"/>
      <c r="C24" s="310"/>
      <c r="D24" s="331"/>
      <c r="E24" s="331"/>
      <c r="F24" s="331"/>
      <c r="G24" s="332"/>
      <c r="H24" s="332"/>
      <c r="I24" s="332"/>
      <c r="J24" s="227"/>
      <c r="K24" s="333"/>
      <c r="L24" s="37"/>
      <c r="M24" s="43"/>
    </row>
    <row r="25" spans="2:13" ht="13.5" customHeight="1">
      <c r="B25" s="86"/>
      <c r="C25" s="310"/>
      <c r="D25" s="193" t="s">
        <v>139</v>
      </c>
      <c r="E25" s="193"/>
      <c r="F25" s="193"/>
      <c r="G25" s="227"/>
      <c r="H25" s="334">
        <f>ROUND(415*H16,0)</f>
        <v>415</v>
      </c>
      <c r="I25" s="335">
        <f>ROUND(233*H16,0)</f>
        <v>233</v>
      </c>
      <c r="J25" s="191"/>
      <c r="K25" s="333"/>
      <c r="L25" s="25"/>
      <c r="M25" s="43"/>
    </row>
    <row r="26" spans="2:13" ht="13.5" customHeight="1">
      <c r="B26" s="86"/>
      <c r="C26" s="310"/>
      <c r="D26" s="193" t="s">
        <v>140</v>
      </c>
      <c r="E26" s="193"/>
      <c r="F26" s="193"/>
      <c r="G26" s="213"/>
      <c r="H26" s="199">
        <v>415</v>
      </c>
      <c r="I26" s="336">
        <v>233</v>
      </c>
      <c r="J26" s="191"/>
      <c r="K26" s="333"/>
      <c r="L26" s="25"/>
      <c r="M26" s="43"/>
    </row>
    <row r="27" spans="2:13" ht="13.5" customHeight="1">
      <c r="B27" s="86"/>
      <c r="C27" s="310"/>
      <c r="D27" s="193" t="s">
        <v>141</v>
      </c>
      <c r="E27" s="193"/>
      <c r="F27" s="193"/>
      <c r="G27" s="337"/>
      <c r="H27" s="338">
        <f>+H26/H25</f>
        <v>1</v>
      </c>
      <c r="I27" s="338">
        <f>+I26/I25</f>
        <v>1</v>
      </c>
      <c r="J27" s="191"/>
      <c r="K27" s="333"/>
      <c r="L27" s="25"/>
      <c r="M27" s="43"/>
    </row>
    <row r="28" spans="2:13" ht="13.5" customHeight="1">
      <c r="B28" s="86"/>
      <c r="C28" s="310"/>
      <c r="D28" s="193" t="s">
        <v>142</v>
      </c>
      <c r="E28" s="193"/>
      <c r="F28" s="193"/>
      <c r="G28" s="213"/>
      <c r="H28" s="199">
        <v>6</v>
      </c>
      <c r="I28" s="339" t="str">
        <f>IF(H28&lt;2.999,"moet minimaal 3 gehele maanden zijn"," ")</f>
        <v> </v>
      </c>
      <c r="J28" s="191"/>
      <c r="K28" s="333"/>
      <c r="L28" s="25"/>
      <c r="M28" s="43"/>
    </row>
    <row r="29" spans="2:13" ht="13.5" customHeight="1">
      <c r="B29" s="86"/>
      <c r="C29" s="310"/>
      <c r="D29" s="193"/>
      <c r="E29" s="193"/>
      <c r="F29" s="193"/>
      <c r="G29" s="227"/>
      <c r="H29" s="227"/>
      <c r="I29" s="227"/>
      <c r="J29" s="191"/>
      <c r="K29" s="340"/>
      <c r="L29" s="25"/>
      <c r="M29" s="43"/>
    </row>
    <row r="30" spans="2:13" ht="13.5" customHeight="1">
      <c r="B30" s="86"/>
      <c r="C30" s="310"/>
      <c r="D30" s="193" t="s">
        <v>235</v>
      </c>
      <c r="E30" s="193"/>
      <c r="F30" s="193"/>
      <c r="G30" s="341"/>
      <c r="H30" s="341">
        <f>ROUND(IF(H23="ja",+(I26/I25),H26/H25)*(3/H28)*H16,4)</f>
        <v>0.5</v>
      </c>
      <c r="I30" s="227"/>
      <c r="J30" s="342"/>
      <c r="K30" s="343"/>
      <c r="L30" s="25"/>
      <c r="M30" s="43"/>
    </row>
    <row r="31" spans="2:12" ht="13.5" customHeight="1">
      <c r="B31" s="86"/>
      <c r="C31" s="310"/>
      <c r="D31" s="193" t="s">
        <v>143</v>
      </c>
      <c r="E31" s="193"/>
      <c r="F31" s="193"/>
      <c r="G31" s="337"/>
      <c r="H31" s="337">
        <f>ROUND(+IF(H23="ja",I26,H26)/ROUND((IF(H23="ja",233,415)*H16),0)*1.35/H28,4)</f>
        <v>0.225</v>
      </c>
      <c r="I31" s="227"/>
      <c r="J31" s="344">
        <f>+H31*H17</f>
        <v>598.275</v>
      </c>
      <c r="K31" s="345">
        <f>+H30*0.45*H15</f>
        <v>598.275</v>
      </c>
      <c r="L31" s="37"/>
    </row>
    <row r="32" spans="2:12" ht="13.5" customHeight="1">
      <c r="B32" s="86"/>
      <c r="C32" s="310"/>
      <c r="D32" s="193"/>
      <c r="E32" s="193"/>
      <c r="F32" s="193"/>
      <c r="G32" s="337"/>
      <c r="H32" s="337"/>
      <c r="I32" s="227"/>
      <c r="J32" s="342"/>
      <c r="K32" s="345"/>
      <c r="L32" s="37"/>
    </row>
    <row r="33" spans="2:12" ht="13.5" customHeight="1">
      <c r="B33" s="86"/>
      <c r="C33" s="310"/>
      <c r="D33" s="193" t="s">
        <v>236</v>
      </c>
      <c r="E33" s="193"/>
      <c r="F33" s="193"/>
      <c r="G33" s="337"/>
      <c r="H33" s="337">
        <f>ROUND((3*I27/H28),4)-H31</f>
        <v>0.275</v>
      </c>
      <c r="I33" s="227"/>
      <c r="J33" s="321">
        <f>+H33*H17</f>
        <v>731.225</v>
      </c>
      <c r="K33" s="346">
        <f>+H30*0.55*H15</f>
        <v>731.225</v>
      </c>
      <c r="L33" s="37"/>
    </row>
    <row r="34" spans="2:12" ht="13.5" customHeight="1">
      <c r="B34" s="86"/>
      <c r="C34" s="310"/>
      <c r="D34" s="193" t="s">
        <v>144</v>
      </c>
      <c r="E34" s="193"/>
      <c r="F34" s="193"/>
      <c r="G34" s="337"/>
      <c r="H34" s="337">
        <f>1-ROUND(1/0.45*H31,4)</f>
        <v>0.5</v>
      </c>
      <c r="I34" s="227"/>
      <c r="J34" s="321">
        <f>+H34*H17</f>
        <v>1329.5</v>
      </c>
      <c r="K34" s="347"/>
      <c r="L34" s="37"/>
    </row>
    <row r="35" spans="2:12" s="79" customFormat="1" ht="13.5" customHeight="1">
      <c r="B35" s="88"/>
      <c r="C35" s="316"/>
      <c r="D35" s="317" t="s">
        <v>145</v>
      </c>
      <c r="E35" s="317"/>
      <c r="F35" s="317"/>
      <c r="G35" s="348"/>
      <c r="H35" s="348">
        <f>+H33+H34</f>
        <v>0.775</v>
      </c>
      <c r="I35" s="329"/>
      <c r="J35" s="349">
        <f>SUM(J33:J34)</f>
        <v>2060.725</v>
      </c>
      <c r="K35" s="350"/>
      <c r="L35" s="40"/>
    </row>
    <row r="36" spans="2:12" ht="13.5" customHeight="1">
      <c r="B36" s="86"/>
      <c r="C36" s="310"/>
      <c r="D36" s="351" t="s">
        <v>146</v>
      </c>
      <c r="E36" s="351"/>
      <c r="F36" s="351"/>
      <c r="G36" s="352"/>
      <c r="H36" s="352"/>
      <c r="I36" s="352"/>
      <c r="J36" s="353">
        <f>+J33*H28</f>
        <v>4387.35</v>
      </c>
      <c r="K36" s="347"/>
      <c r="L36" s="37"/>
    </row>
    <row r="37" spans="2:12" ht="13.5" customHeight="1">
      <c r="B37" s="86"/>
      <c r="C37" s="310"/>
      <c r="D37" s="193"/>
      <c r="E37" s="193"/>
      <c r="F37" s="193"/>
      <c r="G37" s="227"/>
      <c r="H37" s="227"/>
      <c r="I37" s="227"/>
      <c r="J37" s="320"/>
      <c r="K37" s="347"/>
      <c r="L37" s="37"/>
    </row>
    <row r="38" spans="2:12" s="79" customFormat="1" ht="13.5" customHeight="1">
      <c r="B38" s="88"/>
      <c r="C38" s="316"/>
      <c r="D38" s="317" t="s">
        <v>298</v>
      </c>
      <c r="E38" s="317"/>
      <c r="F38" s="317"/>
      <c r="G38" s="354"/>
      <c r="H38" s="461">
        <v>0.55</v>
      </c>
      <c r="I38" s="329"/>
      <c r="J38" s="349">
        <f>+J36*(1+H38)</f>
        <v>6800.392500000001</v>
      </c>
      <c r="K38" s="318"/>
      <c r="L38" s="40"/>
    </row>
    <row r="39" spans="2:12" ht="13.5" customHeight="1">
      <c r="B39" s="86"/>
      <c r="C39" s="310"/>
      <c r="D39" s="355" t="s">
        <v>67</v>
      </c>
      <c r="E39" s="355"/>
      <c r="F39" s="355"/>
      <c r="G39" s="355"/>
      <c r="H39" s="355"/>
      <c r="I39" s="355"/>
      <c r="J39" s="356">
        <f>+J38/H$28</f>
        <v>1133.39875</v>
      </c>
      <c r="K39" s="357"/>
      <c r="L39" s="37"/>
    </row>
    <row r="40" spans="2:12" ht="13.5" customHeight="1">
      <c r="B40" s="86"/>
      <c r="C40" s="324"/>
      <c r="D40" s="325"/>
      <c r="E40" s="325"/>
      <c r="F40" s="325"/>
      <c r="G40" s="325"/>
      <c r="H40" s="325"/>
      <c r="I40" s="325"/>
      <c r="J40" s="358"/>
      <c r="K40" s="359"/>
      <c r="L40" s="37"/>
    </row>
    <row r="41" spans="2:12" ht="13.5" customHeight="1">
      <c r="B41" s="86"/>
      <c r="C41" s="26"/>
      <c r="D41" s="26"/>
      <c r="E41" s="26"/>
      <c r="F41" s="26"/>
      <c r="G41" s="26"/>
      <c r="H41" s="26"/>
      <c r="I41" s="26"/>
      <c r="J41" s="89"/>
      <c r="K41" s="173"/>
      <c r="L41" s="37"/>
    </row>
    <row r="42" spans="2:12" ht="13.5" customHeight="1">
      <c r="B42" s="86"/>
      <c r="C42" s="308"/>
      <c r="D42" s="360"/>
      <c r="E42" s="360"/>
      <c r="F42" s="360"/>
      <c r="G42" s="360"/>
      <c r="H42" s="360"/>
      <c r="I42" s="360"/>
      <c r="J42" s="361"/>
      <c r="K42" s="362"/>
      <c r="L42" s="37"/>
    </row>
    <row r="43" spans="2:12" ht="13.5" customHeight="1">
      <c r="B43" s="86"/>
      <c r="C43" s="310"/>
      <c r="D43" s="226" t="s">
        <v>265</v>
      </c>
      <c r="E43" s="226"/>
      <c r="F43" s="226"/>
      <c r="G43" s="226"/>
      <c r="H43" s="226"/>
      <c r="I43" s="226"/>
      <c r="J43" s="363">
        <v>4.07</v>
      </c>
      <c r="K43" s="312"/>
      <c r="L43" s="37"/>
    </row>
    <row r="44" spans="2:12" ht="13.5" customHeight="1">
      <c r="B44" s="86"/>
      <c r="C44" s="310"/>
      <c r="D44" s="226" t="s">
        <v>310</v>
      </c>
      <c r="E44" s="226"/>
      <c r="F44" s="226"/>
      <c r="G44" s="226"/>
      <c r="H44" s="226"/>
      <c r="I44" s="226"/>
      <c r="J44" s="226"/>
      <c r="K44" s="364"/>
      <c r="L44" s="37"/>
    </row>
    <row r="45" spans="2:12" ht="13.5" customHeight="1">
      <c r="B45" s="86"/>
      <c r="C45" s="310"/>
      <c r="D45" s="226" t="s">
        <v>311</v>
      </c>
      <c r="E45" s="226"/>
      <c r="F45" s="226"/>
      <c r="G45" s="365"/>
      <c r="H45" s="366">
        <v>199</v>
      </c>
      <c r="I45" s="367" t="s">
        <v>232</v>
      </c>
      <c r="J45" s="367"/>
      <c r="K45" s="364"/>
      <c r="L45" s="37"/>
    </row>
    <row r="46" spans="2:12" ht="13.5" customHeight="1">
      <c r="B46" s="86"/>
      <c r="C46" s="324"/>
      <c r="D46" s="368"/>
      <c r="E46" s="368"/>
      <c r="F46" s="368"/>
      <c r="G46" s="368"/>
      <c r="H46" s="368"/>
      <c r="I46" s="369"/>
      <c r="J46" s="369"/>
      <c r="K46" s="370"/>
      <c r="L46" s="37"/>
    </row>
    <row r="47" spans="2:12" ht="13.5" customHeight="1">
      <c r="B47" s="86"/>
      <c r="C47" s="26"/>
      <c r="D47" s="26"/>
      <c r="E47" s="26"/>
      <c r="F47" s="26"/>
      <c r="G47" s="26"/>
      <c r="H47" s="26"/>
      <c r="I47" s="89"/>
      <c r="J47" s="26"/>
      <c r="K47" s="171"/>
      <c r="L47" s="37"/>
    </row>
    <row r="48" spans="2:12" ht="13.5" customHeight="1">
      <c r="B48" s="86"/>
      <c r="C48" s="26"/>
      <c r="D48" s="26"/>
      <c r="E48" s="26"/>
      <c r="F48" s="26"/>
      <c r="G48" s="26"/>
      <c r="H48" s="26"/>
      <c r="I48" s="89"/>
      <c r="J48" s="26"/>
      <c r="K48" s="171"/>
      <c r="L48" s="37"/>
    </row>
    <row r="49" spans="2:12" ht="13.5" customHeight="1">
      <c r="B49" s="86"/>
      <c r="C49" s="308"/>
      <c r="D49" s="185"/>
      <c r="E49" s="185"/>
      <c r="F49" s="185"/>
      <c r="G49" s="185"/>
      <c r="H49" s="185"/>
      <c r="I49" s="371"/>
      <c r="J49" s="185"/>
      <c r="K49" s="309"/>
      <c r="L49" s="37"/>
    </row>
    <row r="50" spans="1:12" s="79" customFormat="1" ht="13.5" customHeight="1">
      <c r="A50" s="82"/>
      <c r="B50" s="90"/>
      <c r="C50" s="372"/>
      <c r="D50" s="311" t="s">
        <v>299</v>
      </c>
      <c r="E50" s="317"/>
      <c r="F50" s="317"/>
      <c r="G50" s="317"/>
      <c r="H50" s="317"/>
      <c r="I50" s="508"/>
      <c r="J50" s="509"/>
      <c r="K50" s="318"/>
      <c r="L50" s="40"/>
    </row>
    <row r="51" spans="1:12" ht="13.5" customHeight="1">
      <c r="A51" s="80"/>
      <c r="B51" s="91"/>
      <c r="C51" s="373"/>
      <c r="D51" s="193"/>
      <c r="E51" s="193"/>
      <c r="F51" s="193"/>
      <c r="G51" s="193"/>
      <c r="H51" s="193"/>
      <c r="I51" s="375"/>
      <c r="J51" s="314"/>
      <c r="K51" s="312"/>
      <c r="L51" s="37"/>
    </row>
    <row r="52" spans="2:12" ht="13.5" customHeight="1">
      <c r="B52" s="86"/>
      <c r="C52" s="310"/>
      <c r="D52" s="193" t="s">
        <v>147</v>
      </c>
      <c r="E52" s="193"/>
      <c r="F52" s="193"/>
      <c r="G52" s="193"/>
      <c r="H52" s="193"/>
      <c r="I52" s="374"/>
      <c r="J52" s="193"/>
      <c r="K52" s="312"/>
      <c r="L52" s="37"/>
    </row>
    <row r="53" spans="2:12" ht="13.5" customHeight="1">
      <c r="B53" s="86"/>
      <c r="C53" s="310"/>
      <c r="D53" s="193" t="s">
        <v>148</v>
      </c>
      <c r="E53" s="193"/>
      <c r="F53" s="193"/>
      <c r="G53" s="376"/>
      <c r="H53" s="377">
        <v>600</v>
      </c>
      <c r="I53" s="378" t="s">
        <v>149</v>
      </c>
      <c r="J53" s="379"/>
      <c r="K53" s="312"/>
      <c r="L53" s="37"/>
    </row>
    <row r="54" spans="2:12" ht="13.5" customHeight="1">
      <c r="B54" s="86"/>
      <c r="C54" s="310"/>
      <c r="D54" s="193" t="s">
        <v>150</v>
      </c>
      <c r="E54" s="193"/>
      <c r="F54" s="193"/>
      <c r="G54" s="380"/>
      <c r="H54" s="381">
        <v>0.749</v>
      </c>
      <c r="I54" s="378" t="s">
        <v>149</v>
      </c>
      <c r="J54" s="379"/>
      <c r="K54" s="312"/>
      <c r="L54" s="37"/>
    </row>
    <row r="55" spans="2:12" ht="13.5" customHeight="1">
      <c r="B55" s="86"/>
      <c r="C55" s="310"/>
      <c r="D55" s="193"/>
      <c r="E55" s="227"/>
      <c r="F55" s="227" t="s">
        <v>151</v>
      </c>
      <c r="G55" s="193"/>
      <c r="H55" s="227"/>
      <c r="I55" s="378"/>
      <c r="J55" s="379"/>
      <c r="K55" s="312"/>
      <c r="L55" s="37"/>
    </row>
    <row r="56" spans="2:12" ht="13.5" customHeight="1">
      <c r="B56" s="86"/>
      <c r="C56" s="310"/>
      <c r="D56" s="193" t="s">
        <v>152</v>
      </c>
      <c r="E56" s="199">
        <v>20</v>
      </c>
      <c r="F56" s="199">
        <v>40</v>
      </c>
      <c r="G56" s="380"/>
      <c r="H56" s="382">
        <v>0.375</v>
      </c>
      <c r="I56" s="378" t="s">
        <v>153</v>
      </c>
      <c r="J56" s="379"/>
      <c r="K56" s="312"/>
      <c r="L56" s="37"/>
    </row>
    <row r="57" spans="2:12" ht="13.5" customHeight="1">
      <c r="B57" s="86"/>
      <c r="C57" s="310"/>
      <c r="D57" s="193" t="s">
        <v>154</v>
      </c>
      <c r="E57" s="193"/>
      <c r="F57" s="193"/>
      <c r="G57" s="202"/>
      <c r="H57" s="383">
        <v>1.8</v>
      </c>
      <c r="I57" s="378" t="s">
        <v>309</v>
      </c>
      <c r="J57" s="379"/>
      <c r="K57" s="312"/>
      <c r="L57" s="37"/>
    </row>
    <row r="58" spans="2:12" ht="13.5" customHeight="1">
      <c r="B58" s="86"/>
      <c r="C58" s="310"/>
      <c r="D58" s="193" t="s">
        <v>155</v>
      </c>
      <c r="E58" s="193"/>
      <c r="F58" s="193"/>
      <c r="G58" s="384"/>
      <c r="H58" s="385">
        <f>ROUND(H53*H54*H56*H57,0)</f>
        <v>303</v>
      </c>
      <c r="I58" s="378"/>
      <c r="J58" s="379"/>
      <c r="K58" s="312"/>
      <c r="L58" s="37"/>
    </row>
    <row r="59" spans="2:12" ht="13.5" customHeight="1">
      <c r="B59" s="86"/>
      <c r="C59" s="310"/>
      <c r="D59" s="193" t="s">
        <v>156</v>
      </c>
      <c r="E59" s="193"/>
      <c r="F59" s="193"/>
      <c r="G59" s="380"/>
      <c r="H59" s="381">
        <v>1</v>
      </c>
      <c r="I59" s="378" t="s">
        <v>157</v>
      </c>
      <c r="J59" s="379"/>
      <c r="K59" s="312"/>
      <c r="L59" s="37"/>
    </row>
    <row r="60" spans="2:12" ht="13.5" customHeight="1">
      <c r="B60" s="86"/>
      <c r="C60" s="310"/>
      <c r="D60" s="193" t="s">
        <v>158</v>
      </c>
      <c r="E60" s="193"/>
      <c r="F60" s="193"/>
      <c r="G60" s="384"/>
      <c r="H60" s="385">
        <f>ROUND(H58*H59/(F56-E56),0)</f>
        <v>15</v>
      </c>
      <c r="I60" s="378"/>
      <c r="J60" s="379"/>
      <c r="K60" s="312"/>
      <c r="L60" s="37"/>
    </row>
    <row r="61" spans="2:12" ht="13.5" customHeight="1">
      <c r="B61" s="86"/>
      <c r="C61" s="310"/>
      <c r="D61" s="193" t="s">
        <v>159</v>
      </c>
      <c r="E61" s="193"/>
      <c r="F61" s="193"/>
      <c r="G61" s="386"/>
      <c r="H61" s="387">
        <v>6800</v>
      </c>
      <c r="I61" s="378" t="s">
        <v>157</v>
      </c>
      <c r="J61" s="379"/>
      <c r="K61" s="312"/>
      <c r="L61" s="37"/>
    </row>
    <row r="62" spans="2:12" s="79" customFormat="1" ht="13.5" customHeight="1">
      <c r="B62" s="88"/>
      <c r="C62" s="316"/>
      <c r="D62" s="317" t="s">
        <v>160</v>
      </c>
      <c r="E62" s="317"/>
      <c r="F62" s="317"/>
      <c r="G62" s="388"/>
      <c r="H62" s="389">
        <f>+H60*H61</f>
        <v>102000</v>
      </c>
      <c r="I62" s="390" t="s">
        <v>308</v>
      </c>
      <c r="J62" s="391"/>
      <c r="K62" s="318"/>
      <c r="L62" s="40"/>
    </row>
    <row r="63" spans="2:12" ht="13.5" customHeight="1">
      <c r="B63" s="86"/>
      <c r="C63" s="324"/>
      <c r="D63" s="325"/>
      <c r="E63" s="325"/>
      <c r="F63" s="325"/>
      <c r="G63" s="325"/>
      <c r="H63" s="325"/>
      <c r="I63" s="392"/>
      <c r="J63" s="325"/>
      <c r="K63" s="327"/>
      <c r="L63" s="37"/>
    </row>
    <row r="64" spans="2:12" ht="13.5" customHeight="1">
      <c r="B64" s="86"/>
      <c r="C64" s="26"/>
      <c r="D64" s="26"/>
      <c r="E64" s="26"/>
      <c r="F64" s="26"/>
      <c r="G64" s="26"/>
      <c r="H64" s="26"/>
      <c r="I64" s="89"/>
      <c r="J64" s="26"/>
      <c r="K64" s="171"/>
      <c r="L64" s="37"/>
    </row>
    <row r="65" spans="2:12" ht="13.5" customHeight="1">
      <c r="B65" s="86"/>
      <c r="C65" s="26"/>
      <c r="D65" s="26"/>
      <c r="E65" s="26"/>
      <c r="F65" s="26"/>
      <c r="G65" s="26"/>
      <c r="H65" s="26"/>
      <c r="I65" s="89"/>
      <c r="J65" s="26"/>
      <c r="K65" s="171"/>
      <c r="L65" s="37"/>
    </row>
    <row r="66" spans="2:12" ht="13.5" customHeight="1">
      <c r="B66" s="92"/>
      <c r="C66" s="93"/>
      <c r="D66" s="93"/>
      <c r="E66" s="93"/>
      <c r="F66" s="93"/>
      <c r="G66" s="93"/>
      <c r="H66" s="93"/>
      <c r="I66" s="145"/>
      <c r="J66" s="93"/>
      <c r="K66" s="15" t="s">
        <v>295</v>
      </c>
      <c r="L66" s="94"/>
    </row>
    <row r="67" ht="13.5" customHeight="1">
      <c r="I67" s="146"/>
    </row>
    <row r="68" ht="13.5" customHeight="1">
      <c r="I68" s="146"/>
    </row>
    <row r="69" ht="13.5" customHeight="1">
      <c r="I69" s="146"/>
    </row>
    <row r="70" ht="13.5" customHeight="1">
      <c r="I70" s="146"/>
    </row>
    <row r="71" spans="9:14" ht="13.5" customHeight="1">
      <c r="I71" s="146"/>
      <c r="N71" s="168" t="s">
        <v>95</v>
      </c>
    </row>
    <row r="72" spans="9:14" ht="13.5" customHeight="1">
      <c r="I72" s="146"/>
      <c r="N72" s="168" t="s">
        <v>88</v>
      </c>
    </row>
    <row r="73" spans="9:14" ht="13.5" customHeight="1">
      <c r="I73" s="146"/>
      <c r="N73" s="168" t="s">
        <v>89</v>
      </c>
    </row>
    <row r="74" spans="9:14" ht="13.5" customHeight="1">
      <c r="I74" s="146"/>
      <c r="N74" s="168" t="s">
        <v>90</v>
      </c>
    </row>
    <row r="75" spans="9:14" ht="13.5" customHeight="1">
      <c r="I75" s="146"/>
      <c r="N75" s="168" t="s">
        <v>91</v>
      </c>
    </row>
    <row r="76" spans="9:14" ht="13.5" customHeight="1">
      <c r="I76" s="146"/>
      <c r="N76" s="168" t="s">
        <v>92</v>
      </c>
    </row>
    <row r="77" spans="9:14" ht="13.5" customHeight="1">
      <c r="I77" s="146"/>
      <c r="N77" s="168" t="s">
        <v>93</v>
      </c>
    </row>
    <row r="78" spans="9:14" ht="13.5" customHeight="1">
      <c r="I78" s="146"/>
      <c r="N78" s="168" t="s">
        <v>94</v>
      </c>
    </row>
    <row r="79" spans="9:14" ht="13.5" customHeight="1">
      <c r="I79" s="146"/>
      <c r="N79" s="169" t="s">
        <v>3</v>
      </c>
    </row>
    <row r="80" spans="9:14" ht="13.5" customHeight="1">
      <c r="I80" s="146"/>
      <c r="N80" s="169" t="s">
        <v>4</v>
      </c>
    </row>
    <row r="81" spans="9:14" ht="13.5" customHeight="1">
      <c r="I81" s="146"/>
      <c r="N81" s="169" t="s">
        <v>5</v>
      </c>
    </row>
    <row r="82" spans="9:14" ht="13.5" customHeight="1">
      <c r="I82" s="146"/>
      <c r="N82" s="169" t="s">
        <v>6</v>
      </c>
    </row>
    <row r="83" spans="9:14" ht="13.5" customHeight="1">
      <c r="I83" s="146"/>
      <c r="N83" s="169" t="s">
        <v>7</v>
      </c>
    </row>
    <row r="84" spans="9:14" ht="13.5" customHeight="1">
      <c r="I84" s="146"/>
      <c r="N84" s="169" t="s">
        <v>8</v>
      </c>
    </row>
    <row r="85" spans="9:14" ht="13.5" customHeight="1">
      <c r="I85" s="146"/>
      <c r="N85" s="169" t="s">
        <v>9</v>
      </c>
    </row>
    <row r="86" spans="9:14" ht="13.5" customHeight="1">
      <c r="I86" s="146"/>
      <c r="N86" s="169" t="s">
        <v>10</v>
      </c>
    </row>
    <row r="87" spans="9:14" ht="13.5" customHeight="1">
      <c r="I87" s="146"/>
      <c r="N87" s="169" t="s">
        <v>11</v>
      </c>
    </row>
    <row r="88" spans="9:14" ht="13.5" customHeight="1">
      <c r="I88" s="146"/>
      <c r="N88" s="169" t="s">
        <v>12</v>
      </c>
    </row>
    <row r="89" spans="9:14" ht="13.5" customHeight="1">
      <c r="I89" s="146"/>
      <c r="N89" s="169" t="s">
        <v>13</v>
      </c>
    </row>
    <row r="90" spans="9:14" ht="13.5" customHeight="1">
      <c r="I90" s="146"/>
      <c r="N90" s="169" t="s">
        <v>14</v>
      </c>
    </row>
    <row r="91" spans="9:14" ht="13.5" customHeight="1">
      <c r="I91" s="146"/>
      <c r="N91" s="169" t="s">
        <v>0</v>
      </c>
    </row>
    <row r="92" spans="9:14" ht="13.5" customHeight="1">
      <c r="I92" s="146"/>
      <c r="N92" s="169" t="s">
        <v>15</v>
      </c>
    </row>
    <row r="93" spans="9:14" ht="13.5" customHeight="1">
      <c r="I93" s="146"/>
      <c r="N93" s="169" t="s">
        <v>16</v>
      </c>
    </row>
    <row r="94" spans="9:14" ht="13.5" customHeight="1">
      <c r="I94" s="146"/>
      <c r="N94" s="169" t="s">
        <v>17</v>
      </c>
    </row>
    <row r="95" spans="9:14" ht="13.5" customHeight="1">
      <c r="I95" s="146"/>
      <c r="N95" s="169" t="s">
        <v>18</v>
      </c>
    </row>
    <row r="96" spans="6:14" ht="13.5" customHeight="1">
      <c r="F96" s="152"/>
      <c r="G96" s="153"/>
      <c r="I96" s="146"/>
      <c r="N96" s="168">
        <v>1</v>
      </c>
    </row>
    <row r="97" spans="6:14" ht="13.5" customHeight="1">
      <c r="F97" s="152"/>
      <c r="G97" s="153"/>
      <c r="I97" s="146"/>
      <c r="N97" s="168">
        <v>2</v>
      </c>
    </row>
    <row r="98" spans="6:14" ht="13.5" customHeight="1">
      <c r="F98" s="152"/>
      <c r="G98" s="153"/>
      <c r="I98" s="146"/>
      <c r="N98" s="168">
        <v>3</v>
      </c>
    </row>
    <row r="99" spans="6:14" ht="13.5" customHeight="1">
      <c r="F99" s="152"/>
      <c r="G99" s="153"/>
      <c r="I99" s="146"/>
      <c r="N99" s="168">
        <v>4</v>
      </c>
    </row>
    <row r="100" spans="6:14" ht="13.5" customHeight="1">
      <c r="F100" s="151"/>
      <c r="G100" s="146"/>
      <c r="I100" s="146"/>
      <c r="N100" s="168">
        <v>5</v>
      </c>
    </row>
    <row r="101" spans="6:14" ht="13.5" customHeight="1">
      <c r="F101" s="152"/>
      <c r="G101" s="146"/>
      <c r="I101" s="146"/>
      <c r="N101" s="168">
        <v>6</v>
      </c>
    </row>
    <row r="102" spans="6:14" ht="13.5" customHeight="1">
      <c r="F102" s="137"/>
      <c r="I102" s="146"/>
      <c r="N102" s="168">
        <v>7</v>
      </c>
    </row>
    <row r="103" spans="9:14" ht="13.5" customHeight="1">
      <c r="I103" s="146"/>
      <c r="N103" s="168">
        <v>8</v>
      </c>
    </row>
    <row r="104" spans="9:14" ht="13.5" customHeight="1">
      <c r="I104" s="146"/>
      <c r="N104" s="168">
        <v>9</v>
      </c>
    </row>
    <row r="105" ht="13.5" customHeight="1">
      <c r="N105" s="168">
        <v>10</v>
      </c>
    </row>
    <row r="106" ht="13.5" customHeight="1">
      <c r="N106" s="168">
        <v>11</v>
      </c>
    </row>
    <row r="107" ht="13.5" customHeight="1">
      <c r="N107" s="168">
        <v>12</v>
      </c>
    </row>
    <row r="108" ht="13.5" customHeight="1">
      <c r="N108" s="168">
        <v>13</v>
      </c>
    </row>
    <row r="109" ht="13.5" customHeight="1">
      <c r="N109" s="168">
        <v>14</v>
      </c>
    </row>
    <row r="110" ht="13.5" customHeight="1">
      <c r="N110" s="168" t="s">
        <v>19</v>
      </c>
    </row>
    <row r="111" ht="13.5" customHeight="1">
      <c r="N111" s="168" t="s">
        <v>20</v>
      </c>
    </row>
    <row r="112" ht="13.5" customHeight="1">
      <c r="N112" s="168" t="s">
        <v>96</v>
      </c>
    </row>
    <row r="113" ht="13.5" customHeight="1">
      <c r="N113" s="168" t="s">
        <v>97</v>
      </c>
    </row>
    <row r="114" ht="13.5" customHeight="1">
      <c r="N114" s="168" t="s">
        <v>98</v>
      </c>
    </row>
  </sheetData>
  <sheetProtection password="DFB1" sheet="1"/>
  <mergeCells count="1">
    <mergeCell ref="I50:J50"/>
  </mergeCells>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$N$71:$N$114</formula1>
    </dataValidation>
  </dataValidations>
  <printOptions gridLines="1"/>
  <pageMargins left="0.7480314960629921" right="0.7480314960629921" top="0.984251968503937" bottom="0.984251968503937" header="0.5118110236220472" footer="0.5118110236220472"/>
  <pageSetup horizontalDpi="600" verticalDpi="600" orientation="portrait" paperSize="9" scale="65" r:id="rId4"/>
  <headerFooter alignWithMargins="0">
    <oddHeader>&amp;L&amp;"Arial,Vet"&amp;A&amp;C&amp;"Arial,Vet"&amp;D&amp;R&amp;"Arial,Vet"&amp;F</oddHeader>
    <oddFooter>&amp;L&amp;"Arial,Vet"&amp;8gemaakt door keizer, PO-Raad&amp;R&amp;"Arial,Vet"&amp;P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B2:AO103"/>
  <sheetViews>
    <sheetView zoomScale="85" zoomScaleNormal="85" zoomScalePageLayoutView="0" workbookViewId="0" topLeftCell="A1">
      <selection activeCell="B2" sqref="B2"/>
    </sheetView>
  </sheetViews>
  <sheetFormatPr defaultColWidth="9.7109375" defaultRowHeight="13.5" customHeight="1"/>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187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15625" style="1" customWidth="1"/>
    <col min="23" max="23" width="2.8515625" style="1" customWidth="1"/>
    <col min="24" max="25" width="10.7109375" style="1" customWidth="1"/>
    <col min="26" max="16384" width="9.7109375" style="1" customWidth="1"/>
  </cols>
  <sheetData>
    <row r="2" spans="2:25" ht="13.5" customHeight="1">
      <c r="B2" s="16"/>
      <c r="C2" s="17"/>
      <c r="D2" s="17"/>
      <c r="E2" s="17"/>
      <c r="F2" s="19"/>
      <c r="G2" s="17"/>
      <c r="H2" s="17"/>
      <c r="I2" s="17"/>
      <c r="J2" s="20"/>
      <c r="K2" s="43"/>
      <c r="L2" s="447" t="s">
        <v>331</v>
      </c>
      <c r="M2" s="448"/>
      <c r="N2" s="448"/>
      <c r="O2" s="448"/>
      <c r="P2" s="448"/>
      <c r="Q2" s="448"/>
      <c r="R2" s="448"/>
      <c r="S2" s="448"/>
      <c r="T2" s="448"/>
      <c r="U2" s="448"/>
      <c r="V2" s="448"/>
      <c r="W2" s="449"/>
      <c r="X2" s="43"/>
      <c r="Y2" s="458" t="s">
        <v>95</v>
      </c>
    </row>
    <row r="3" spans="2:25" ht="13.5" customHeight="1">
      <c r="B3" s="21"/>
      <c r="C3" s="22"/>
      <c r="D3" s="22"/>
      <c r="E3" s="22"/>
      <c r="F3" s="24"/>
      <c r="G3" s="22"/>
      <c r="H3" s="22"/>
      <c r="I3" s="22"/>
      <c r="J3" s="25"/>
      <c r="K3" s="43"/>
      <c r="L3" s="450" t="s">
        <v>173</v>
      </c>
      <c r="M3" s="451"/>
      <c r="N3" s="451"/>
      <c r="O3" s="451" t="s">
        <v>174</v>
      </c>
      <c r="P3" s="451"/>
      <c r="Q3" s="451"/>
      <c r="R3" s="451"/>
      <c r="S3" s="451"/>
      <c r="T3" s="451"/>
      <c r="U3" s="451" t="s">
        <v>30</v>
      </c>
      <c r="V3" s="451"/>
      <c r="W3" s="452"/>
      <c r="X3" s="43"/>
      <c r="Y3" s="458" t="s">
        <v>88</v>
      </c>
    </row>
    <row r="4" spans="2:41" s="119" customFormat="1" ht="18" customHeight="1">
      <c r="B4" s="116"/>
      <c r="C4" s="106" t="s">
        <v>315</v>
      </c>
      <c r="D4" s="117"/>
      <c r="E4" s="117"/>
      <c r="F4" s="108" t="str">
        <f>tabellen!B3</f>
        <v>2010/2011</v>
      </c>
      <c r="G4" s="107"/>
      <c r="H4" s="117"/>
      <c r="I4" s="117"/>
      <c r="J4" s="118"/>
      <c r="K4" s="434"/>
      <c r="L4" s="450" t="str">
        <f aca="true" t="shared" si="0" ref="L4:L49">+$F$28</f>
        <v>LB</v>
      </c>
      <c r="M4" s="451">
        <f>+$F$29+W4</f>
        <v>13</v>
      </c>
      <c r="N4" s="451"/>
      <c r="O4" s="451" t="str">
        <f aca="true" t="shared" si="1" ref="O4:O49">+$F$15</f>
        <v>LA</v>
      </c>
      <c r="P4" s="451">
        <f>+$F$16+W4</f>
        <v>16</v>
      </c>
      <c r="Q4" s="451"/>
      <c r="R4" s="453">
        <f aca="true" t="shared" si="2" ref="R4:R49">IF(W4+1&gt;$F$43,0,IF(M4&gt;$H$29,VLOOKUP($L4,salaristabellen,$H$29+1,FALSE),VLOOKUP($L4,salaristabellen,M4+1,FALSE))*12*(1+F$41))</f>
        <v>61528.8</v>
      </c>
      <c r="S4" s="453">
        <f aca="true" t="shared" si="3" ref="S4:S49">IF(W4+1&gt;$F$43,0,IF(P4&gt;$H$16,VLOOKUP($O4,salaristabellen,$H$16+1,FALSE),VLOOKUP($O4,salaristabellen,P4+1,FALSE))*12*(1+F$41))</f>
        <v>60896.4</v>
      </c>
      <c r="T4" s="451"/>
      <c r="U4" s="453">
        <f aca="true" t="shared" si="4" ref="U4:U49">+R4-S4</f>
        <v>632.4000000000015</v>
      </c>
      <c r="V4" s="451"/>
      <c r="W4" s="452">
        <v>0</v>
      </c>
      <c r="X4" s="434"/>
      <c r="Y4" s="458" t="s">
        <v>89</v>
      </c>
      <c r="AF4" s="120"/>
      <c r="AG4" s="120"/>
      <c r="AH4" s="120"/>
      <c r="AI4" s="120"/>
      <c r="AJ4" s="120"/>
      <c r="AK4" s="120"/>
      <c r="AL4" s="120"/>
      <c r="AM4" s="120"/>
      <c r="AN4" s="120"/>
      <c r="AO4" s="120"/>
    </row>
    <row r="5" spans="2:41" s="95" customFormat="1" ht="13.5" customHeight="1">
      <c r="B5" s="97"/>
      <c r="C5" s="98" t="s">
        <v>161</v>
      </c>
      <c r="D5" s="98"/>
      <c r="E5" s="98"/>
      <c r="F5" s="100"/>
      <c r="G5" s="98"/>
      <c r="H5" s="98"/>
      <c r="I5" s="98"/>
      <c r="J5" s="99"/>
      <c r="K5" s="435"/>
      <c r="L5" s="450" t="str">
        <f t="shared" si="0"/>
        <v>LB</v>
      </c>
      <c r="M5" s="451">
        <f aca="true" t="shared" si="5" ref="M5:M49">+$F$29+W5</f>
        <v>14</v>
      </c>
      <c r="N5" s="451"/>
      <c r="O5" s="451" t="str">
        <f t="shared" si="1"/>
        <v>LA</v>
      </c>
      <c r="P5" s="451">
        <f aca="true" t="shared" si="6" ref="P5:P49">+$F$16+W5</f>
        <v>17</v>
      </c>
      <c r="Q5" s="451"/>
      <c r="R5" s="453">
        <f t="shared" si="2"/>
        <v>63463.200000000004</v>
      </c>
      <c r="S5" s="453">
        <f t="shared" si="3"/>
        <v>60896.4</v>
      </c>
      <c r="T5" s="451"/>
      <c r="U5" s="453">
        <f t="shared" si="4"/>
        <v>2566.800000000003</v>
      </c>
      <c r="V5" s="451"/>
      <c r="W5" s="452">
        <v>1</v>
      </c>
      <c r="X5" s="435"/>
      <c r="Y5" s="458" t="s">
        <v>90</v>
      </c>
      <c r="AF5" s="96"/>
      <c r="AG5" s="96"/>
      <c r="AH5" s="96"/>
      <c r="AI5" s="96"/>
      <c r="AJ5" s="96"/>
      <c r="AK5" s="96"/>
      <c r="AL5" s="96"/>
      <c r="AM5" s="96"/>
      <c r="AN5" s="96"/>
      <c r="AO5" s="96"/>
    </row>
    <row r="6" spans="2:41" ht="13.5" customHeight="1">
      <c r="B6" s="21"/>
      <c r="C6" s="22"/>
      <c r="D6" s="38"/>
      <c r="E6" s="22"/>
      <c r="F6" s="24"/>
      <c r="G6" s="22"/>
      <c r="H6" s="22"/>
      <c r="I6" s="22"/>
      <c r="J6" s="25"/>
      <c r="K6" s="43"/>
      <c r="L6" s="450" t="str">
        <f t="shared" si="0"/>
        <v>LB</v>
      </c>
      <c r="M6" s="451">
        <f t="shared" si="5"/>
        <v>15</v>
      </c>
      <c r="N6" s="451"/>
      <c r="O6" s="451" t="str">
        <f t="shared" si="1"/>
        <v>LA</v>
      </c>
      <c r="P6" s="451">
        <f t="shared" si="6"/>
        <v>18</v>
      </c>
      <c r="Q6" s="451"/>
      <c r="R6" s="453">
        <f t="shared" si="2"/>
        <v>65472</v>
      </c>
      <c r="S6" s="453">
        <f t="shared" si="3"/>
        <v>60896.4</v>
      </c>
      <c r="T6" s="451"/>
      <c r="U6" s="453">
        <f t="shared" si="4"/>
        <v>4575.5999999999985</v>
      </c>
      <c r="V6" s="451"/>
      <c r="W6" s="452">
        <v>2</v>
      </c>
      <c r="X6" s="43"/>
      <c r="Y6" s="458" t="s">
        <v>91</v>
      </c>
      <c r="AF6" s="3"/>
      <c r="AG6" s="3"/>
      <c r="AH6" s="3"/>
      <c r="AI6" s="3"/>
      <c r="AJ6" s="3"/>
      <c r="AK6" s="3"/>
      <c r="AL6" s="3"/>
      <c r="AM6" s="3"/>
      <c r="AN6" s="3"/>
      <c r="AO6" s="3"/>
    </row>
    <row r="7" spans="2:41" ht="13.5" customHeight="1">
      <c r="B7" s="21"/>
      <c r="C7" s="22"/>
      <c r="D7" s="38"/>
      <c r="E7" s="22"/>
      <c r="F7" s="24"/>
      <c r="G7" s="22"/>
      <c r="H7" s="22"/>
      <c r="I7" s="22"/>
      <c r="J7" s="25"/>
      <c r="K7" s="43"/>
      <c r="L7" s="450" t="str">
        <f t="shared" si="0"/>
        <v>LB</v>
      </c>
      <c r="M7" s="451">
        <f t="shared" si="5"/>
        <v>16</v>
      </c>
      <c r="N7" s="451"/>
      <c r="O7" s="451" t="str">
        <f t="shared" si="1"/>
        <v>LA</v>
      </c>
      <c r="P7" s="451">
        <f t="shared" si="6"/>
        <v>19</v>
      </c>
      <c r="Q7" s="451"/>
      <c r="R7" s="453">
        <f t="shared" si="2"/>
        <v>66904.2</v>
      </c>
      <c r="S7" s="453">
        <f t="shared" si="3"/>
        <v>60896.4</v>
      </c>
      <c r="T7" s="451"/>
      <c r="U7" s="453">
        <f t="shared" si="4"/>
        <v>6007.799999999996</v>
      </c>
      <c r="V7" s="451"/>
      <c r="W7" s="452">
        <v>3</v>
      </c>
      <c r="X7" s="43"/>
      <c r="Y7" s="458" t="s">
        <v>92</v>
      </c>
      <c r="AF7" s="3"/>
      <c r="AG7" s="3"/>
      <c r="AH7" s="3"/>
      <c r="AI7" s="3"/>
      <c r="AJ7" s="3"/>
      <c r="AK7" s="3"/>
      <c r="AL7" s="3"/>
      <c r="AM7" s="3"/>
      <c r="AN7" s="3"/>
      <c r="AO7" s="3"/>
    </row>
    <row r="8" spans="2:41" ht="13.5" customHeight="1">
      <c r="B8" s="21"/>
      <c r="C8" s="28"/>
      <c r="D8" s="31"/>
      <c r="E8" s="28"/>
      <c r="F8" s="29"/>
      <c r="G8" s="28"/>
      <c r="H8" s="28"/>
      <c r="I8" s="28"/>
      <c r="J8" s="25"/>
      <c r="K8" s="43"/>
      <c r="L8" s="450" t="str">
        <f t="shared" si="0"/>
        <v>LB</v>
      </c>
      <c r="M8" s="451">
        <f t="shared" si="5"/>
        <v>17</v>
      </c>
      <c r="N8" s="451"/>
      <c r="O8" s="451" t="str">
        <f t="shared" si="1"/>
        <v>LA</v>
      </c>
      <c r="P8" s="451">
        <f t="shared" si="6"/>
        <v>20</v>
      </c>
      <c r="Q8" s="451"/>
      <c r="R8" s="453">
        <f t="shared" si="2"/>
        <v>66904.2</v>
      </c>
      <c r="S8" s="453">
        <f t="shared" si="3"/>
        <v>60896.4</v>
      </c>
      <c r="T8" s="451"/>
      <c r="U8" s="453">
        <f t="shared" si="4"/>
        <v>6007.799999999996</v>
      </c>
      <c r="V8" s="451"/>
      <c r="W8" s="452">
        <v>4</v>
      </c>
      <c r="X8" s="43"/>
      <c r="Y8" s="458" t="s">
        <v>93</v>
      </c>
      <c r="AF8" s="3"/>
      <c r="AG8" s="3"/>
      <c r="AH8" s="3"/>
      <c r="AI8" s="3"/>
      <c r="AJ8" s="3"/>
      <c r="AK8" s="3"/>
      <c r="AL8" s="3"/>
      <c r="AM8" s="3"/>
      <c r="AN8" s="3"/>
      <c r="AO8" s="3"/>
    </row>
    <row r="9" spans="2:41" ht="13.5" customHeight="1">
      <c r="B9" s="21"/>
      <c r="C9" s="28"/>
      <c r="D9" s="28" t="s">
        <v>132</v>
      </c>
      <c r="E9" s="28"/>
      <c r="F9" s="510" t="s">
        <v>32</v>
      </c>
      <c r="G9" s="510"/>
      <c r="H9" s="28"/>
      <c r="I9" s="28"/>
      <c r="J9" s="25"/>
      <c r="K9" s="43"/>
      <c r="L9" s="450" t="str">
        <f t="shared" si="0"/>
        <v>LB</v>
      </c>
      <c r="M9" s="451">
        <f t="shared" si="5"/>
        <v>18</v>
      </c>
      <c r="N9" s="451"/>
      <c r="O9" s="451" t="str">
        <f t="shared" si="1"/>
        <v>LA</v>
      </c>
      <c r="P9" s="451">
        <f t="shared" si="6"/>
        <v>21</v>
      </c>
      <c r="Q9" s="451"/>
      <c r="R9" s="453">
        <f t="shared" si="2"/>
        <v>66904.2</v>
      </c>
      <c r="S9" s="453">
        <f t="shared" si="3"/>
        <v>60896.4</v>
      </c>
      <c r="T9" s="451"/>
      <c r="U9" s="453">
        <f t="shared" si="4"/>
        <v>6007.799999999996</v>
      </c>
      <c r="V9" s="451"/>
      <c r="W9" s="452">
        <v>5</v>
      </c>
      <c r="X9" s="43"/>
      <c r="Y9" s="458" t="s">
        <v>94</v>
      </c>
      <c r="AF9" s="3"/>
      <c r="AG9" s="3"/>
      <c r="AH9" s="3"/>
      <c r="AI9" s="3"/>
      <c r="AJ9" s="3"/>
      <c r="AK9" s="3"/>
      <c r="AL9" s="3"/>
      <c r="AM9" s="3"/>
      <c r="AN9" s="3"/>
      <c r="AO9" s="3"/>
    </row>
    <row r="10" spans="2:41" ht="13.5" customHeight="1">
      <c r="B10" s="21"/>
      <c r="C10" s="28"/>
      <c r="D10" s="31"/>
      <c r="E10" s="28"/>
      <c r="F10" s="33"/>
      <c r="G10" s="87"/>
      <c r="H10" s="28"/>
      <c r="I10" s="28"/>
      <c r="J10" s="25"/>
      <c r="K10" s="43"/>
      <c r="L10" s="450" t="str">
        <f t="shared" si="0"/>
        <v>LB</v>
      </c>
      <c r="M10" s="451">
        <f t="shared" si="5"/>
        <v>19</v>
      </c>
      <c r="N10" s="451"/>
      <c r="O10" s="451" t="str">
        <f t="shared" si="1"/>
        <v>LA</v>
      </c>
      <c r="P10" s="451">
        <f t="shared" si="6"/>
        <v>22</v>
      </c>
      <c r="Q10" s="451"/>
      <c r="R10" s="453">
        <f t="shared" si="2"/>
        <v>66904.2</v>
      </c>
      <c r="S10" s="453">
        <f t="shared" si="3"/>
        <v>60896.4</v>
      </c>
      <c r="T10" s="451"/>
      <c r="U10" s="453">
        <f t="shared" si="4"/>
        <v>6007.799999999996</v>
      </c>
      <c r="V10" s="451"/>
      <c r="W10" s="452">
        <v>6</v>
      </c>
      <c r="X10" s="43"/>
      <c r="Y10" s="458" t="s">
        <v>3</v>
      </c>
      <c r="AF10" s="3"/>
      <c r="AG10" s="3"/>
      <c r="AH10" s="3"/>
      <c r="AI10" s="3"/>
      <c r="AJ10" s="3"/>
      <c r="AK10" s="3"/>
      <c r="AL10" s="3"/>
      <c r="AM10" s="3"/>
      <c r="AN10" s="3"/>
      <c r="AO10" s="3"/>
    </row>
    <row r="11" spans="2:41" ht="13.5" customHeight="1">
      <c r="B11" s="21"/>
      <c r="C11" s="22"/>
      <c r="D11" s="38"/>
      <c r="E11" s="22"/>
      <c r="F11" s="32"/>
      <c r="G11" s="102"/>
      <c r="H11" s="22"/>
      <c r="I11" s="22"/>
      <c r="J11" s="25"/>
      <c r="K11" s="43"/>
      <c r="L11" s="450" t="str">
        <f t="shared" si="0"/>
        <v>LB</v>
      </c>
      <c r="M11" s="451">
        <f t="shared" si="5"/>
        <v>20</v>
      </c>
      <c r="N11" s="451"/>
      <c r="O11" s="451" t="str">
        <f t="shared" si="1"/>
        <v>LA</v>
      </c>
      <c r="P11" s="451">
        <f t="shared" si="6"/>
        <v>23</v>
      </c>
      <c r="Q11" s="451"/>
      <c r="R11" s="453">
        <f t="shared" si="2"/>
        <v>66904.2</v>
      </c>
      <c r="S11" s="453">
        <f t="shared" si="3"/>
        <v>60896.4</v>
      </c>
      <c r="T11" s="451"/>
      <c r="U11" s="453">
        <f t="shared" si="4"/>
        <v>6007.799999999996</v>
      </c>
      <c r="V11" s="451"/>
      <c r="W11" s="452">
        <v>7</v>
      </c>
      <c r="X11" s="43"/>
      <c r="Y11" s="458" t="s">
        <v>4</v>
      </c>
      <c r="AF11" s="3"/>
      <c r="AG11" s="3"/>
      <c r="AH11" s="3"/>
      <c r="AI11" s="3"/>
      <c r="AJ11" s="3"/>
      <c r="AK11" s="3"/>
      <c r="AL11" s="3"/>
      <c r="AM11" s="3"/>
      <c r="AN11" s="3"/>
      <c r="AO11" s="3"/>
    </row>
    <row r="12" spans="2:41" ht="13.5" customHeight="1">
      <c r="B12" s="21"/>
      <c r="C12" s="180"/>
      <c r="D12" s="274"/>
      <c r="E12" s="181"/>
      <c r="F12" s="412"/>
      <c r="G12" s="413"/>
      <c r="H12" s="181"/>
      <c r="I12" s="186"/>
      <c r="J12" s="25"/>
      <c r="K12" s="43"/>
      <c r="L12" s="450" t="str">
        <f t="shared" si="0"/>
        <v>LB</v>
      </c>
      <c r="M12" s="451">
        <f t="shared" si="5"/>
        <v>21</v>
      </c>
      <c r="N12" s="451"/>
      <c r="O12" s="451" t="str">
        <f t="shared" si="1"/>
        <v>LA</v>
      </c>
      <c r="P12" s="451">
        <f t="shared" si="6"/>
        <v>24</v>
      </c>
      <c r="Q12" s="451"/>
      <c r="R12" s="453">
        <f t="shared" si="2"/>
        <v>66904.2</v>
      </c>
      <c r="S12" s="453">
        <f t="shared" si="3"/>
        <v>60896.4</v>
      </c>
      <c r="T12" s="451"/>
      <c r="U12" s="453">
        <f t="shared" si="4"/>
        <v>6007.799999999996</v>
      </c>
      <c r="V12" s="451"/>
      <c r="W12" s="452">
        <v>8</v>
      </c>
      <c r="X12" s="43"/>
      <c r="Y12" s="458" t="s">
        <v>5</v>
      </c>
      <c r="AF12" s="3"/>
      <c r="AG12" s="3"/>
      <c r="AH12" s="3"/>
      <c r="AI12" s="3"/>
      <c r="AJ12" s="3"/>
      <c r="AK12" s="3"/>
      <c r="AL12" s="3"/>
      <c r="AM12" s="3"/>
      <c r="AN12" s="3"/>
      <c r="AO12" s="3"/>
    </row>
    <row r="13" spans="2:41" ht="13.5" customHeight="1">
      <c r="B13" s="21"/>
      <c r="C13" s="187"/>
      <c r="D13" s="188" t="s">
        <v>162</v>
      </c>
      <c r="E13" s="192"/>
      <c r="F13" s="227"/>
      <c r="G13" s="193"/>
      <c r="H13" s="192"/>
      <c r="I13" s="194"/>
      <c r="J13" s="25"/>
      <c r="K13" s="43"/>
      <c r="L13" s="450" t="str">
        <f t="shared" si="0"/>
        <v>LB</v>
      </c>
      <c r="M13" s="451">
        <f t="shared" si="5"/>
        <v>22</v>
      </c>
      <c r="N13" s="451"/>
      <c r="O13" s="451" t="str">
        <f t="shared" si="1"/>
        <v>LA</v>
      </c>
      <c r="P13" s="451">
        <f t="shared" si="6"/>
        <v>25</v>
      </c>
      <c r="Q13" s="451"/>
      <c r="R13" s="453">
        <f t="shared" si="2"/>
        <v>66904.2</v>
      </c>
      <c r="S13" s="453">
        <f t="shared" si="3"/>
        <v>60896.4</v>
      </c>
      <c r="T13" s="451"/>
      <c r="U13" s="453">
        <f t="shared" si="4"/>
        <v>6007.799999999996</v>
      </c>
      <c r="V13" s="451"/>
      <c r="W13" s="452">
        <v>9</v>
      </c>
      <c r="X13" s="43"/>
      <c r="Y13" s="458" t="s">
        <v>6</v>
      </c>
      <c r="AF13" s="3"/>
      <c r="AG13" s="3"/>
      <c r="AH13" s="3"/>
      <c r="AI13" s="3"/>
      <c r="AJ13" s="3"/>
      <c r="AK13" s="3"/>
      <c r="AL13" s="3"/>
      <c r="AM13" s="3"/>
      <c r="AN13" s="3"/>
      <c r="AO13" s="3"/>
    </row>
    <row r="14" spans="2:41" ht="13.5" customHeight="1">
      <c r="B14" s="21"/>
      <c r="C14" s="187"/>
      <c r="D14" s="188"/>
      <c r="E14" s="192"/>
      <c r="F14" s="227"/>
      <c r="G14" s="193"/>
      <c r="H14" s="192"/>
      <c r="I14" s="194"/>
      <c r="J14" s="25"/>
      <c r="K14" s="43"/>
      <c r="L14" s="450" t="str">
        <f t="shared" si="0"/>
        <v>LB</v>
      </c>
      <c r="M14" s="451">
        <f t="shared" si="5"/>
        <v>23</v>
      </c>
      <c r="N14" s="451"/>
      <c r="O14" s="451" t="str">
        <f t="shared" si="1"/>
        <v>LA</v>
      </c>
      <c r="P14" s="451">
        <f t="shared" si="6"/>
        <v>26</v>
      </c>
      <c r="Q14" s="451"/>
      <c r="R14" s="453">
        <f t="shared" si="2"/>
        <v>66904.2</v>
      </c>
      <c r="S14" s="453">
        <f t="shared" si="3"/>
        <v>60896.4</v>
      </c>
      <c r="T14" s="451"/>
      <c r="U14" s="453">
        <f t="shared" si="4"/>
        <v>6007.799999999996</v>
      </c>
      <c r="V14" s="451"/>
      <c r="W14" s="452">
        <v>10</v>
      </c>
      <c r="X14" s="43"/>
      <c r="Y14" s="458" t="s">
        <v>7</v>
      </c>
      <c r="AF14" s="3"/>
      <c r="AG14" s="3"/>
      <c r="AH14" s="3"/>
      <c r="AI14" s="3"/>
      <c r="AJ14" s="3"/>
      <c r="AK14" s="3"/>
      <c r="AL14" s="3"/>
      <c r="AM14" s="3"/>
      <c r="AN14" s="3"/>
      <c r="AO14" s="3"/>
    </row>
    <row r="15" spans="2:41" ht="13.5" customHeight="1">
      <c r="B15" s="21"/>
      <c r="C15" s="187"/>
      <c r="D15" s="192" t="s">
        <v>21</v>
      </c>
      <c r="E15" s="192"/>
      <c r="F15" s="414" t="s">
        <v>0</v>
      </c>
      <c r="G15" s="192"/>
      <c r="H15" s="192"/>
      <c r="I15" s="194"/>
      <c r="J15" s="25"/>
      <c r="K15" s="43"/>
      <c r="L15" s="450" t="str">
        <f t="shared" si="0"/>
        <v>LB</v>
      </c>
      <c r="M15" s="451">
        <f t="shared" si="5"/>
        <v>24</v>
      </c>
      <c r="N15" s="451"/>
      <c r="O15" s="451" t="str">
        <f t="shared" si="1"/>
        <v>LA</v>
      </c>
      <c r="P15" s="451">
        <f t="shared" si="6"/>
        <v>27</v>
      </c>
      <c r="Q15" s="451"/>
      <c r="R15" s="453">
        <f t="shared" si="2"/>
        <v>66904.2</v>
      </c>
      <c r="S15" s="453">
        <f t="shared" si="3"/>
        <v>60896.4</v>
      </c>
      <c r="T15" s="451"/>
      <c r="U15" s="453">
        <f t="shared" si="4"/>
        <v>6007.799999999996</v>
      </c>
      <c r="V15" s="451"/>
      <c r="W15" s="452">
        <v>11</v>
      </c>
      <c r="X15" s="43"/>
      <c r="Y15" s="458" t="s">
        <v>8</v>
      </c>
      <c r="AF15" s="3"/>
      <c r="AG15" s="3"/>
      <c r="AH15" s="3"/>
      <c r="AI15" s="3"/>
      <c r="AJ15" s="3"/>
      <c r="AK15" s="3"/>
      <c r="AL15" s="3"/>
      <c r="AM15" s="3"/>
      <c r="AN15" s="3"/>
      <c r="AO15" s="3"/>
    </row>
    <row r="16" spans="2:41" ht="13.5" customHeight="1">
      <c r="B16" s="21"/>
      <c r="C16" s="187"/>
      <c r="D16" s="192" t="s">
        <v>22</v>
      </c>
      <c r="E16" s="192"/>
      <c r="F16" s="199">
        <v>16</v>
      </c>
      <c r="G16" s="393" t="s">
        <v>163</v>
      </c>
      <c r="H16" s="394">
        <f>VLOOKUP(F$15,salaristabellen,22,FALSE)</f>
        <v>16</v>
      </c>
      <c r="I16" s="194"/>
      <c r="J16" s="25"/>
      <c r="K16" s="43"/>
      <c r="L16" s="450" t="str">
        <f t="shared" si="0"/>
        <v>LB</v>
      </c>
      <c r="M16" s="451">
        <f t="shared" si="5"/>
        <v>25</v>
      </c>
      <c r="N16" s="451"/>
      <c r="O16" s="451" t="str">
        <f t="shared" si="1"/>
        <v>LA</v>
      </c>
      <c r="P16" s="451">
        <f t="shared" si="6"/>
        <v>28</v>
      </c>
      <c r="Q16" s="451"/>
      <c r="R16" s="453">
        <f t="shared" si="2"/>
        <v>66904.2</v>
      </c>
      <c r="S16" s="453">
        <f t="shared" si="3"/>
        <v>60896.4</v>
      </c>
      <c r="T16" s="451"/>
      <c r="U16" s="453">
        <f t="shared" si="4"/>
        <v>6007.799999999996</v>
      </c>
      <c r="V16" s="451"/>
      <c r="W16" s="452">
        <v>12</v>
      </c>
      <c r="X16" s="43"/>
      <c r="Y16" s="458" t="s">
        <v>9</v>
      </c>
      <c r="AF16" s="3"/>
      <c r="AG16" s="3"/>
      <c r="AH16" s="3"/>
      <c r="AI16" s="3"/>
      <c r="AJ16" s="3"/>
      <c r="AK16" s="3"/>
      <c r="AL16" s="3"/>
      <c r="AM16" s="3"/>
      <c r="AN16" s="3"/>
      <c r="AO16" s="3"/>
    </row>
    <row r="17" spans="2:41" ht="13.5" customHeight="1">
      <c r="B17" s="21"/>
      <c r="C17" s="187"/>
      <c r="D17" s="192" t="s">
        <v>24</v>
      </c>
      <c r="E17" s="192"/>
      <c r="F17" s="415">
        <f>VLOOKUP(F15,salaristabellen,F16+1,FALSE)</f>
        <v>3274</v>
      </c>
      <c r="G17" s="416"/>
      <c r="H17" s="417"/>
      <c r="I17" s="194"/>
      <c r="J17" s="25"/>
      <c r="K17" s="43"/>
      <c r="L17" s="450" t="str">
        <f t="shared" si="0"/>
        <v>LB</v>
      </c>
      <c r="M17" s="451">
        <f t="shared" si="5"/>
        <v>26</v>
      </c>
      <c r="N17" s="451"/>
      <c r="O17" s="451" t="str">
        <f t="shared" si="1"/>
        <v>LA</v>
      </c>
      <c r="P17" s="451">
        <f t="shared" si="6"/>
        <v>29</v>
      </c>
      <c r="Q17" s="451"/>
      <c r="R17" s="453">
        <f t="shared" si="2"/>
        <v>66904.2</v>
      </c>
      <c r="S17" s="453">
        <f t="shared" si="3"/>
        <v>60896.4</v>
      </c>
      <c r="T17" s="451"/>
      <c r="U17" s="453">
        <f t="shared" si="4"/>
        <v>6007.799999999996</v>
      </c>
      <c r="V17" s="451"/>
      <c r="W17" s="452">
        <v>13</v>
      </c>
      <c r="X17" s="43"/>
      <c r="Y17" s="458" t="s">
        <v>10</v>
      </c>
      <c r="AF17" s="3"/>
      <c r="AG17" s="3"/>
      <c r="AH17" s="3"/>
      <c r="AI17" s="3"/>
      <c r="AJ17" s="3"/>
      <c r="AK17" s="3"/>
      <c r="AL17" s="3"/>
      <c r="AM17" s="3"/>
      <c r="AN17" s="3"/>
      <c r="AO17" s="3"/>
    </row>
    <row r="18" spans="2:41" ht="13.5" customHeight="1">
      <c r="B18" s="21"/>
      <c r="C18" s="187"/>
      <c r="D18" s="203" t="s">
        <v>25</v>
      </c>
      <c r="E18" s="192"/>
      <c r="F18" s="395">
        <v>1</v>
      </c>
      <c r="G18" s="393"/>
      <c r="H18" s="394"/>
      <c r="I18" s="194"/>
      <c r="J18" s="25"/>
      <c r="K18" s="43"/>
      <c r="L18" s="450" t="str">
        <f t="shared" si="0"/>
        <v>LB</v>
      </c>
      <c r="M18" s="451">
        <f t="shared" si="5"/>
        <v>27</v>
      </c>
      <c r="N18" s="451"/>
      <c r="O18" s="451" t="str">
        <f t="shared" si="1"/>
        <v>LA</v>
      </c>
      <c r="P18" s="451">
        <f t="shared" si="6"/>
        <v>30</v>
      </c>
      <c r="Q18" s="451"/>
      <c r="R18" s="453">
        <f t="shared" si="2"/>
        <v>66904.2</v>
      </c>
      <c r="S18" s="453">
        <f t="shared" si="3"/>
        <v>60896.4</v>
      </c>
      <c r="T18" s="451"/>
      <c r="U18" s="453">
        <f t="shared" si="4"/>
        <v>6007.799999999996</v>
      </c>
      <c r="V18" s="451"/>
      <c r="W18" s="452">
        <v>14</v>
      </c>
      <c r="X18" s="43"/>
      <c r="Y18" s="458" t="s">
        <v>11</v>
      </c>
      <c r="AF18" s="3"/>
      <c r="AG18" s="3"/>
      <c r="AH18" s="3"/>
      <c r="AI18" s="3"/>
      <c r="AJ18" s="3"/>
      <c r="AK18" s="3"/>
      <c r="AL18" s="3"/>
      <c r="AM18" s="3"/>
      <c r="AN18" s="3"/>
      <c r="AO18" s="3"/>
    </row>
    <row r="19" spans="2:41" ht="13.5" customHeight="1">
      <c r="B19" s="21"/>
      <c r="C19" s="187"/>
      <c r="D19" s="192" t="s">
        <v>26</v>
      </c>
      <c r="E19" s="192"/>
      <c r="F19" s="344">
        <f>ROUND(+F17*F18,2)</f>
        <v>3274</v>
      </c>
      <c r="G19" s="393"/>
      <c r="H19" s="394"/>
      <c r="I19" s="194"/>
      <c r="J19" s="25"/>
      <c r="K19" s="43"/>
      <c r="L19" s="450" t="str">
        <f t="shared" si="0"/>
        <v>LB</v>
      </c>
      <c r="M19" s="451">
        <f t="shared" si="5"/>
        <v>28</v>
      </c>
      <c r="N19" s="451"/>
      <c r="O19" s="451" t="str">
        <f t="shared" si="1"/>
        <v>LA</v>
      </c>
      <c r="P19" s="451">
        <f t="shared" si="6"/>
        <v>31</v>
      </c>
      <c r="Q19" s="451"/>
      <c r="R19" s="453">
        <f t="shared" si="2"/>
        <v>66904.2</v>
      </c>
      <c r="S19" s="453">
        <f t="shared" si="3"/>
        <v>60896.4</v>
      </c>
      <c r="T19" s="451"/>
      <c r="U19" s="453">
        <f t="shared" si="4"/>
        <v>6007.799999999996</v>
      </c>
      <c r="V19" s="451"/>
      <c r="W19" s="452">
        <v>15</v>
      </c>
      <c r="X19" s="43"/>
      <c r="Y19" s="458" t="s">
        <v>12</v>
      </c>
      <c r="AF19" s="3"/>
      <c r="AG19" s="3"/>
      <c r="AH19" s="3"/>
      <c r="AI19" s="3"/>
      <c r="AJ19" s="3"/>
      <c r="AK19" s="3"/>
      <c r="AL19" s="3"/>
      <c r="AM19" s="3"/>
      <c r="AN19" s="3"/>
      <c r="AO19" s="3"/>
    </row>
    <row r="20" spans="2:41" ht="13.5" customHeight="1">
      <c r="B20" s="21"/>
      <c r="C20" s="187"/>
      <c r="D20" s="192"/>
      <c r="E20" s="192"/>
      <c r="F20" s="342"/>
      <c r="G20" s="393"/>
      <c r="H20" s="394"/>
      <c r="I20" s="194"/>
      <c r="J20" s="25"/>
      <c r="K20" s="43"/>
      <c r="L20" s="450" t="str">
        <f t="shared" si="0"/>
        <v>LB</v>
      </c>
      <c r="M20" s="451">
        <f t="shared" si="5"/>
        <v>29</v>
      </c>
      <c r="N20" s="451"/>
      <c r="O20" s="451" t="str">
        <f t="shared" si="1"/>
        <v>LA</v>
      </c>
      <c r="P20" s="451">
        <f t="shared" si="6"/>
        <v>32</v>
      </c>
      <c r="Q20" s="451"/>
      <c r="R20" s="453">
        <f t="shared" si="2"/>
        <v>66904.2</v>
      </c>
      <c r="S20" s="453">
        <f t="shared" si="3"/>
        <v>60896.4</v>
      </c>
      <c r="T20" s="451"/>
      <c r="U20" s="453">
        <f t="shared" si="4"/>
        <v>6007.799999999996</v>
      </c>
      <c r="V20" s="451"/>
      <c r="W20" s="452">
        <v>16</v>
      </c>
      <c r="X20" s="43"/>
      <c r="Y20" s="458" t="s">
        <v>13</v>
      </c>
      <c r="AF20" s="3"/>
      <c r="AG20" s="3"/>
      <c r="AH20" s="3"/>
      <c r="AI20" s="3"/>
      <c r="AJ20" s="3"/>
      <c r="AK20" s="3"/>
      <c r="AL20" s="3"/>
      <c r="AM20" s="3"/>
      <c r="AN20" s="3"/>
      <c r="AO20" s="3"/>
    </row>
    <row r="21" spans="2:41" ht="13.5" customHeight="1">
      <c r="B21" s="21"/>
      <c r="C21" s="187"/>
      <c r="D21" s="203" t="s">
        <v>164</v>
      </c>
      <c r="E21" s="192"/>
      <c r="F21" s="199">
        <v>45</v>
      </c>
      <c r="G21" s="393"/>
      <c r="H21" s="394"/>
      <c r="I21" s="194"/>
      <c r="J21" s="25"/>
      <c r="K21" s="43"/>
      <c r="L21" s="450" t="str">
        <f t="shared" si="0"/>
        <v>LB</v>
      </c>
      <c r="M21" s="451">
        <f t="shared" si="5"/>
        <v>30</v>
      </c>
      <c r="N21" s="451"/>
      <c r="O21" s="451" t="str">
        <f t="shared" si="1"/>
        <v>LA</v>
      </c>
      <c r="P21" s="451">
        <f t="shared" si="6"/>
        <v>33</v>
      </c>
      <c r="Q21" s="451"/>
      <c r="R21" s="453">
        <f t="shared" si="2"/>
        <v>66904.2</v>
      </c>
      <c r="S21" s="453">
        <f t="shared" si="3"/>
        <v>60896.4</v>
      </c>
      <c r="T21" s="451"/>
      <c r="U21" s="453">
        <f t="shared" si="4"/>
        <v>6007.799999999996</v>
      </c>
      <c r="V21" s="451"/>
      <c r="W21" s="452">
        <v>17</v>
      </c>
      <c r="X21" s="43"/>
      <c r="Y21" s="458" t="s">
        <v>14</v>
      </c>
      <c r="AF21" s="3"/>
      <c r="AG21" s="3"/>
      <c r="AH21" s="3"/>
      <c r="AI21" s="3"/>
      <c r="AJ21" s="3"/>
      <c r="AK21" s="3"/>
      <c r="AL21" s="3"/>
      <c r="AM21" s="3"/>
      <c r="AN21" s="3"/>
      <c r="AO21" s="3"/>
    </row>
    <row r="22" spans="2:41" ht="13.5" customHeight="1">
      <c r="B22" s="21"/>
      <c r="C22" s="187"/>
      <c r="D22" s="192" t="s">
        <v>165</v>
      </c>
      <c r="E22" s="192"/>
      <c r="F22" s="199">
        <v>65</v>
      </c>
      <c r="G22" s="393"/>
      <c r="H22" s="394"/>
      <c r="I22" s="194"/>
      <c r="J22" s="25"/>
      <c r="K22" s="43"/>
      <c r="L22" s="450" t="str">
        <f t="shared" si="0"/>
        <v>LB</v>
      </c>
      <c r="M22" s="451">
        <f t="shared" si="5"/>
        <v>31</v>
      </c>
      <c r="N22" s="451"/>
      <c r="O22" s="451" t="str">
        <f t="shared" si="1"/>
        <v>LA</v>
      </c>
      <c r="P22" s="451">
        <f t="shared" si="6"/>
        <v>34</v>
      </c>
      <c r="Q22" s="451"/>
      <c r="R22" s="453">
        <f t="shared" si="2"/>
        <v>66904.2</v>
      </c>
      <c r="S22" s="453">
        <f t="shared" si="3"/>
        <v>60896.4</v>
      </c>
      <c r="T22" s="451"/>
      <c r="U22" s="453">
        <f t="shared" si="4"/>
        <v>6007.799999999996</v>
      </c>
      <c r="V22" s="451"/>
      <c r="W22" s="452">
        <v>18</v>
      </c>
      <c r="X22" s="43"/>
      <c r="Y22" s="458" t="s">
        <v>0</v>
      </c>
      <c r="AF22" s="3"/>
      <c r="AG22" s="3"/>
      <c r="AH22" s="3"/>
      <c r="AI22" s="3"/>
      <c r="AJ22" s="3"/>
      <c r="AK22" s="3"/>
      <c r="AL22" s="3"/>
      <c r="AM22" s="3"/>
      <c r="AN22" s="3"/>
      <c r="AO22" s="3"/>
    </row>
    <row r="23" spans="2:41" ht="13.5" customHeight="1">
      <c r="B23" s="21"/>
      <c r="C23" s="239"/>
      <c r="D23" s="240"/>
      <c r="E23" s="240"/>
      <c r="F23" s="418"/>
      <c r="G23" s="419"/>
      <c r="H23" s="420"/>
      <c r="I23" s="273"/>
      <c r="J23" s="25"/>
      <c r="K23" s="43"/>
      <c r="L23" s="450" t="str">
        <f t="shared" si="0"/>
        <v>LB</v>
      </c>
      <c r="M23" s="451">
        <f t="shared" si="5"/>
        <v>32</v>
      </c>
      <c r="N23" s="451"/>
      <c r="O23" s="451" t="str">
        <f t="shared" si="1"/>
        <v>LA</v>
      </c>
      <c r="P23" s="451">
        <f t="shared" si="6"/>
        <v>35</v>
      </c>
      <c r="Q23" s="451"/>
      <c r="R23" s="453">
        <f t="shared" si="2"/>
        <v>66904.2</v>
      </c>
      <c r="S23" s="453">
        <f t="shared" si="3"/>
        <v>60896.4</v>
      </c>
      <c r="T23" s="451"/>
      <c r="U23" s="453">
        <f t="shared" si="4"/>
        <v>6007.799999999996</v>
      </c>
      <c r="V23" s="451"/>
      <c r="W23" s="452">
        <v>19</v>
      </c>
      <c r="X23" s="43"/>
      <c r="Y23" s="458" t="s">
        <v>15</v>
      </c>
      <c r="AF23" s="3"/>
      <c r="AG23" s="3"/>
      <c r="AH23" s="3"/>
      <c r="AI23" s="3"/>
      <c r="AJ23" s="3"/>
      <c r="AK23" s="3"/>
      <c r="AL23" s="3"/>
      <c r="AM23" s="3"/>
      <c r="AN23" s="3"/>
      <c r="AO23" s="3"/>
    </row>
    <row r="24" spans="2:41" ht="13.5" customHeight="1">
      <c r="B24" s="21"/>
      <c r="C24" s="22"/>
      <c r="D24" s="22"/>
      <c r="E24" s="22"/>
      <c r="F24" s="32"/>
      <c r="G24" s="179"/>
      <c r="H24" s="178"/>
      <c r="I24" s="22"/>
      <c r="J24" s="25"/>
      <c r="K24" s="43"/>
      <c r="L24" s="450" t="str">
        <f t="shared" si="0"/>
        <v>LB</v>
      </c>
      <c r="M24" s="451">
        <f t="shared" si="5"/>
        <v>33</v>
      </c>
      <c r="N24" s="451"/>
      <c r="O24" s="451" t="str">
        <f t="shared" si="1"/>
        <v>LA</v>
      </c>
      <c r="P24" s="451">
        <f t="shared" si="6"/>
        <v>36</v>
      </c>
      <c r="Q24" s="451"/>
      <c r="R24" s="453">
        <f t="shared" si="2"/>
        <v>0</v>
      </c>
      <c r="S24" s="453">
        <f t="shared" si="3"/>
        <v>0</v>
      </c>
      <c r="T24" s="451"/>
      <c r="U24" s="453">
        <f t="shared" si="4"/>
        <v>0</v>
      </c>
      <c r="V24" s="451"/>
      <c r="W24" s="452">
        <v>20</v>
      </c>
      <c r="X24" s="43"/>
      <c r="Y24" s="458" t="s">
        <v>16</v>
      </c>
      <c r="AF24" s="3"/>
      <c r="AG24" s="3"/>
      <c r="AH24" s="3"/>
      <c r="AI24" s="3"/>
      <c r="AJ24" s="3"/>
      <c r="AK24" s="3"/>
      <c r="AL24" s="3"/>
      <c r="AM24" s="3"/>
      <c r="AN24" s="3"/>
      <c r="AO24" s="3"/>
    </row>
    <row r="25" spans="2:41" ht="13.5" customHeight="1">
      <c r="B25" s="21"/>
      <c r="C25" s="180"/>
      <c r="D25" s="181"/>
      <c r="E25" s="181"/>
      <c r="F25" s="412"/>
      <c r="G25" s="421"/>
      <c r="H25" s="422"/>
      <c r="I25" s="186"/>
      <c r="J25" s="25"/>
      <c r="K25" s="43"/>
      <c r="L25" s="450" t="str">
        <f t="shared" si="0"/>
        <v>LB</v>
      </c>
      <c r="M25" s="451">
        <f t="shared" si="5"/>
        <v>34</v>
      </c>
      <c r="N25" s="451"/>
      <c r="O25" s="451" t="str">
        <f t="shared" si="1"/>
        <v>LA</v>
      </c>
      <c r="P25" s="451">
        <f t="shared" si="6"/>
        <v>37</v>
      </c>
      <c r="Q25" s="451"/>
      <c r="R25" s="453">
        <f t="shared" si="2"/>
        <v>0</v>
      </c>
      <c r="S25" s="453">
        <f t="shared" si="3"/>
        <v>0</v>
      </c>
      <c r="T25" s="451"/>
      <c r="U25" s="453">
        <f t="shared" si="4"/>
        <v>0</v>
      </c>
      <c r="V25" s="451"/>
      <c r="W25" s="452">
        <v>21</v>
      </c>
      <c r="X25" s="43"/>
      <c r="Y25" s="458" t="s">
        <v>17</v>
      </c>
      <c r="AF25" s="3"/>
      <c r="AG25" s="3"/>
      <c r="AH25" s="3"/>
      <c r="AI25" s="3"/>
      <c r="AJ25" s="3"/>
      <c r="AK25" s="3"/>
      <c r="AL25" s="3"/>
      <c r="AM25" s="3"/>
      <c r="AN25" s="3"/>
      <c r="AO25" s="3"/>
    </row>
    <row r="26" spans="2:41" ht="13.5" customHeight="1">
      <c r="B26" s="21"/>
      <c r="C26" s="187"/>
      <c r="D26" s="188" t="s">
        <v>166</v>
      </c>
      <c r="E26" s="192"/>
      <c r="F26" s="191"/>
      <c r="G26" s="393"/>
      <c r="H26" s="394"/>
      <c r="I26" s="194"/>
      <c r="J26" s="25"/>
      <c r="K26" s="43"/>
      <c r="L26" s="450" t="str">
        <f t="shared" si="0"/>
        <v>LB</v>
      </c>
      <c r="M26" s="451">
        <f t="shared" si="5"/>
        <v>35</v>
      </c>
      <c r="N26" s="451"/>
      <c r="O26" s="451" t="str">
        <f t="shared" si="1"/>
        <v>LA</v>
      </c>
      <c r="P26" s="451">
        <f t="shared" si="6"/>
        <v>38</v>
      </c>
      <c r="Q26" s="451"/>
      <c r="R26" s="453">
        <f t="shared" si="2"/>
        <v>0</v>
      </c>
      <c r="S26" s="453">
        <f t="shared" si="3"/>
        <v>0</v>
      </c>
      <c r="T26" s="451"/>
      <c r="U26" s="453">
        <f t="shared" si="4"/>
        <v>0</v>
      </c>
      <c r="V26" s="451"/>
      <c r="W26" s="452">
        <v>22</v>
      </c>
      <c r="X26" s="43"/>
      <c r="Y26" s="458" t="s">
        <v>18</v>
      </c>
      <c r="AF26" s="3"/>
      <c r="AG26" s="3"/>
      <c r="AH26" s="3"/>
      <c r="AI26" s="3"/>
      <c r="AJ26" s="3"/>
      <c r="AK26" s="3"/>
      <c r="AL26" s="3"/>
      <c r="AM26" s="3"/>
      <c r="AN26" s="3"/>
      <c r="AO26" s="3"/>
    </row>
    <row r="27" spans="2:41" ht="13.5" customHeight="1">
      <c r="B27" s="21"/>
      <c r="C27" s="187"/>
      <c r="D27" s="203"/>
      <c r="E27" s="192"/>
      <c r="F27" s="191"/>
      <c r="G27" s="393"/>
      <c r="H27" s="394"/>
      <c r="I27" s="194"/>
      <c r="J27" s="25"/>
      <c r="K27" s="43"/>
      <c r="L27" s="450" t="str">
        <f t="shared" si="0"/>
        <v>LB</v>
      </c>
      <c r="M27" s="451">
        <f t="shared" si="5"/>
        <v>36</v>
      </c>
      <c r="N27" s="451"/>
      <c r="O27" s="451" t="str">
        <f t="shared" si="1"/>
        <v>LA</v>
      </c>
      <c r="P27" s="451">
        <f t="shared" si="6"/>
        <v>39</v>
      </c>
      <c r="Q27" s="451"/>
      <c r="R27" s="453">
        <f t="shared" si="2"/>
        <v>0</v>
      </c>
      <c r="S27" s="453">
        <f t="shared" si="3"/>
        <v>0</v>
      </c>
      <c r="T27" s="451"/>
      <c r="U27" s="453">
        <f t="shared" si="4"/>
        <v>0</v>
      </c>
      <c r="V27" s="451"/>
      <c r="W27" s="452">
        <v>23</v>
      </c>
      <c r="X27" s="43"/>
      <c r="Y27" s="458" t="s">
        <v>19</v>
      </c>
      <c r="AF27" s="3"/>
      <c r="AG27" s="3"/>
      <c r="AH27" s="3"/>
      <c r="AI27" s="3"/>
      <c r="AJ27" s="3"/>
      <c r="AK27" s="3"/>
      <c r="AL27" s="3"/>
      <c r="AM27" s="3"/>
      <c r="AN27" s="3"/>
      <c r="AO27" s="3"/>
    </row>
    <row r="28" spans="2:41" ht="13.5" customHeight="1">
      <c r="B28" s="21"/>
      <c r="C28" s="187"/>
      <c r="D28" s="192" t="s">
        <v>21</v>
      </c>
      <c r="E28" s="192"/>
      <c r="F28" s="414" t="s">
        <v>15</v>
      </c>
      <c r="G28" s="393"/>
      <c r="H28" s="394"/>
      <c r="I28" s="194"/>
      <c r="J28" s="25"/>
      <c r="K28" s="43"/>
      <c r="L28" s="450" t="str">
        <f t="shared" si="0"/>
        <v>LB</v>
      </c>
      <c r="M28" s="451">
        <f t="shared" si="5"/>
        <v>37</v>
      </c>
      <c r="N28" s="451"/>
      <c r="O28" s="451" t="str">
        <f t="shared" si="1"/>
        <v>LA</v>
      </c>
      <c r="P28" s="451">
        <f t="shared" si="6"/>
        <v>40</v>
      </c>
      <c r="Q28" s="451"/>
      <c r="R28" s="453">
        <f t="shared" si="2"/>
        <v>0</v>
      </c>
      <c r="S28" s="453">
        <f t="shared" si="3"/>
        <v>0</v>
      </c>
      <c r="T28" s="451"/>
      <c r="U28" s="453">
        <f t="shared" si="4"/>
        <v>0</v>
      </c>
      <c r="V28" s="451"/>
      <c r="W28" s="452">
        <v>24</v>
      </c>
      <c r="X28" s="43"/>
      <c r="Y28" s="458" t="s">
        <v>20</v>
      </c>
      <c r="AF28" s="3"/>
      <c r="AG28" s="3"/>
      <c r="AH28" s="3"/>
      <c r="AI28" s="3"/>
      <c r="AJ28" s="3"/>
      <c r="AK28" s="3"/>
      <c r="AL28" s="3"/>
      <c r="AM28" s="3"/>
      <c r="AN28" s="3"/>
      <c r="AO28" s="3"/>
    </row>
    <row r="29" spans="2:41" ht="13.5" customHeight="1">
      <c r="B29" s="21"/>
      <c r="C29" s="187"/>
      <c r="D29" s="193" t="s">
        <v>22</v>
      </c>
      <c r="E29" s="192"/>
      <c r="F29" s="199">
        <v>13</v>
      </c>
      <c r="G29" s="393" t="s">
        <v>163</v>
      </c>
      <c r="H29" s="394">
        <f>VLOOKUP(F28,salaristabellen,22,FALSE)</f>
        <v>16</v>
      </c>
      <c r="I29" s="194"/>
      <c r="J29" s="25"/>
      <c r="K29" s="43"/>
      <c r="L29" s="450" t="str">
        <f t="shared" si="0"/>
        <v>LB</v>
      </c>
      <c r="M29" s="451">
        <f t="shared" si="5"/>
        <v>38</v>
      </c>
      <c r="N29" s="451"/>
      <c r="O29" s="451" t="str">
        <f t="shared" si="1"/>
        <v>LA</v>
      </c>
      <c r="P29" s="451">
        <f t="shared" si="6"/>
        <v>41</v>
      </c>
      <c r="Q29" s="451"/>
      <c r="R29" s="453">
        <f t="shared" si="2"/>
        <v>0</v>
      </c>
      <c r="S29" s="453">
        <f t="shared" si="3"/>
        <v>0</v>
      </c>
      <c r="T29" s="451"/>
      <c r="U29" s="453">
        <f t="shared" si="4"/>
        <v>0</v>
      </c>
      <c r="V29" s="451"/>
      <c r="W29" s="452">
        <v>25</v>
      </c>
      <c r="X29" s="43"/>
      <c r="Y29" s="458">
        <v>1</v>
      </c>
      <c r="AF29" s="3"/>
      <c r="AG29" s="3"/>
      <c r="AH29" s="3"/>
      <c r="AI29" s="3"/>
      <c r="AJ29" s="3"/>
      <c r="AK29" s="3"/>
      <c r="AL29" s="3"/>
      <c r="AM29" s="3"/>
      <c r="AN29" s="3"/>
      <c r="AO29" s="3"/>
    </row>
    <row r="30" spans="2:41" ht="13.5" customHeight="1">
      <c r="B30" s="21"/>
      <c r="C30" s="187"/>
      <c r="D30" s="193" t="s">
        <v>24</v>
      </c>
      <c r="E30" s="192"/>
      <c r="F30" s="321">
        <f>VLOOKUP(F28,salaristabellen,F29+1,FALSE)</f>
        <v>3308</v>
      </c>
      <c r="G30" s="193"/>
      <c r="H30" s="193"/>
      <c r="I30" s="396"/>
      <c r="J30" s="37"/>
      <c r="K30" s="436"/>
      <c r="L30" s="450" t="str">
        <f t="shared" si="0"/>
        <v>LB</v>
      </c>
      <c r="M30" s="451">
        <f t="shared" si="5"/>
        <v>39</v>
      </c>
      <c r="N30" s="451"/>
      <c r="O30" s="451" t="str">
        <f t="shared" si="1"/>
        <v>LA</v>
      </c>
      <c r="P30" s="451">
        <f t="shared" si="6"/>
        <v>42</v>
      </c>
      <c r="Q30" s="451"/>
      <c r="R30" s="453">
        <f t="shared" si="2"/>
        <v>0</v>
      </c>
      <c r="S30" s="453">
        <f t="shared" si="3"/>
        <v>0</v>
      </c>
      <c r="T30" s="451"/>
      <c r="U30" s="453">
        <f t="shared" si="4"/>
        <v>0</v>
      </c>
      <c r="V30" s="451"/>
      <c r="W30" s="452">
        <v>26</v>
      </c>
      <c r="X30" s="436"/>
      <c r="Y30" s="458">
        <v>2</v>
      </c>
      <c r="Z30" s="3"/>
      <c r="AA30" s="3"/>
      <c r="AF30" s="3"/>
      <c r="AG30" s="3"/>
      <c r="AH30" s="3"/>
      <c r="AI30" s="3"/>
      <c r="AJ30" s="3"/>
      <c r="AK30" s="3"/>
      <c r="AL30" s="3"/>
      <c r="AM30" s="3"/>
      <c r="AN30" s="3"/>
      <c r="AO30" s="3"/>
    </row>
    <row r="31" spans="2:41" ht="13.5" customHeight="1">
      <c r="B31" s="21"/>
      <c r="C31" s="187"/>
      <c r="D31" s="192"/>
      <c r="E31" s="193"/>
      <c r="F31" s="320"/>
      <c r="G31" s="193"/>
      <c r="H31" s="193"/>
      <c r="I31" s="396"/>
      <c r="J31" s="37"/>
      <c r="K31" s="436"/>
      <c r="L31" s="450" t="str">
        <f t="shared" si="0"/>
        <v>LB</v>
      </c>
      <c r="M31" s="451">
        <f t="shared" si="5"/>
        <v>40</v>
      </c>
      <c r="N31" s="451"/>
      <c r="O31" s="451" t="str">
        <f t="shared" si="1"/>
        <v>LA</v>
      </c>
      <c r="P31" s="451">
        <f t="shared" si="6"/>
        <v>43</v>
      </c>
      <c r="Q31" s="451"/>
      <c r="R31" s="453">
        <f t="shared" si="2"/>
        <v>0</v>
      </c>
      <c r="S31" s="453">
        <f t="shared" si="3"/>
        <v>0</v>
      </c>
      <c r="T31" s="451"/>
      <c r="U31" s="453">
        <f t="shared" si="4"/>
        <v>0</v>
      </c>
      <c r="V31" s="451"/>
      <c r="W31" s="452">
        <v>27</v>
      </c>
      <c r="X31" s="436"/>
      <c r="Y31" s="458">
        <v>3</v>
      </c>
      <c r="Z31" s="3"/>
      <c r="AA31" s="3"/>
      <c r="AF31" s="3"/>
      <c r="AG31" s="3"/>
      <c r="AH31" s="3"/>
      <c r="AI31" s="3"/>
      <c r="AJ31" s="3"/>
      <c r="AK31" s="3"/>
      <c r="AL31" s="3"/>
      <c r="AM31" s="3"/>
      <c r="AN31" s="3"/>
      <c r="AO31" s="3"/>
    </row>
    <row r="32" spans="2:41" ht="13.5" customHeight="1">
      <c r="B32" s="21"/>
      <c r="C32" s="187"/>
      <c r="D32" s="203" t="s">
        <v>301</v>
      </c>
      <c r="E32" s="193"/>
      <c r="F32" s="423" t="s">
        <v>134</v>
      </c>
      <c r="G32" s="193"/>
      <c r="H32" s="193"/>
      <c r="I32" s="396"/>
      <c r="J32" s="37"/>
      <c r="K32" s="436"/>
      <c r="L32" s="450" t="str">
        <f t="shared" si="0"/>
        <v>LB</v>
      </c>
      <c r="M32" s="451">
        <f t="shared" si="5"/>
        <v>41</v>
      </c>
      <c r="N32" s="451"/>
      <c r="O32" s="451" t="str">
        <f t="shared" si="1"/>
        <v>LA</v>
      </c>
      <c r="P32" s="451">
        <f t="shared" si="6"/>
        <v>44</v>
      </c>
      <c r="Q32" s="451"/>
      <c r="R32" s="453">
        <f t="shared" si="2"/>
        <v>0</v>
      </c>
      <c r="S32" s="453">
        <f t="shared" si="3"/>
        <v>0</v>
      </c>
      <c r="T32" s="451"/>
      <c r="U32" s="453">
        <f t="shared" si="4"/>
        <v>0</v>
      </c>
      <c r="V32" s="451"/>
      <c r="W32" s="452">
        <v>28</v>
      </c>
      <c r="X32" s="436"/>
      <c r="Y32" s="458">
        <v>4</v>
      </c>
      <c r="Z32" s="3"/>
      <c r="AA32" s="3"/>
      <c r="AF32" s="3"/>
      <c r="AG32" s="3"/>
      <c r="AH32" s="3"/>
      <c r="AI32" s="3"/>
      <c r="AJ32" s="3"/>
      <c r="AK32" s="3"/>
      <c r="AL32" s="3"/>
      <c r="AM32" s="3"/>
      <c r="AN32" s="3"/>
      <c r="AO32" s="3"/>
    </row>
    <row r="33" spans="2:41" ht="13.5" customHeight="1">
      <c r="B33" s="21"/>
      <c r="C33" s="187"/>
      <c r="D33" s="193" t="s">
        <v>167</v>
      </c>
      <c r="E33" s="192"/>
      <c r="F33" s="423">
        <v>0</v>
      </c>
      <c r="G33" s="193"/>
      <c r="H33" s="193"/>
      <c r="I33" s="396"/>
      <c r="J33" s="37"/>
      <c r="K33" s="436"/>
      <c r="L33" s="450" t="str">
        <f t="shared" si="0"/>
        <v>LB</v>
      </c>
      <c r="M33" s="451">
        <f t="shared" si="5"/>
        <v>42</v>
      </c>
      <c r="N33" s="451"/>
      <c r="O33" s="451" t="str">
        <f t="shared" si="1"/>
        <v>LA</v>
      </c>
      <c r="P33" s="451">
        <f t="shared" si="6"/>
        <v>45</v>
      </c>
      <c r="Q33" s="451"/>
      <c r="R33" s="453">
        <f t="shared" si="2"/>
        <v>0</v>
      </c>
      <c r="S33" s="453">
        <f t="shared" si="3"/>
        <v>0</v>
      </c>
      <c r="T33" s="451"/>
      <c r="U33" s="453">
        <f t="shared" si="4"/>
        <v>0</v>
      </c>
      <c r="V33" s="451"/>
      <c r="W33" s="452">
        <v>29</v>
      </c>
      <c r="X33" s="436"/>
      <c r="Y33" s="458">
        <v>5</v>
      </c>
      <c r="Z33" s="3"/>
      <c r="AA33" s="3"/>
      <c r="AF33" s="3"/>
      <c r="AG33" s="3"/>
      <c r="AH33" s="3"/>
      <c r="AI33" s="3"/>
      <c r="AJ33" s="3"/>
      <c r="AK33" s="3"/>
      <c r="AL33" s="3"/>
      <c r="AM33" s="3"/>
      <c r="AN33" s="3"/>
      <c r="AO33" s="3"/>
    </row>
    <row r="34" spans="2:41" ht="13.5" customHeight="1">
      <c r="B34" s="21"/>
      <c r="C34" s="187"/>
      <c r="D34" s="192" t="s">
        <v>26</v>
      </c>
      <c r="E34" s="192"/>
      <c r="F34" s="424">
        <f>ROUND(IF(F32="ja",F30*F33,F30*F18),2)</f>
        <v>3308</v>
      </c>
      <c r="G34" s="193"/>
      <c r="H34" s="193"/>
      <c r="I34" s="396"/>
      <c r="J34" s="37"/>
      <c r="K34" s="436"/>
      <c r="L34" s="450" t="str">
        <f t="shared" si="0"/>
        <v>LB</v>
      </c>
      <c r="M34" s="451">
        <f t="shared" si="5"/>
        <v>43</v>
      </c>
      <c r="N34" s="451"/>
      <c r="O34" s="451" t="str">
        <f t="shared" si="1"/>
        <v>LA</v>
      </c>
      <c r="P34" s="451">
        <f t="shared" si="6"/>
        <v>46</v>
      </c>
      <c r="Q34" s="451"/>
      <c r="R34" s="453">
        <f t="shared" si="2"/>
        <v>0</v>
      </c>
      <c r="S34" s="453">
        <f t="shared" si="3"/>
        <v>0</v>
      </c>
      <c r="T34" s="451"/>
      <c r="U34" s="453">
        <f t="shared" si="4"/>
        <v>0</v>
      </c>
      <c r="V34" s="451"/>
      <c r="W34" s="452">
        <v>30</v>
      </c>
      <c r="X34" s="436"/>
      <c r="Y34" s="458">
        <v>6</v>
      </c>
      <c r="Z34" s="3"/>
      <c r="AA34" s="3"/>
      <c r="AF34" s="3"/>
      <c r="AG34" s="3"/>
      <c r="AH34" s="3"/>
      <c r="AI34" s="3"/>
      <c r="AJ34" s="3"/>
      <c r="AK34" s="3"/>
      <c r="AL34" s="3"/>
      <c r="AM34" s="3"/>
      <c r="AN34" s="3"/>
      <c r="AO34" s="3"/>
    </row>
    <row r="35" spans="2:27" ht="13.5" customHeight="1">
      <c r="B35" s="21"/>
      <c r="C35" s="239"/>
      <c r="D35" s="240"/>
      <c r="E35" s="240"/>
      <c r="F35" s="243"/>
      <c r="G35" s="325"/>
      <c r="H35" s="325"/>
      <c r="I35" s="397"/>
      <c r="J35" s="37"/>
      <c r="K35" s="436"/>
      <c r="L35" s="450" t="str">
        <f t="shared" si="0"/>
        <v>LB</v>
      </c>
      <c r="M35" s="451">
        <f t="shared" si="5"/>
        <v>44</v>
      </c>
      <c r="N35" s="451"/>
      <c r="O35" s="451" t="str">
        <f t="shared" si="1"/>
        <v>LA</v>
      </c>
      <c r="P35" s="451">
        <f t="shared" si="6"/>
        <v>47</v>
      </c>
      <c r="Q35" s="451"/>
      <c r="R35" s="453">
        <f t="shared" si="2"/>
        <v>0</v>
      </c>
      <c r="S35" s="453">
        <f t="shared" si="3"/>
        <v>0</v>
      </c>
      <c r="T35" s="451"/>
      <c r="U35" s="453">
        <f t="shared" si="4"/>
        <v>0</v>
      </c>
      <c r="V35" s="451"/>
      <c r="W35" s="452">
        <v>31</v>
      </c>
      <c r="X35" s="436"/>
      <c r="Y35" s="458">
        <v>7</v>
      </c>
      <c r="Z35" s="3"/>
      <c r="AA35" s="3"/>
    </row>
    <row r="36" spans="2:27" ht="13.5" customHeight="1">
      <c r="B36" s="21"/>
      <c r="C36" s="22"/>
      <c r="D36" s="22"/>
      <c r="E36" s="22"/>
      <c r="F36" s="24"/>
      <c r="G36" s="26"/>
      <c r="H36" s="26"/>
      <c r="I36" s="26"/>
      <c r="J36" s="37"/>
      <c r="K36" s="436"/>
      <c r="L36" s="450" t="str">
        <f t="shared" si="0"/>
        <v>LB</v>
      </c>
      <c r="M36" s="451">
        <f t="shared" si="5"/>
        <v>45</v>
      </c>
      <c r="N36" s="451"/>
      <c r="O36" s="451" t="str">
        <f t="shared" si="1"/>
        <v>LA</v>
      </c>
      <c r="P36" s="451">
        <f t="shared" si="6"/>
        <v>48</v>
      </c>
      <c r="Q36" s="451"/>
      <c r="R36" s="453">
        <f t="shared" si="2"/>
        <v>0</v>
      </c>
      <c r="S36" s="453">
        <f t="shared" si="3"/>
        <v>0</v>
      </c>
      <c r="T36" s="451"/>
      <c r="U36" s="453">
        <f t="shared" si="4"/>
        <v>0</v>
      </c>
      <c r="V36" s="451"/>
      <c r="W36" s="452">
        <v>32</v>
      </c>
      <c r="X36" s="436"/>
      <c r="Y36" s="458">
        <v>8</v>
      </c>
      <c r="Z36" s="3"/>
      <c r="AA36" s="3"/>
    </row>
    <row r="37" spans="2:27" ht="13.5" customHeight="1">
      <c r="B37" s="21"/>
      <c r="C37" s="180"/>
      <c r="D37" s="181"/>
      <c r="E37" s="181"/>
      <c r="F37" s="184"/>
      <c r="G37" s="185"/>
      <c r="H37" s="185"/>
      <c r="I37" s="398"/>
      <c r="J37" s="37"/>
      <c r="K37" s="436"/>
      <c r="L37" s="450" t="str">
        <f t="shared" si="0"/>
        <v>LB</v>
      </c>
      <c r="M37" s="451">
        <f t="shared" si="5"/>
        <v>46</v>
      </c>
      <c r="N37" s="451"/>
      <c r="O37" s="451" t="str">
        <f t="shared" si="1"/>
        <v>LA</v>
      </c>
      <c r="P37" s="451">
        <f t="shared" si="6"/>
        <v>49</v>
      </c>
      <c r="Q37" s="451"/>
      <c r="R37" s="453">
        <f t="shared" si="2"/>
        <v>0</v>
      </c>
      <c r="S37" s="453">
        <f t="shared" si="3"/>
        <v>0</v>
      </c>
      <c r="T37" s="451"/>
      <c r="U37" s="453">
        <f t="shared" si="4"/>
        <v>0</v>
      </c>
      <c r="V37" s="451"/>
      <c r="W37" s="452">
        <v>33</v>
      </c>
      <c r="X37" s="436"/>
      <c r="Y37" s="458">
        <v>9</v>
      </c>
      <c r="Z37" s="3"/>
      <c r="AA37" s="3"/>
    </row>
    <row r="38" spans="2:27" ht="13.5" customHeight="1">
      <c r="B38" s="21"/>
      <c r="C38" s="187"/>
      <c r="D38" s="188" t="s">
        <v>303</v>
      </c>
      <c r="E38" s="192"/>
      <c r="F38" s="191"/>
      <c r="G38" s="193"/>
      <c r="H38" s="193"/>
      <c r="I38" s="396"/>
      <c r="J38" s="37"/>
      <c r="K38" s="436"/>
      <c r="L38" s="450" t="str">
        <f t="shared" si="0"/>
        <v>LB</v>
      </c>
      <c r="M38" s="451">
        <f t="shared" si="5"/>
        <v>47</v>
      </c>
      <c r="N38" s="451"/>
      <c r="O38" s="451" t="str">
        <f t="shared" si="1"/>
        <v>LA</v>
      </c>
      <c r="P38" s="451">
        <f t="shared" si="6"/>
        <v>50</v>
      </c>
      <c r="Q38" s="451"/>
      <c r="R38" s="453">
        <f t="shared" si="2"/>
        <v>0</v>
      </c>
      <c r="S38" s="453">
        <f t="shared" si="3"/>
        <v>0</v>
      </c>
      <c r="T38" s="451"/>
      <c r="U38" s="453">
        <f t="shared" si="4"/>
        <v>0</v>
      </c>
      <c r="V38" s="451"/>
      <c r="W38" s="452">
        <v>34</v>
      </c>
      <c r="X38" s="436"/>
      <c r="Y38" s="458">
        <v>10</v>
      </c>
      <c r="Z38" s="3"/>
      <c r="AA38" s="3"/>
    </row>
    <row r="39" spans="2:27" ht="13.5" customHeight="1">
      <c r="B39" s="21"/>
      <c r="C39" s="187"/>
      <c r="D39" s="192"/>
      <c r="E39" s="192"/>
      <c r="F39" s="191"/>
      <c r="G39" s="193"/>
      <c r="H39" s="193"/>
      <c r="I39" s="396"/>
      <c r="J39" s="37"/>
      <c r="K39" s="436"/>
      <c r="L39" s="450" t="str">
        <f t="shared" si="0"/>
        <v>LB</v>
      </c>
      <c r="M39" s="451">
        <f t="shared" si="5"/>
        <v>48</v>
      </c>
      <c r="N39" s="451"/>
      <c r="O39" s="451" t="str">
        <f t="shared" si="1"/>
        <v>LA</v>
      </c>
      <c r="P39" s="451">
        <f t="shared" si="6"/>
        <v>51</v>
      </c>
      <c r="Q39" s="451"/>
      <c r="R39" s="453">
        <f t="shared" si="2"/>
        <v>0</v>
      </c>
      <c r="S39" s="453">
        <f t="shared" si="3"/>
        <v>0</v>
      </c>
      <c r="T39" s="451"/>
      <c r="U39" s="453">
        <f t="shared" si="4"/>
        <v>0</v>
      </c>
      <c r="V39" s="451"/>
      <c r="W39" s="452">
        <v>35</v>
      </c>
      <c r="X39" s="436"/>
      <c r="Y39" s="458">
        <v>11</v>
      </c>
      <c r="Z39" s="3"/>
      <c r="AA39" s="3"/>
    </row>
    <row r="40" spans="2:27" ht="13.5" customHeight="1">
      <c r="B40" s="21"/>
      <c r="C40" s="187"/>
      <c r="D40" s="192" t="s">
        <v>168</v>
      </c>
      <c r="E40" s="192"/>
      <c r="F40" s="344">
        <f>+F34-F19</f>
        <v>34</v>
      </c>
      <c r="G40" s="193"/>
      <c r="H40" s="193"/>
      <c r="I40" s="396"/>
      <c r="J40" s="37"/>
      <c r="K40" s="436"/>
      <c r="L40" s="450" t="str">
        <f t="shared" si="0"/>
        <v>LB</v>
      </c>
      <c r="M40" s="451">
        <f t="shared" si="5"/>
        <v>49</v>
      </c>
      <c r="N40" s="451"/>
      <c r="O40" s="451" t="str">
        <f t="shared" si="1"/>
        <v>LA</v>
      </c>
      <c r="P40" s="451">
        <f t="shared" si="6"/>
        <v>52</v>
      </c>
      <c r="Q40" s="451"/>
      <c r="R40" s="453">
        <f t="shared" si="2"/>
        <v>0</v>
      </c>
      <c r="S40" s="453">
        <f t="shared" si="3"/>
        <v>0</v>
      </c>
      <c r="T40" s="451"/>
      <c r="U40" s="453">
        <f t="shared" si="4"/>
        <v>0</v>
      </c>
      <c r="V40" s="451"/>
      <c r="W40" s="452">
        <v>36</v>
      </c>
      <c r="X40" s="436"/>
      <c r="Y40" s="458">
        <v>12</v>
      </c>
      <c r="Z40" s="3"/>
      <c r="AA40" s="3"/>
    </row>
    <row r="41" spans="2:27" ht="13.5" customHeight="1">
      <c r="B41" s="21"/>
      <c r="C41" s="187"/>
      <c r="D41" s="192" t="s">
        <v>169</v>
      </c>
      <c r="E41" s="192"/>
      <c r="F41" s="381">
        <v>0.55</v>
      </c>
      <c r="G41" s="193"/>
      <c r="H41" s="193"/>
      <c r="I41" s="396"/>
      <c r="J41" s="37"/>
      <c r="K41" s="436"/>
      <c r="L41" s="450" t="str">
        <f t="shared" si="0"/>
        <v>LB</v>
      </c>
      <c r="M41" s="451">
        <f t="shared" si="5"/>
        <v>50</v>
      </c>
      <c r="N41" s="451"/>
      <c r="O41" s="451" t="str">
        <f t="shared" si="1"/>
        <v>LA</v>
      </c>
      <c r="P41" s="451">
        <f t="shared" si="6"/>
        <v>53</v>
      </c>
      <c r="Q41" s="451"/>
      <c r="R41" s="453">
        <f t="shared" si="2"/>
        <v>0</v>
      </c>
      <c r="S41" s="453">
        <f t="shared" si="3"/>
        <v>0</v>
      </c>
      <c r="T41" s="451"/>
      <c r="U41" s="453">
        <f t="shared" si="4"/>
        <v>0</v>
      </c>
      <c r="V41" s="451"/>
      <c r="W41" s="452">
        <v>37</v>
      </c>
      <c r="X41" s="436"/>
      <c r="Y41" s="458">
        <v>13</v>
      </c>
      <c r="Z41" s="3"/>
      <c r="AA41" s="3"/>
    </row>
    <row r="42" spans="2:25" ht="13.5" customHeight="1">
      <c r="B42" s="21"/>
      <c r="C42" s="187"/>
      <c r="D42" s="192" t="s">
        <v>170</v>
      </c>
      <c r="E42" s="192"/>
      <c r="F42" s="344">
        <f>+F40*12*(1+F41)</f>
        <v>632.4</v>
      </c>
      <c r="G42" s="192"/>
      <c r="H42" s="192"/>
      <c r="I42" s="194"/>
      <c r="J42" s="25"/>
      <c r="K42" s="43"/>
      <c r="L42" s="450" t="str">
        <f t="shared" si="0"/>
        <v>LB</v>
      </c>
      <c r="M42" s="451">
        <f t="shared" si="5"/>
        <v>51</v>
      </c>
      <c r="N42" s="451"/>
      <c r="O42" s="451" t="str">
        <f t="shared" si="1"/>
        <v>LA</v>
      </c>
      <c r="P42" s="451">
        <f t="shared" si="6"/>
        <v>54</v>
      </c>
      <c r="Q42" s="451"/>
      <c r="R42" s="453">
        <f t="shared" si="2"/>
        <v>0</v>
      </c>
      <c r="S42" s="453">
        <f t="shared" si="3"/>
        <v>0</v>
      </c>
      <c r="T42" s="451"/>
      <c r="U42" s="453">
        <f t="shared" si="4"/>
        <v>0</v>
      </c>
      <c r="V42" s="451"/>
      <c r="W42" s="452">
        <v>38</v>
      </c>
      <c r="X42" s="43"/>
      <c r="Y42" s="458">
        <v>14</v>
      </c>
    </row>
    <row r="43" spans="2:25" ht="13.5" customHeight="1">
      <c r="B43" s="21"/>
      <c r="C43" s="187"/>
      <c r="D43" s="192" t="s">
        <v>171</v>
      </c>
      <c r="E43" s="192"/>
      <c r="F43" s="399">
        <f>+F22-F21</f>
        <v>20</v>
      </c>
      <c r="G43" s="192"/>
      <c r="H43" s="192"/>
      <c r="I43" s="194"/>
      <c r="J43" s="25"/>
      <c r="K43" s="43"/>
      <c r="L43" s="450" t="str">
        <f t="shared" si="0"/>
        <v>LB</v>
      </c>
      <c r="M43" s="451">
        <f t="shared" si="5"/>
        <v>52</v>
      </c>
      <c r="N43" s="451"/>
      <c r="O43" s="451" t="str">
        <f t="shared" si="1"/>
        <v>LA</v>
      </c>
      <c r="P43" s="451">
        <f t="shared" si="6"/>
        <v>55</v>
      </c>
      <c r="Q43" s="451"/>
      <c r="R43" s="453">
        <f t="shared" si="2"/>
        <v>0</v>
      </c>
      <c r="S43" s="453">
        <f t="shared" si="3"/>
        <v>0</v>
      </c>
      <c r="T43" s="451"/>
      <c r="U43" s="453">
        <f t="shared" si="4"/>
        <v>0</v>
      </c>
      <c r="V43" s="451"/>
      <c r="W43" s="452">
        <v>39</v>
      </c>
      <c r="X43" s="43"/>
      <c r="Y43" s="458" t="s">
        <v>96</v>
      </c>
    </row>
    <row r="44" spans="2:25" ht="13.5" customHeight="1">
      <c r="B44" s="21"/>
      <c r="C44" s="187"/>
      <c r="D44" s="192" t="s">
        <v>172</v>
      </c>
      <c r="E44" s="192"/>
      <c r="F44" s="400">
        <f>IF(F32="nee",U52*F18,U52*F33)</f>
        <v>5495.3699999999935</v>
      </c>
      <c r="G44" s="225"/>
      <c r="H44" s="192"/>
      <c r="I44" s="194"/>
      <c r="J44" s="25"/>
      <c r="K44" s="43"/>
      <c r="L44" s="450" t="str">
        <f t="shared" si="0"/>
        <v>LB</v>
      </c>
      <c r="M44" s="451">
        <f t="shared" si="5"/>
        <v>53</v>
      </c>
      <c r="N44" s="451"/>
      <c r="O44" s="451" t="str">
        <f t="shared" si="1"/>
        <v>LA</v>
      </c>
      <c r="P44" s="451">
        <f t="shared" si="6"/>
        <v>56</v>
      </c>
      <c r="Q44" s="451"/>
      <c r="R44" s="453">
        <f t="shared" si="2"/>
        <v>0</v>
      </c>
      <c r="S44" s="453">
        <f t="shared" si="3"/>
        <v>0</v>
      </c>
      <c r="T44" s="451"/>
      <c r="U44" s="453">
        <f t="shared" si="4"/>
        <v>0</v>
      </c>
      <c r="V44" s="451"/>
      <c r="W44" s="452">
        <v>40</v>
      </c>
      <c r="X44" s="43"/>
      <c r="Y44" s="458" t="s">
        <v>97</v>
      </c>
    </row>
    <row r="45" spans="2:25" ht="13.5" customHeight="1">
      <c r="B45" s="21"/>
      <c r="C45" s="187"/>
      <c r="D45" s="203"/>
      <c r="E45" s="192"/>
      <c r="F45" s="425"/>
      <c r="G45" s="225"/>
      <c r="H45" s="192"/>
      <c r="I45" s="426"/>
      <c r="J45" s="138"/>
      <c r="K45" s="437"/>
      <c r="L45" s="450" t="str">
        <f t="shared" si="0"/>
        <v>LB</v>
      </c>
      <c r="M45" s="451">
        <f t="shared" si="5"/>
        <v>54</v>
      </c>
      <c r="N45" s="451"/>
      <c r="O45" s="451" t="str">
        <f t="shared" si="1"/>
        <v>LA</v>
      </c>
      <c r="P45" s="451">
        <f t="shared" si="6"/>
        <v>57</v>
      </c>
      <c r="Q45" s="451"/>
      <c r="R45" s="453">
        <f t="shared" si="2"/>
        <v>0</v>
      </c>
      <c r="S45" s="453">
        <f t="shared" si="3"/>
        <v>0</v>
      </c>
      <c r="T45" s="451"/>
      <c r="U45" s="453">
        <f t="shared" si="4"/>
        <v>0</v>
      </c>
      <c r="V45" s="451"/>
      <c r="W45" s="452">
        <v>41</v>
      </c>
      <c r="X45" s="437"/>
      <c r="Y45" s="458" t="s">
        <v>98</v>
      </c>
    </row>
    <row r="46" spans="2:23" s="2" customFormat="1" ht="13.5" customHeight="1">
      <c r="B46" s="30"/>
      <c r="C46" s="195"/>
      <c r="D46" s="203" t="s">
        <v>302</v>
      </c>
      <c r="E46" s="203"/>
      <c r="F46" s="402">
        <f>+U51*F18</f>
        <v>109907.39999999988</v>
      </c>
      <c r="G46" s="203"/>
      <c r="H46" s="203"/>
      <c r="I46" s="427"/>
      <c r="J46" s="139"/>
      <c r="K46" s="438"/>
      <c r="L46" s="450" t="str">
        <f t="shared" si="0"/>
        <v>LB</v>
      </c>
      <c r="M46" s="451">
        <f t="shared" si="5"/>
        <v>55</v>
      </c>
      <c r="N46" s="451"/>
      <c r="O46" s="451" t="str">
        <f t="shared" si="1"/>
        <v>LA</v>
      </c>
      <c r="P46" s="451">
        <f t="shared" si="6"/>
        <v>58</v>
      </c>
      <c r="Q46" s="451"/>
      <c r="R46" s="453">
        <f t="shared" si="2"/>
        <v>0</v>
      </c>
      <c r="S46" s="453">
        <f t="shared" si="3"/>
        <v>0</v>
      </c>
      <c r="T46" s="451"/>
      <c r="U46" s="453">
        <f t="shared" si="4"/>
        <v>0</v>
      </c>
      <c r="V46" s="451"/>
      <c r="W46" s="452">
        <v>42</v>
      </c>
    </row>
    <row r="47" spans="2:23" ht="13.5" customHeight="1">
      <c r="B47" s="21"/>
      <c r="C47" s="239"/>
      <c r="D47" s="240"/>
      <c r="E47" s="240"/>
      <c r="F47" s="243"/>
      <c r="G47" s="240"/>
      <c r="H47" s="240"/>
      <c r="I47" s="428"/>
      <c r="J47" s="138"/>
      <c r="K47" s="437"/>
      <c r="L47" s="450" t="str">
        <f t="shared" si="0"/>
        <v>LB</v>
      </c>
      <c r="M47" s="451">
        <f t="shared" si="5"/>
        <v>56</v>
      </c>
      <c r="N47" s="451"/>
      <c r="O47" s="451" t="str">
        <f t="shared" si="1"/>
        <v>LA</v>
      </c>
      <c r="P47" s="451">
        <f t="shared" si="6"/>
        <v>59</v>
      </c>
      <c r="Q47" s="451"/>
      <c r="R47" s="453">
        <f t="shared" si="2"/>
        <v>0</v>
      </c>
      <c r="S47" s="453">
        <f t="shared" si="3"/>
        <v>0</v>
      </c>
      <c r="T47" s="451"/>
      <c r="U47" s="453">
        <f t="shared" si="4"/>
        <v>0</v>
      </c>
      <c r="V47" s="451"/>
      <c r="W47" s="452">
        <v>43</v>
      </c>
    </row>
    <row r="48" spans="2:23" ht="13.5" customHeight="1">
      <c r="B48" s="21"/>
      <c r="C48" s="22"/>
      <c r="D48" s="22"/>
      <c r="E48" s="22"/>
      <c r="F48" s="24"/>
      <c r="G48" s="22"/>
      <c r="H48" s="22"/>
      <c r="I48" s="48"/>
      <c r="J48" s="138"/>
      <c r="K48" s="437"/>
      <c r="L48" s="450" t="str">
        <f t="shared" si="0"/>
        <v>LB</v>
      </c>
      <c r="M48" s="451">
        <f t="shared" si="5"/>
        <v>57</v>
      </c>
      <c r="N48" s="451"/>
      <c r="O48" s="451" t="str">
        <f t="shared" si="1"/>
        <v>LA</v>
      </c>
      <c r="P48" s="451">
        <f t="shared" si="6"/>
        <v>60</v>
      </c>
      <c r="Q48" s="451"/>
      <c r="R48" s="453">
        <f t="shared" si="2"/>
        <v>0</v>
      </c>
      <c r="S48" s="453">
        <f t="shared" si="3"/>
        <v>0</v>
      </c>
      <c r="T48" s="451"/>
      <c r="U48" s="453">
        <f t="shared" si="4"/>
        <v>0</v>
      </c>
      <c r="V48" s="451"/>
      <c r="W48" s="452">
        <v>44</v>
      </c>
    </row>
    <row r="49" spans="2:23" ht="13.5" customHeight="1">
      <c r="B49" s="21"/>
      <c r="C49" s="22"/>
      <c r="D49" s="22"/>
      <c r="E49" s="22"/>
      <c r="F49" s="24"/>
      <c r="G49" s="22"/>
      <c r="H49" s="22"/>
      <c r="I49" s="48"/>
      <c r="J49" s="138"/>
      <c r="K49" s="437"/>
      <c r="L49" s="450" t="str">
        <f t="shared" si="0"/>
        <v>LB</v>
      </c>
      <c r="M49" s="451">
        <f t="shared" si="5"/>
        <v>58</v>
      </c>
      <c r="N49" s="451"/>
      <c r="O49" s="451" t="str">
        <f t="shared" si="1"/>
        <v>LA</v>
      </c>
      <c r="P49" s="451">
        <f t="shared" si="6"/>
        <v>61</v>
      </c>
      <c r="Q49" s="451"/>
      <c r="R49" s="453">
        <f t="shared" si="2"/>
        <v>0</v>
      </c>
      <c r="S49" s="453">
        <f t="shared" si="3"/>
        <v>0</v>
      </c>
      <c r="T49" s="451"/>
      <c r="U49" s="453">
        <f t="shared" si="4"/>
        <v>0</v>
      </c>
      <c r="V49" s="451"/>
      <c r="W49" s="452">
        <v>45</v>
      </c>
    </row>
    <row r="50" spans="2:23" ht="13.5" customHeight="1">
      <c r="B50" s="11"/>
      <c r="C50" s="12"/>
      <c r="D50" s="12"/>
      <c r="E50" s="12"/>
      <c r="F50" s="101"/>
      <c r="G50" s="12"/>
      <c r="H50" s="12"/>
      <c r="I50" s="143" t="s">
        <v>295</v>
      </c>
      <c r="J50" s="144"/>
      <c r="K50" s="437"/>
      <c r="L50" s="450"/>
      <c r="M50" s="451"/>
      <c r="N50" s="451"/>
      <c r="O50" s="451"/>
      <c r="P50" s="451"/>
      <c r="Q50" s="451"/>
      <c r="R50" s="451"/>
      <c r="S50" s="451"/>
      <c r="T50" s="451"/>
      <c r="U50" s="451"/>
      <c r="V50" s="451"/>
      <c r="W50" s="452"/>
    </row>
    <row r="51" spans="9:23" ht="13.5" customHeight="1">
      <c r="I51" s="142"/>
      <c r="J51" s="142"/>
      <c r="K51" s="142"/>
      <c r="L51" s="450"/>
      <c r="M51" s="451"/>
      <c r="N51" s="451"/>
      <c r="O51" s="451"/>
      <c r="P51" s="451"/>
      <c r="Q51" s="451"/>
      <c r="R51" s="451"/>
      <c r="S51" s="451"/>
      <c r="T51" s="451"/>
      <c r="U51" s="453">
        <f>SUM(U4:U49)</f>
        <v>109907.39999999988</v>
      </c>
      <c r="V51" s="451"/>
      <c r="W51" s="452"/>
    </row>
    <row r="52" spans="9:23" ht="13.5" customHeight="1">
      <c r="I52" s="142"/>
      <c r="J52" s="142"/>
      <c r="K52" s="142"/>
      <c r="L52" s="454"/>
      <c r="M52" s="455"/>
      <c r="N52" s="455"/>
      <c r="O52" s="455"/>
      <c r="P52" s="455"/>
      <c r="Q52" s="455"/>
      <c r="R52" s="455"/>
      <c r="S52" s="455" t="s">
        <v>31</v>
      </c>
      <c r="T52" s="455"/>
      <c r="U52" s="456">
        <f>IF(F43=0,0,+U51/F43)</f>
        <v>5495.3699999999935</v>
      </c>
      <c r="V52" s="455"/>
      <c r="W52" s="457"/>
    </row>
    <row r="53" spans="9:11" ht="13.5" customHeight="1">
      <c r="I53" s="142"/>
      <c r="J53" s="142"/>
      <c r="K53" s="142"/>
    </row>
    <row r="54" spans="9:13" ht="13.5" customHeight="1">
      <c r="I54" s="142"/>
      <c r="J54" s="142"/>
      <c r="L54" s="4"/>
      <c r="M54" s="4"/>
    </row>
    <row r="55" spans="9:13" ht="13.5" customHeight="1">
      <c r="I55" s="142"/>
      <c r="J55" s="142"/>
      <c r="L55" s="4"/>
      <c r="M55" s="4"/>
    </row>
    <row r="56" spans="9:13" ht="13.5" customHeight="1">
      <c r="I56" s="142"/>
      <c r="J56" s="142"/>
      <c r="L56" s="4"/>
      <c r="M56" s="4"/>
    </row>
    <row r="57" spans="9:13" ht="13.5" customHeight="1">
      <c r="I57" s="142"/>
      <c r="J57" s="142"/>
      <c r="L57" s="4"/>
      <c r="M57" s="4"/>
    </row>
    <row r="58" spans="9:13" ht="13.5" customHeight="1">
      <c r="I58" s="142"/>
      <c r="J58" s="142"/>
      <c r="L58" s="4"/>
      <c r="M58" s="4"/>
    </row>
    <row r="59" spans="9:13" ht="13.5" customHeight="1">
      <c r="I59" s="142"/>
      <c r="J59" s="142"/>
      <c r="L59" s="4"/>
      <c r="M59" s="4"/>
    </row>
    <row r="60" spans="9:13" ht="13.5" customHeight="1">
      <c r="I60" s="142"/>
      <c r="J60" s="142"/>
      <c r="L60" s="4"/>
      <c r="M60" s="4"/>
    </row>
    <row r="61" spans="9:13" ht="13.5" customHeight="1">
      <c r="I61" s="142"/>
      <c r="J61" s="142"/>
      <c r="L61" s="134"/>
      <c r="M61" s="134"/>
    </row>
    <row r="62" spans="9:13" ht="13.5" customHeight="1">
      <c r="I62" s="142"/>
      <c r="J62" s="142"/>
      <c r="L62" s="134"/>
      <c r="M62" s="134"/>
    </row>
    <row r="63" spans="9:13" ht="13.5" customHeight="1">
      <c r="I63" s="142"/>
      <c r="J63" s="142"/>
      <c r="L63" s="4"/>
      <c r="M63" s="4"/>
    </row>
    <row r="64" spans="9:13" ht="13.5" customHeight="1">
      <c r="I64" s="142"/>
      <c r="J64" s="142"/>
      <c r="L64" s="4"/>
      <c r="M64" s="4"/>
    </row>
    <row r="65" spans="9:13" ht="13.5" customHeight="1">
      <c r="I65" s="142"/>
      <c r="J65" s="142"/>
      <c r="L65" s="4"/>
      <c r="M65" s="4"/>
    </row>
    <row r="66" spans="9:13" ht="13.5" customHeight="1">
      <c r="I66" s="142"/>
      <c r="J66" s="142"/>
      <c r="L66" s="4"/>
      <c r="M66" s="4"/>
    </row>
    <row r="67" spans="9:13" ht="13.5" customHeight="1">
      <c r="I67" s="142"/>
      <c r="J67" s="142"/>
      <c r="L67" s="4"/>
      <c r="M67" s="4"/>
    </row>
    <row r="68" spans="9:13" ht="13.5" customHeight="1">
      <c r="I68" s="142"/>
      <c r="J68" s="142"/>
      <c r="L68" s="4"/>
      <c r="M68" s="4"/>
    </row>
    <row r="69" spans="9:13" ht="13.5" customHeight="1">
      <c r="I69" s="142"/>
      <c r="J69" s="142"/>
      <c r="L69" s="4"/>
      <c r="M69" s="4"/>
    </row>
    <row r="70" spans="9:13" ht="13.5" customHeight="1">
      <c r="I70" s="142"/>
      <c r="J70" s="142"/>
      <c r="L70" s="4"/>
      <c r="M70" s="4"/>
    </row>
    <row r="71" spans="9:13" ht="13.5" customHeight="1">
      <c r="I71" s="142"/>
      <c r="J71" s="142"/>
      <c r="L71" s="4"/>
      <c r="M71" s="4"/>
    </row>
    <row r="72" spans="9:13" ht="13.5" customHeight="1">
      <c r="I72" s="142"/>
      <c r="J72" s="142"/>
      <c r="L72" s="4"/>
      <c r="M72" s="4"/>
    </row>
    <row r="73" spans="9:13" ht="13.5" customHeight="1">
      <c r="I73" s="142"/>
      <c r="J73" s="142"/>
      <c r="L73" s="4"/>
      <c r="M73" s="4"/>
    </row>
    <row r="74" spans="9:13" ht="13.5" customHeight="1">
      <c r="I74" s="142"/>
      <c r="J74" s="142"/>
      <c r="L74" s="4"/>
      <c r="M74" s="4"/>
    </row>
    <row r="75" spans="9:13" ht="13.5" customHeight="1">
      <c r="I75" s="142"/>
      <c r="J75" s="142"/>
      <c r="L75" s="4"/>
      <c r="M75" s="4"/>
    </row>
    <row r="76" spans="9:13" ht="13.5" customHeight="1">
      <c r="I76" s="142"/>
      <c r="J76" s="142"/>
      <c r="L76" s="4"/>
      <c r="M76" s="4"/>
    </row>
    <row r="77" spans="9:13" ht="13.5" customHeight="1">
      <c r="I77" s="142"/>
      <c r="J77" s="142"/>
      <c r="L77" s="4"/>
      <c r="M77" s="4"/>
    </row>
    <row r="78" spans="9:13" ht="13.5" customHeight="1">
      <c r="I78" s="142"/>
      <c r="J78" s="142"/>
      <c r="L78" s="4"/>
      <c r="M78" s="4"/>
    </row>
    <row r="79" spans="9:13" ht="13.5" customHeight="1">
      <c r="I79" s="142"/>
      <c r="J79" s="142"/>
      <c r="L79" s="4"/>
      <c r="M79" s="4"/>
    </row>
    <row r="80" spans="9:13" ht="13.5" customHeight="1">
      <c r="I80" s="142"/>
      <c r="J80" s="142"/>
      <c r="L80" s="4"/>
      <c r="M80" s="4"/>
    </row>
    <row r="81" spans="9:13" ht="13.5" customHeight="1">
      <c r="I81" s="142"/>
      <c r="J81" s="142"/>
      <c r="L81" s="4"/>
      <c r="M81" s="4"/>
    </row>
    <row r="82" spans="9:13" ht="13.5" customHeight="1">
      <c r="I82" s="142"/>
      <c r="J82" s="142"/>
      <c r="L82" s="4"/>
      <c r="M82" s="4"/>
    </row>
    <row r="83" spans="9:13" ht="13.5" customHeight="1">
      <c r="I83" s="142"/>
      <c r="J83" s="142"/>
      <c r="L83" s="4"/>
      <c r="M83" s="4"/>
    </row>
    <row r="84" spans="9:13" ht="13.5" customHeight="1">
      <c r="I84" s="142"/>
      <c r="J84" s="142"/>
      <c r="L84" s="4"/>
      <c r="M84" s="4"/>
    </row>
    <row r="85" spans="9:13" ht="13.5" customHeight="1">
      <c r="I85" s="142"/>
      <c r="J85" s="142"/>
      <c r="L85" s="4"/>
      <c r="M85" s="4"/>
    </row>
    <row r="86" spans="9:13" ht="13.5" customHeight="1">
      <c r="I86" s="142"/>
      <c r="J86" s="142"/>
      <c r="L86" s="4"/>
      <c r="M86" s="4"/>
    </row>
    <row r="87" spans="9:13" ht="13.5" customHeight="1">
      <c r="I87" s="142"/>
      <c r="J87" s="142"/>
      <c r="L87" s="4"/>
      <c r="M87" s="4"/>
    </row>
    <row r="88" spans="9:13" ht="13.5" customHeight="1">
      <c r="I88" s="142"/>
      <c r="J88" s="142"/>
      <c r="L88" s="4"/>
      <c r="M88" s="4"/>
    </row>
    <row r="89" spans="9:13" ht="13.5" customHeight="1">
      <c r="I89" s="142"/>
      <c r="J89" s="142"/>
      <c r="L89" s="4"/>
      <c r="M89" s="4"/>
    </row>
    <row r="90" spans="9:13" ht="13.5" customHeight="1">
      <c r="I90" s="142"/>
      <c r="J90" s="142"/>
      <c r="L90" s="4"/>
      <c r="M90" s="4"/>
    </row>
    <row r="91" spans="9:13" ht="13.5" customHeight="1">
      <c r="I91" s="142"/>
      <c r="J91" s="142"/>
      <c r="L91" s="4"/>
      <c r="M91" s="4"/>
    </row>
    <row r="92" spans="9:13" ht="13.5" customHeight="1">
      <c r="I92" s="142"/>
      <c r="J92" s="142"/>
      <c r="L92" s="4"/>
      <c r="M92" s="4"/>
    </row>
    <row r="93" spans="9:13" ht="13.5" customHeight="1">
      <c r="I93" s="142"/>
      <c r="J93" s="142"/>
      <c r="L93" s="4"/>
      <c r="M93" s="4"/>
    </row>
    <row r="94" spans="9:13" ht="13.5" customHeight="1">
      <c r="I94" s="142"/>
      <c r="J94" s="142"/>
      <c r="L94" s="4"/>
      <c r="M94" s="4"/>
    </row>
    <row r="95" spans="6:13" ht="13.5" customHeight="1">
      <c r="F95" s="150"/>
      <c r="G95" s="154"/>
      <c r="I95" s="142"/>
      <c r="J95" s="142"/>
      <c r="L95" s="4"/>
      <c r="M95" s="4"/>
    </row>
    <row r="96" spans="6:13" ht="13.5" customHeight="1">
      <c r="F96" s="150"/>
      <c r="G96" s="154"/>
      <c r="I96" s="142"/>
      <c r="J96" s="142"/>
      <c r="L96" s="4"/>
      <c r="M96" s="4"/>
    </row>
    <row r="97" spans="6:10" ht="13.5" customHeight="1">
      <c r="F97" s="150"/>
      <c r="G97" s="154"/>
      <c r="I97" s="142"/>
      <c r="J97" s="142"/>
    </row>
    <row r="98" spans="6:10" ht="13.5" customHeight="1">
      <c r="F98" s="150"/>
      <c r="G98" s="154"/>
      <c r="I98" s="142"/>
      <c r="J98" s="142"/>
    </row>
    <row r="99" spans="6:10" ht="13.5" customHeight="1">
      <c r="F99" s="149"/>
      <c r="G99" s="142"/>
      <c r="I99" s="142"/>
      <c r="J99" s="142"/>
    </row>
    <row r="100" spans="6:10" ht="13.5" customHeight="1">
      <c r="F100" s="150"/>
      <c r="G100" s="142"/>
      <c r="I100" s="142"/>
      <c r="J100" s="142"/>
    </row>
    <row r="101" spans="6:10" ht="13.5" customHeight="1">
      <c r="F101" s="136"/>
      <c r="I101" s="142"/>
      <c r="J101" s="142"/>
    </row>
    <row r="102" spans="9:10" ht="13.5" customHeight="1">
      <c r="I102" s="142"/>
      <c r="J102" s="142"/>
    </row>
    <row r="103" spans="9:10" ht="13.5" customHeight="1">
      <c r="I103" s="142"/>
      <c r="J103" s="142"/>
    </row>
  </sheetData>
  <sheetProtection password="DFB1" sheet="1"/>
  <mergeCells count="1">
    <mergeCell ref="F9:G9"/>
  </mergeCells>
  <dataValidations count="2">
    <dataValidation type="list" allowBlank="1" showInputMessage="1" showErrorMessage="1" sqref="F32">
      <formula1>#REF!</formula1>
    </dataValidation>
    <dataValidation type="list" allowBlank="1" showInputMessage="1" showErrorMessage="1" sqref="F28 F15">
      <formula1>$Y$2:$Y$45</formula1>
    </dataValidation>
  </dataValidations>
  <printOptions gridLines="1"/>
  <pageMargins left="0.7480314960629921" right="0.7480314960629921" top="0.984251968503937" bottom="0.984251968503937" header="0.5118110236220472" footer="0.5118110236220472"/>
  <pageSetup horizontalDpi="600" verticalDpi="600" orientation="portrait" paperSize="9" scale="85" r:id="rId2"/>
  <headerFooter alignWithMargins="0">
    <oddHeader>&amp;L&amp;"Arial,Vet"&amp;A&amp;C&amp;"Arial,Vet"&amp;D&amp;R&amp;"Arial,Vet"&amp;F</oddHeader>
    <oddFooter>&amp;L&amp;"Arial,Vet"&amp;8gemaakt door keizer, PO-Raad&amp;R&amp;"Arial,Vet"&amp;P</oddFooter>
  </headerFooter>
  <drawing r:id="rId1"/>
</worksheet>
</file>

<file path=xl/worksheets/sheet6.xml><?xml version="1.0" encoding="utf-8"?>
<worksheet xmlns="http://schemas.openxmlformats.org/spreadsheetml/2006/main" xmlns:r="http://schemas.openxmlformats.org/officeDocument/2006/relationships">
  <dimension ref="B2:W136"/>
  <sheetViews>
    <sheetView zoomScale="85" zoomScaleNormal="85" zoomScalePageLayoutView="0" workbookViewId="0" topLeftCell="A1">
      <selection activeCell="B2" sqref="B2"/>
    </sheetView>
  </sheetViews>
  <sheetFormatPr defaultColWidth="9.7109375" defaultRowHeight="13.5" customHeight="1"/>
  <cols>
    <col min="1" max="1" width="3.7109375" style="1" customWidth="1"/>
    <col min="2" max="2" width="2.7109375" style="1" customWidth="1"/>
    <col min="3" max="3" width="2.57421875" style="1" customWidth="1"/>
    <col min="4" max="4" width="45.7109375" style="1" customWidth="1"/>
    <col min="5" max="5" width="2.8515625" style="1" customWidth="1"/>
    <col min="6" max="7" width="14.8515625" style="1" customWidth="1"/>
    <col min="8" max="8" width="14.421875" style="1" customWidth="1"/>
    <col min="9" max="10" width="2.7109375" style="1" customWidth="1"/>
    <col min="11" max="49" width="10.7109375" style="1" customWidth="1"/>
    <col min="50" max="16384" width="9.7109375" style="1" customWidth="1"/>
  </cols>
  <sheetData>
    <row r="2" spans="2:10" ht="13.5" customHeight="1">
      <c r="B2" s="16"/>
      <c r="C2" s="17"/>
      <c r="D2" s="17"/>
      <c r="E2" s="17"/>
      <c r="F2" s="17"/>
      <c r="G2" s="17"/>
      <c r="H2" s="17"/>
      <c r="I2" s="17"/>
      <c r="J2" s="20"/>
    </row>
    <row r="3" spans="2:10" ht="13.5" customHeight="1">
      <c r="B3" s="21"/>
      <c r="C3" s="22"/>
      <c r="D3" s="22"/>
      <c r="E3" s="22"/>
      <c r="F3" s="22"/>
      <c r="G3" s="22"/>
      <c r="H3" s="22"/>
      <c r="I3" s="22"/>
      <c r="J3" s="25"/>
    </row>
    <row r="4" spans="2:10" s="8" customFormat="1" ht="18" customHeight="1">
      <c r="B4" s="39"/>
      <c r="C4" s="106" t="s">
        <v>304</v>
      </c>
      <c r="D4" s="121"/>
      <c r="E4" s="121"/>
      <c r="F4" s="108" t="str">
        <f>tabellen!B3</f>
        <v>2010/2011</v>
      </c>
      <c r="G4" s="106"/>
      <c r="H4" s="121"/>
      <c r="I4" s="121"/>
      <c r="J4" s="45"/>
    </row>
    <row r="5" spans="2:10" ht="13.5" customHeight="1">
      <c r="B5" s="21"/>
      <c r="C5" s="22"/>
      <c r="D5" s="38"/>
      <c r="E5" s="22"/>
      <c r="F5" s="22"/>
      <c r="G5" s="22"/>
      <c r="H5" s="22"/>
      <c r="I5" s="22"/>
      <c r="J5" s="25"/>
    </row>
    <row r="6" spans="2:10" ht="13.5" customHeight="1">
      <c r="B6" s="21"/>
      <c r="C6" s="22"/>
      <c r="D6" s="38"/>
      <c r="E6" s="22"/>
      <c r="F6" s="22"/>
      <c r="G6" s="22"/>
      <c r="H6" s="22"/>
      <c r="I6" s="22"/>
      <c r="J6" s="25"/>
    </row>
    <row r="7" spans="2:10" ht="13.5" customHeight="1">
      <c r="B7" s="21"/>
      <c r="C7" s="180"/>
      <c r="D7" s="274"/>
      <c r="E7" s="181"/>
      <c r="F7" s="181"/>
      <c r="G7" s="181"/>
      <c r="H7" s="181"/>
      <c r="I7" s="186"/>
      <c r="J7" s="25"/>
    </row>
    <row r="8" spans="2:10" ht="13.5" customHeight="1">
      <c r="B8" s="21"/>
      <c r="C8" s="195"/>
      <c r="D8" s="188" t="s">
        <v>175</v>
      </c>
      <c r="E8" s="192"/>
      <c r="F8" s="192"/>
      <c r="G8" s="192"/>
      <c r="H8" s="192"/>
      <c r="I8" s="194"/>
      <c r="J8" s="25"/>
    </row>
    <row r="9" spans="2:10" ht="13.5" customHeight="1">
      <c r="B9" s="21"/>
      <c r="C9" s="195"/>
      <c r="D9" s="203"/>
      <c r="E9" s="192"/>
      <c r="F9" s="192"/>
      <c r="G9" s="192"/>
      <c r="H9" s="192"/>
      <c r="I9" s="194"/>
      <c r="J9" s="25"/>
    </row>
    <row r="10" spans="2:15" ht="13.5" customHeight="1">
      <c r="B10" s="21"/>
      <c r="C10" s="187"/>
      <c r="D10" s="192" t="s">
        <v>132</v>
      </c>
      <c r="E10" s="192"/>
      <c r="F10" s="511" t="s">
        <v>32</v>
      </c>
      <c r="G10" s="511"/>
      <c r="H10" s="192"/>
      <c r="I10" s="194"/>
      <c r="J10" s="25"/>
      <c r="O10" s="5"/>
    </row>
    <row r="11" spans="2:15" ht="13.5" customHeight="1">
      <c r="B11" s="21"/>
      <c r="C11" s="187"/>
      <c r="D11" s="203"/>
      <c r="E11" s="192"/>
      <c r="F11" s="314"/>
      <c r="G11" s="314"/>
      <c r="H11" s="192"/>
      <c r="I11" s="194"/>
      <c r="J11" s="25"/>
      <c r="O11" s="5"/>
    </row>
    <row r="12" spans="2:15" ht="13.5" customHeight="1">
      <c r="B12" s="21"/>
      <c r="C12" s="187"/>
      <c r="D12" s="203" t="s">
        <v>23</v>
      </c>
      <c r="E12" s="192"/>
      <c r="F12" s="192"/>
      <c r="G12" s="192"/>
      <c r="H12" s="192"/>
      <c r="I12" s="194"/>
      <c r="J12" s="25"/>
      <c r="O12" s="5"/>
    </row>
    <row r="13" spans="2:10" ht="13.5" customHeight="1">
      <c r="B13" s="21"/>
      <c r="C13" s="187"/>
      <c r="D13" s="192" t="s">
        <v>21</v>
      </c>
      <c r="E13" s="192"/>
      <c r="F13" s="199" t="s">
        <v>0</v>
      </c>
      <c r="G13" s="192"/>
      <c r="H13" s="192"/>
      <c r="I13" s="194"/>
      <c r="J13" s="25"/>
    </row>
    <row r="14" spans="2:10" ht="13.5" customHeight="1">
      <c r="B14" s="21"/>
      <c r="C14" s="187"/>
      <c r="D14" s="192" t="s">
        <v>22</v>
      </c>
      <c r="E14" s="192"/>
      <c r="F14" s="199">
        <v>8</v>
      </c>
      <c r="G14" s="393" t="s">
        <v>163</v>
      </c>
      <c r="H14" s="394">
        <f>VLOOKUP(F13,salaristabellen,22,FALSE)</f>
        <v>16</v>
      </c>
      <c r="I14" s="194"/>
      <c r="J14" s="25"/>
    </row>
    <row r="15" spans="2:10" ht="13.5" customHeight="1">
      <c r="B15" s="21"/>
      <c r="C15" s="187"/>
      <c r="D15" s="192" t="s">
        <v>24</v>
      </c>
      <c r="E15" s="192"/>
      <c r="F15" s="460">
        <f>VLOOKUP(F13,salaristabellen,F14+1,FALSE)</f>
        <v>2659</v>
      </c>
      <c r="G15" s="192"/>
      <c r="H15" s="192"/>
      <c r="I15" s="194"/>
      <c r="J15" s="25"/>
    </row>
    <row r="16" spans="2:10" ht="13.5" customHeight="1">
      <c r="B16" s="21"/>
      <c r="C16" s="187"/>
      <c r="D16" s="203" t="s">
        <v>25</v>
      </c>
      <c r="E16" s="192"/>
      <c r="F16" s="395">
        <v>1</v>
      </c>
      <c r="G16" s="192"/>
      <c r="H16" s="192"/>
      <c r="I16" s="194"/>
      <c r="J16" s="25"/>
    </row>
    <row r="17" spans="2:10" ht="13.5" customHeight="1">
      <c r="B17" s="21"/>
      <c r="C17" s="187"/>
      <c r="D17" s="192" t="s">
        <v>26</v>
      </c>
      <c r="E17" s="192"/>
      <c r="F17" s="459">
        <f>+F15*F16</f>
        <v>2659</v>
      </c>
      <c r="G17" s="192"/>
      <c r="H17" s="192"/>
      <c r="I17" s="194"/>
      <c r="J17" s="25"/>
    </row>
    <row r="18" spans="2:10" ht="13.5" customHeight="1">
      <c r="B18" s="21"/>
      <c r="C18" s="187"/>
      <c r="D18" s="192"/>
      <c r="E18" s="192"/>
      <c r="F18" s="191"/>
      <c r="G18" s="192"/>
      <c r="H18" s="192"/>
      <c r="I18" s="194"/>
      <c r="J18" s="25"/>
    </row>
    <row r="19" spans="2:10" ht="13.5" customHeight="1">
      <c r="B19" s="21"/>
      <c r="C19" s="187"/>
      <c r="D19" s="203" t="s">
        <v>176</v>
      </c>
      <c r="E19" s="192"/>
      <c r="F19" s="191"/>
      <c r="G19" s="192"/>
      <c r="H19" s="192"/>
      <c r="I19" s="194"/>
      <c r="J19" s="25"/>
    </row>
    <row r="20" spans="2:10" ht="13.5" customHeight="1">
      <c r="B20" s="21"/>
      <c r="C20" s="187"/>
      <c r="D20" s="192" t="s">
        <v>177</v>
      </c>
      <c r="E20" s="192"/>
      <c r="F20" s="199" t="s">
        <v>131</v>
      </c>
      <c r="G20" s="192"/>
      <c r="H20" s="192"/>
      <c r="I20" s="194"/>
      <c r="J20" s="25"/>
    </row>
    <row r="21" spans="2:10" ht="13.5" customHeight="1">
      <c r="B21" s="21"/>
      <c r="C21" s="187"/>
      <c r="D21" s="192" t="s">
        <v>178</v>
      </c>
      <c r="E21" s="192"/>
      <c r="F21" s="199" t="s">
        <v>134</v>
      </c>
      <c r="G21" s="192"/>
      <c r="H21" s="192"/>
      <c r="I21" s="194"/>
      <c r="J21" s="25"/>
    </row>
    <row r="22" spans="2:13" ht="13.5" customHeight="1">
      <c r="B22" s="21"/>
      <c r="C22" s="187"/>
      <c r="D22" s="192" t="s">
        <v>179</v>
      </c>
      <c r="E22" s="192"/>
      <c r="F22" s="199" t="s">
        <v>134</v>
      </c>
      <c r="G22" s="193"/>
      <c r="H22" s="193"/>
      <c r="I22" s="396"/>
      <c r="J22" s="37"/>
      <c r="K22" s="3"/>
      <c r="L22" s="3"/>
      <c r="M22" s="3"/>
    </row>
    <row r="23" spans="2:13" ht="13.5" customHeight="1">
      <c r="B23" s="21"/>
      <c r="C23" s="187"/>
      <c r="D23" s="192" t="s">
        <v>180</v>
      </c>
      <c r="E23" s="192"/>
      <c r="F23" s="199">
        <v>1</v>
      </c>
      <c r="G23" s="193"/>
      <c r="H23" s="193"/>
      <c r="I23" s="396"/>
      <c r="J23" s="37"/>
      <c r="K23" s="3"/>
      <c r="L23" s="3"/>
      <c r="M23" s="3"/>
    </row>
    <row r="24" spans="2:13" ht="13.5" customHeight="1">
      <c r="B24" s="21"/>
      <c r="C24" s="187"/>
      <c r="D24" s="192"/>
      <c r="E24" s="192"/>
      <c r="F24" s="191"/>
      <c r="G24" s="193"/>
      <c r="H24" s="193"/>
      <c r="I24" s="396"/>
      <c r="J24" s="37"/>
      <c r="K24" s="3"/>
      <c r="L24" s="3"/>
      <c r="M24" s="3"/>
    </row>
    <row r="25" spans="2:13" ht="13.5" customHeight="1">
      <c r="B25" s="21"/>
      <c r="C25" s="187"/>
      <c r="D25" s="192" t="s">
        <v>181</v>
      </c>
      <c r="E25" s="192"/>
      <c r="F25" s="344">
        <f>IF(F14+F23&gt;H14,"verkeerde invoer",(VLOOKUP(F13,salaristabellen,F14+F23+1,FALSE)-VLOOKUP(F13,salaristabellen,F14+1,FALSE))*F16)</f>
        <v>65</v>
      </c>
      <c r="G25" s="193"/>
      <c r="H25" s="193"/>
      <c r="I25" s="396"/>
      <c r="J25" s="37"/>
      <c r="K25" s="3"/>
      <c r="L25" s="3"/>
      <c r="M25" s="3"/>
    </row>
    <row r="26" spans="2:13" ht="13.5" customHeight="1">
      <c r="B26" s="21"/>
      <c r="C26" s="187"/>
      <c r="D26" s="192" t="s">
        <v>169</v>
      </c>
      <c r="E26" s="192"/>
      <c r="F26" s="381">
        <v>0.55</v>
      </c>
      <c r="G26" s="193"/>
      <c r="H26" s="193"/>
      <c r="I26" s="396"/>
      <c r="J26" s="37"/>
      <c r="K26" s="3"/>
      <c r="L26" s="3"/>
      <c r="M26" s="3"/>
    </row>
    <row r="27" spans="2:13" ht="13.5" customHeight="1">
      <c r="B27" s="21"/>
      <c r="C27" s="187"/>
      <c r="D27" s="192" t="s">
        <v>170</v>
      </c>
      <c r="E27" s="192"/>
      <c r="F27" s="459">
        <f>+F25*12*(1+F26)</f>
        <v>1209</v>
      </c>
      <c r="G27" s="193"/>
      <c r="H27" s="193"/>
      <c r="I27" s="396"/>
      <c r="J27" s="37"/>
      <c r="K27" s="3"/>
      <c r="L27" s="3"/>
      <c r="M27" s="3"/>
    </row>
    <row r="28" spans="2:13" ht="13.5" customHeight="1">
      <c r="B28" s="21"/>
      <c r="C28" s="187"/>
      <c r="D28" s="192" t="s">
        <v>182</v>
      </c>
      <c r="E28" s="192"/>
      <c r="F28" s="399">
        <f>IF(F23=0,0,+(H14-F14))</f>
        <v>8</v>
      </c>
      <c r="G28" s="193"/>
      <c r="H28" s="193"/>
      <c r="I28" s="396"/>
      <c r="J28" s="37"/>
      <c r="K28" s="3"/>
      <c r="L28" s="3"/>
      <c r="M28" s="3"/>
    </row>
    <row r="29" spans="2:10" ht="13.5" customHeight="1">
      <c r="B29" s="21"/>
      <c r="C29" s="187"/>
      <c r="D29" s="192" t="s">
        <v>172</v>
      </c>
      <c r="E29" s="192"/>
      <c r="F29" s="400">
        <f>+U79*F16</f>
        <v>1429.875</v>
      </c>
      <c r="G29" s="225"/>
      <c r="H29" s="193"/>
      <c r="I29" s="396"/>
      <c r="J29" s="25"/>
    </row>
    <row r="30" spans="2:10" ht="13.5" customHeight="1">
      <c r="B30" s="21"/>
      <c r="C30" s="187"/>
      <c r="D30" s="192"/>
      <c r="E30" s="192"/>
      <c r="F30" s="401"/>
      <c r="G30" s="225"/>
      <c r="H30" s="193"/>
      <c r="I30" s="396"/>
      <c r="J30" s="25"/>
    </row>
    <row r="31" spans="2:10" ht="13.5" customHeight="1">
      <c r="B31" s="21"/>
      <c r="C31" s="187"/>
      <c r="D31" s="203" t="s">
        <v>183</v>
      </c>
      <c r="E31" s="192"/>
      <c r="F31" s="402">
        <f>+U78*F16</f>
        <v>11439</v>
      </c>
      <c r="G31" s="192"/>
      <c r="H31" s="193"/>
      <c r="I31" s="396"/>
      <c r="J31" s="25"/>
    </row>
    <row r="32" spans="2:10" ht="13.5" customHeight="1">
      <c r="B32" s="21"/>
      <c r="C32" s="239"/>
      <c r="D32" s="240"/>
      <c r="E32" s="240"/>
      <c r="F32" s="240"/>
      <c r="G32" s="240"/>
      <c r="H32" s="325"/>
      <c r="I32" s="397"/>
      <c r="J32" s="25"/>
    </row>
    <row r="33" spans="2:10" ht="13.5" customHeight="1">
      <c r="B33" s="21"/>
      <c r="C33" s="22"/>
      <c r="D33" s="22"/>
      <c r="E33" s="22"/>
      <c r="F33" s="22"/>
      <c r="G33" s="22"/>
      <c r="H33" s="26"/>
      <c r="I33" s="26"/>
      <c r="J33" s="25"/>
    </row>
    <row r="34" spans="2:10" ht="13.5" customHeight="1">
      <c r="B34" s="21"/>
      <c r="C34" s="180"/>
      <c r="D34" s="181"/>
      <c r="E34" s="181"/>
      <c r="F34" s="181"/>
      <c r="G34" s="181"/>
      <c r="H34" s="185"/>
      <c r="I34" s="398"/>
      <c r="J34" s="25"/>
    </row>
    <row r="35" spans="2:10" ht="13.5" customHeight="1">
      <c r="B35" s="21"/>
      <c r="C35" s="187"/>
      <c r="D35" s="311" t="s">
        <v>184</v>
      </c>
      <c r="E35" s="193"/>
      <c r="F35" s="193"/>
      <c r="G35" s="193"/>
      <c r="H35" s="193"/>
      <c r="I35" s="396"/>
      <c r="J35" s="25"/>
    </row>
    <row r="36" spans="2:10" ht="13.5" customHeight="1">
      <c r="B36" s="21"/>
      <c r="C36" s="187"/>
      <c r="D36" s="311"/>
      <c r="E36" s="193"/>
      <c r="F36" s="193"/>
      <c r="G36" s="193"/>
      <c r="H36" s="193"/>
      <c r="I36" s="396"/>
      <c r="J36" s="25"/>
    </row>
    <row r="37" spans="2:10" ht="13.5" customHeight="1">
      <c r="B37" s="21"/>
      <c r="C37" s="187"/>
      <c r="D37" s="193" t="s">
        <v>194</v>
      </c>
      <c r="E37" s="192"/>
      <c r="F37" s="313" t="s">
        <v>185</v>
      </c>
      <c r="G37" s="313"/>
      <c r="H37" s="314"/>
      <c r="I37" s="396"/>
      <c r="J37" s="25"/>
    </row>
    <row r="38" spans="2:10" ht="13.5" customHeight="1">
      <c r="B38" s="21"/>
      <c r="C38" s="187"/>
      <c r="D38" s="193"/>
      <c r="E38" s="192"/>
      <c r="F38" s="403"/>
      <c r="G38" s="314"/>
      <c r="H38" s="314"/>
      <c r="I38" s="396"/>
      <c r="J38" s="25"/>
    </row>
    <row r="39" spans="2:10" ht="13.5" customHeight="1">
      <c r="B39" s="21"/>
      <c r="C39" s="187"/>
      <c r="D39" s="351" t="s">
        <v>147</v>
      </c>
      <c r="E39" s="193"/>
      <c r="F39" s="193"/>
      <c r="G39" s="193"/>
      <c r="H39" s="193"/>
      <c r="I39" s="396"/>
      <c r="J39" s="25"/>
    </row>
    <row r="40" spans="2:10" ht="13.5" customHeight="1">
      <c r="B40" s="21"/>
      <c r="C40" s="187"/>
      <c r="D40" s="193" t="s">
        <v>148</v>
      </c>
      <c r="E40" s="193"/>
      <c r="F40" s="377">
        <v>500</v>
      </c>
      <c r="G40" s="193"/>
      <c r="H40" s="193"/>
      <c r="I40" s="396"/>
      <c r="J40" s="25"/>
    </row>
    <row r="41" spans="2:10" ht="13.5" customHeight="1">
      <c r="B41" s="21"/>
      <c r="C41" s="187"/>
      <c r="D41" s="193" t="s">
        <v>150</v>
      </c>
      <c r="E41" s="193"/>
      <c r="F41" s="381">
        <v>0.749</v>
      </c>
      <c r="G41" s="193"/>
      <c r="H41" s="193"/>
      <c r="I41" s="396"/>
      <c r="J41" s="25"/>
    </row>
    <row r="42" spans="2:10" ht="13.5" customHeight="1">
      <c r="B42" s="21"/>
      <c r="C42" s="187"/>
      <c r="D42" s="193" t="s">
        <v>186</v>
      </c>
      <c r="E42" s="193"/>
      <c r="F42" s="404">
        <f>ROUND(+F40*F41,0)</f>
        <v>375</v>
      </c>
      <c r="G42" s="193"/>
      <c r="H42" s="193"/>
      <c r="I42" s="396"/>
      <c r="J42" s="25"/>
    </row>
    <row r="43" spans="2:10" ht="13.5" customHeight="1">
      <c r="B43" s="21"/>
      <c r="C43" s="187"/>
      <c r="D43" s="193"/>
      <c r="E43" s="193"/>
      <c r="F43" s="227"/>
      <c r="G43" s="193"/>
      <c r="H43" s="193"/>
      <c r="I43" s="396"/>
      <c r="J43" s="25"/>
    </row>
    <row r="44" spans="2:10" ht="13.5" customHeight="1">
      <c r="B44" s="21"/>
      <c r="C44" s="187"/>
      <c r="D44" s="193" t="s">
        <v>187</v>
      </c>
      <c r="E44" s="193"/>
      <c r="F44" s="405">
        <v>0.02</v>
      </c>
      <c r="G44" s="193"/>
      <c r="H44" s="193"/>
      <c r="I44" s="406"/>
      <c r="J44" s="138"/>
    </row>
    <row r="45" spans="2:10" ht="13.5" customHeight="1">
      <c r="B45" s="21"/>
      <c r="C45" s="187"/>
      <c r="D45" s="193" t="s">
        <v>186</v>
      </c>
      <c r="E45" s="193"/>
      <c r="F45" s="385">
        <f>ROUND(+F42*F44,0)</f>
        <v>8</v>
      </c>
      <c r="G45" s="193"/>
      <c r="H45" s="193"/>
      <c r="I45" s="406"/>
      <c r="J45" s="138"/>
    </row>
    <row r="46" spans="2:10" ht="13.5" customHeight="1">
      <c r="B46" s="21"/>
      <c r="C46" s="187"/>
      <c r="D46" s="193" t="s">
        <v>188</v>
      </c>
      <c r="E46" s="193"/>
      <c r="F46" s="407">
        <v>2100</v>
      </c>
      <c r="G46" s="193"/>
      <c r="H46" s="193"/>
      <c r="I46" s="406"/>
      <c r="J46" s="138"/>
    </row>
    <row r="47" spans="2:10" ht="13.5" customHeight="1">
      <c r="B47" s="21"/>
      <c r="C47" s="187"/>
      <c r="D47" s="193"/>
      <c r="E47" s="193"/>
      <c r="F47" s="408"/>
      <c r="G47" s="193"/>
      <c r="H47" s="193"/>
      <c r="I47" s="406"/>
      <c r="J47" s="138"/>
    </row>
    <row r="48" spans="2:10" s="2" customFormat="1" ht="13.5" customHeight="1">
      <c r="B48" s="30"/>
      <c r="C48" s="195"/>
      <c r="D48" s="317" t="s">
        <v>189</v>
      </c>
      <c r="E48" s="317"/>
      <c r="F48" s="389">
        <f>+F45*F46</f>
        <v>16800</v>
      </c>
      <c r="G48" s="317"/>
      <c r="H48" s="317"/>
      <c r="I48" s="409"/>
      <c r="J48" s="139"/>
    </row>
    <row r="49" spans="2:10" ht="13.5" customHeight="1">
      <c r="B49" s="21"/>
      <c r="C49" s="239"/>
      <c r="D49" s="410"/>
      <c r="E49" s="325"/>
      <c r="F49" s="325"/>
      <c r="G49" s="325"/>
      <c r="H49" s="325"/>
      <c r="I49" s="411"/>
      <c r="J49" s="138"/>
    </row>
    <row r="50" spans="2:10" ht="13.5" customHeight="1">
      <c r="B50" s="21"/>
      <c r="C50" s="22"/>
      <c r="D50" s="22"/>
      <c r="E50" s="22"/>
      <c r="F50" s="22"/>
      <c r="G50" s="22"/>
      <c r="H50" s="22"/>
      <c r="I50" s="48"/>
      <c r="J50" s="138"/>
    </row>
    <row r="51" spans="2:10" ht="13.5" customHeight="1">
      <c r="B51" s="21"/>
      <c r="C51" s="22"/>
      <c r="D51" s="22"/>
      <c r="E51" s="22"/>
      <c r="F51" s="22"/>
      <c r="G51" s="22"/>
      <c r="H51" s="22"/>
      <c r="I51" s="48"/>
      <c r="J51" s="138"/>
    </row>
    <row r="52" spans="2:10" ht="13.5" customHeight="1">
      <c r="B52" s="103"/>
      <c r="C52" s="104"/>
      <c r="D52" s="104"/>
      <c r="E52" s="104"/>
      <c r="F52" s="104"/>
      <c r="G52" s="104"/>
      <c r="H52" s="104"/>
      <c r="I52" s="140" t="s">
        <v>295</v>
      </c>
      <c r="J52" s="141"/>
    </row>
    <row r="53" spans="2:10" ht="13.5" customHeight="1">
      <c r="B53" s="175"/>
      <c r="C53" s="175"/>
      <c r="D53" s="175"/>
      <c r="E53" s="175"/>
      <c r="F53" s="175"/>
      <c r="G53" s="175"/>
      <c r="H53" s="175"/>
      <c r="I53" s="177"/>
      <c r="J53" s="176"/>
    </row>
    <row r="54" spans="2:10" ht="13.5" customHeight="1">
      <c r="B54" s="175"/>
      <c r="C54" s="175"/>
      <c r="D54" s="175"/>
      <c r="E54" s="175"/>
      <c r="F54" s="175"/>
      <c r="G54" s="175"/>
      <c r="H54" s="175"/>
      <c r="I54" s="177"/>
      <c r="J54" s="176"/>
    </row>
    <row r="55" spans="9:14" ht="13.5" customHeight="1">
      <c r="I55" s="142"/>
      <c r="J55" s="142"/>
      <c r="N55" s="1" t="s">
        <v>190</v>
      </c>
    </row>
    <row r="56" spans="9:21" ht="13.5" customHeight="1">
      <c r="I56" s="142"/>
      <c r="J56" s="142"/>
      <c r="K56" s="4" t="s">
        <v>95</v>
      </c>
      <c r="L56" s="4"/>
      <c r="M56" s="4"/>
      <c r="N56" s="1" t="s">
        <v>21</v>
      </c>
      <c r="O56" s="1" t="s">
        <v>29</v>
      </c>
      <c r="P56" s="1" t="s">
        <v>28</v>
      </c>
      <c r="U56" s="1" t="s">
        <v>30</v>
      </c>
    </row>
    <row r="57" spans="9:23" ht="13.5" customHeight="1">
      <c r="I57" s="142"/>
      <c r="J57" s="142"/>
      <c r="K57" s="4" t="s">
        <v>88</v>
      </c>
      <c r="L57" s="4"/>
      <c r="M57" s="4"/>
      <c r="N57" s="1" t="str">
        <f aca="true" t="shared" si="0" ref="N57:N76">+$F$13</f>
        <v>LA</v>
      </c>
      <c r="O57" s="1">
        <f aca="true" t="shared" si="1" ref="O57:O76">+$F$14+$F$23+W57</f>
        <v>9</v>
      </c>
      <c r="P57" s="1">
        <f aca="true" t="shared" si="2" ref="P57:P76">+$F$14+W57</f>
        <v>8</v>
      </c>
      <c r="R57" s="6">
        <f aca="true" t="shared" si="3" ref="R57:R76">IF(O57&gt;$H$14,VLOOKUP($N57,salaristabellen,$H$14+1,FALSE),VLOOKUP($N57,salaristabellen,O57+1,FALSE))*12*(1+F$26)</f>
        <v>50666.4</v>
      </c>
      <c r="S57" s="6">
        <f aca="true" t="shared" si="4" ref="S57:S76">IF(P57&gt;$H$14,VLOOKUP($N57,salaristabellen,$H$14+1,FALSE),VLOOKUP($N57,salaristabellen,P57+1,FALSE))*12*(1+F$26)</f>
        <v>49457.4</v>
      </c>
      <c r="U57" s="6">
        <f>+R57-S57</f>
        <v>1209</v>
      </c>
      <c r="W57" s="1">
        <v>0</v>
      </c>
    </row>
    <row r="58" spans="9:23" ht="13.5" customHeight="1">
      <c r="I58" s="142"/>
      <c r="J58" s="142"/>
      <c r="K58" s="4" t="s">
        <v>89</v>
      </c>
      <c r="L58" s="4"/>
      <c r="M58" s="4"/>
      <c r="N58" s="1" t="str">
        <f t="shared" si="0"/>
        <v>LA</v>
      </c>
      <c r="O58" s="1">
        <f t="shared" si="1"/>
        <v>10</v>
      </c>
      <c r="P58" s="1">
        <f t="shared" si="2"/>
        <v>9</v>
      </c>
      <c r="R58" s="6">
        <f t="shared" si="3"/>
        <v>51912.6</v>
      </c>
      <c r="S58" s="6">
        <f t="shared" si="4"/>
        <v>50666.4</v>
      </c>
      <c r="U58" s="6">
        <f aca="true" t="shared" si="5" ref="U58:U76">+R58-S58</f>
        <v>1246.199999999997</v>
      </c>
      <c r="W58" s="1">
        <v>1</v>
      </c>
    </row>
    <row r="59" spans="9:23" ht="13.5" customHeight="1">
      <c r="I59" s="142"/>
      <c r="J59" s="142"/>
      <c r="K59" s="4" t="s">
        <v>90</v>
      </c>
      <c r="L59" s="4"/>
      <c r="M59" s="4"/>
      <c r="N59" s="1" t="str">
        <f t="shared" si="0"/>
        <v>LA</v>
      </c>
      <c r="O59" s="1">
        <f t="shared" si="1"/>
        <v>11</v>
      </c>
      <c r="P59" s="1">
        <f t="shared" si="2"/>
        <v>10</v>
      </c>
      <c r="R59" s="6">
        <f t="shared" si="3"/>
        <v>53214.6</v>
      </c>
      <c r="S59" s="6">
        <f t="shared" si="4"/>
        <v>51912.6</v>
      </c>
      <c r="U59" s="6">
        <f t="shared" si="5"/>
        <v>1302</v>
      </c>
      <c r="W59" s="1">
        <v>2</v>
      </c>
    </row>
    <row r="60" spans="9:23" ht="13.5" customHeight="1">
      <c r="I60" s="142"/>
      <c r="J60" s="142"/>
      <c r="K60" s="4" t="s">
        <v>91</v>
      </c>
      <c r="L60" s="4"/>
      <c r="M60" s="4"/>
      <c r="N60" s="1" t="str">
        <f t="shared" si="0"/>
        <v>LA</v>
      </c>
      <c r="O60" s="1">
        <f t="shared" si="1"/>
        <v>12</v>
      </c>
      <c r="P60" s="1">
        <f t="shared" si="2"/>
        <v>11</v>
      </c>
      <c r="R60" s="6">
        <f t="shared" si="3"/>
        <v>54628.200000000004</v>
      </c>
      <c r="S60" s="6">
        <f t="shared" si="4"/>
        <v>53214.6</v>
      </c>
      <c r="U60" s="6">
        <f t="shared" si="5"/>
        <v>1413.6000000000058</v>
      </c>
      <c r="W60" s="1">
        <v>3</v>
      </c>
    </row>
    <row r="61" spans="9:23" ht="13.5" customHeight="1">
      <c r="I61" s="142"/>
      <c r="J61" s="142"/>
      <c r="K61" s="4" t="s">
        <v>92</v>
      </c>
      <c r="L61" s="4"/>
      <c r="M61" s="4"/>
      <c r="N61" s="1" t="str">
        <f t="shared" si="0"/>
        <v>LA</v>
      </c>
      <c r="O61" s="1">
        <f t="shared" si="1"/>
        <v>13</v>
      </c>
      <c r="P61" s="1">
        <f t="shared" si="2"/>
        <v>12</v>
      </c>
      <c r="R61" s="6">
        <f t="shared" si="3"/>
        <v>56079</v>
      </c>
      <c r="S61" s="6">
        <f t="shared" si="4"/>
        <v>54628.200000000004</v>
      </c>
      <c r="U61" s="6">
        <f t="shared" si="5"/>
        <v>1450.7999999999956</v>
      </c>
      <c r="W61" s="1">
        <v>4</v>
      </c>
    </row>
    <row r="62" spans="9:23" ht="13.5" customHeight="1">
      <c r="I62" s="142"/>
      <c r="J62" s="142"/>
      <c r="K62" s="4" t="s">
        <v>93</v>
      </c>
      <c r="L62" s="4"/>
      <c r="M62" s="4"/>
      <c r="N62" s="1" t="str">
        <f t="shared" si="0"/>
        <v>LA</v>
      </c>
      <c r="O62" s="1">
        <f t="shared" si="1"/>
        <v>14</v>
      </c>
      <c r="P62" s="1">
        <f t="shared" si="2"/>
        <v>13</v>
      </c>
      <c r="R62" s="6">
        <f t="shared" si="3"/>
        <v>57678.6</v>
      </c>
      <c r="S62" s="6">
        <f t="shared" si="4"/>
        <v>56079</v>
      </c>
      <c r="U62" s="6">
        <f t="shared" si="5"/>
        <v>1599.5999999999985</v>
      </c>
      <c r="W62" s="1">
        <v>5</v>
      </c>
    </row>
    <row r="63" spans="9:23" ht="13.5" customHeight="1">
      <c r="I63" s="142"/>
      <c r="J63" s="142"/>
      <c r="K63" s="4" t="s">
        <v>94</v>
      </c>
      <c r="L63" s="134"/>
      <c r="M63" s="134"/>
      <c r="N63" s="1" t="str">
        <f t="shared" si="0"/>
        <v>LA</v>
      </c>
      <c r="O63" s="1">
        <f t="shared" si="1"/>
        <v>15</v>
      </c>
      <c r="P63" s="1">
        <f t="shared" si="2"/>
        <v>14</v>
      </c>
      <c r="R63" s="6">
        <f t="shared" si="3"/>
        <v>59482.8</v>
      </c>
      <c r="S63" s="6">
        <f t="shared" si="4"/>
        <v>57678.6</v>
      </c>
      <c r="U63" s="6">
        <f t="shared" si="5"/>
        <v>1804.2000000000044</v>
      </c>
      <c r="W63" s="1">
        <v>6</v>
      </c>
    </row>
    <row r="64" spans="9:23" ht="13.5" customHeight="1">
      <c r="I64" s="142"/>
      <c r="J64" s="142"/>
      <c r="K64" s="4" t="s">
        <v>3</v>
      </c>
      <c r="L64" s="134"/>
      <c r="M64" s="134"/>
      <c r="N64" s="1" t="str">
        <f t="shared" si="0"/>
        <v>LA</v>
      </c>
      <c r="O64" s="1">
        <f t="shared" si="1"/>
        <v>16</v>
      </c>
      <c r="P64" s="1">
        <f t="shared" si="2"/>
        <v>15</v>
      </c>
      <c r="R64" s="6">
        <f t="shared" si="3"/>
        <v>60896.4</v>
      </c>
      <c r="S64" s="6">
        <f t="shared" si="4"/>
        <v>59482.8</v>
      </c>
      <c r="U64" s="6">
        <f t="shared" si="5"/>
        <v>1413.5999999999985</v>
      </c>
      <c r="W64" s="1">
        <v>7</v>
      </c>
    </row>
    <row r="65" spans="9:23" ht="13.5" customHeight="1">
      <c r="I65" s="142"/>
      <c r="J65" s="142"/>
      <c r="K65" s="4" t="s">
        <v>4</v>
      </c>
      <c r="L65" s="4"/>
      <c r="M65" s="4"/>
      <c r="N65" s="1" t="str">
        <f t="shared" si="0"/>
        <v>LA</v>
      </c>
      <c r="O65" s="1">
        <f t="shared" si="1"/>
        <v>17</v>
      </c>
      <c r="P65" s="1">
        <f t="shared" si="2"/>
        <v>16</v>
      </c>
      <c r="R65" s="6">
        <f t="shared" si="3"/>
        <v>60896.4</v>
      </c>
      <c r="S65" s="6">
        <f t="shared" si="4"/>
        <v>60896.4</v>
      </c>
      <c r="U65" s="6">
        <f t="shared" si="5"/>
        <v>0</v>
      </c>
      <c r="W65" s="1">
        <v>8</v>
      </c>
    </row>
    <row r="66" spans="9:23" ht="13.5" customHeight="1">
      <c r="I66" s="142"/>
      <c r="J66" s="142"/>
      <c r="K66" s="4" t="s">
        <v>5</v>
      </c>
      <c r="L66" s="4"/>
      <c r="M66" s="4"/>
      <c r="N66" s="1" t="str">
        <f t="shared" si="0"/>
        <v>LA</v>
      </c>
      <c r="O66" s="1">
        <f t="shared" si="1"/>
        <v>18</v>
      </c>
      <c r="P66" s="1">
        <f t="shared" si="2"/>
        <v>17</v>
      </c>
      <c r="R66" s="6">
        <f t="shared" si="3"/>
        <v>60896.4</v>
      </c>
      <c r="S66" s="6">
        <f t="shared" si="4"/>
        <v>60896.4</v>
      </c>
      <c r="U66" s="6">
        <f t="shared" si="5"/>
        <v>0</v>
      </c>
      <c r="W66" s="1">
        <v>9</v>
      </c>
    </row>
    <row r="67" spans="9:23" ht="13.5" customHeight="1">
      <c r="I67" s="142"/>
      <c r="J67" s="142"/>
      <c r="K67" s="4" t="s">
        <v>6</v>
      </c>
      <c r="L67" s="4"/>
      <c r="M67" s="4"/>
      <c r="N67" s="1" t="str">
        <f t="shared" si="0"/>
        <v>LA</v>
      </c>
      <c r="O67" s="1">
        <f t="shared" si="1"/>
        <v>19</v>
      </c>
      <c r="P67" s="1">
        <f t="shared" si="2"/>
        <v>18</v>
      </c>
      <c r="R67" s="6">
        <f t="shared" si="3"/>
        <v>60896.4</v>
      </c>
      <c r="S67" s="6">
        <f t="shared" si="4"/>
        <v>60896.4</v>
      </c>
      <c r="U67" s="6">
        <f t="shared" si="5"/>
        <v>0</v>
      </c>
      <c r="W67" s="1">
        <v>10</v>
      </c>
    </row>
    <row r="68" spans="9:23" ht="13.5" customHeight="1">
      <c r="I68" s="142"/>
      <c r="J68" s="142"/>
      <c r="K68" s="4" t="s">
        <v>7</v>
      </c>
      <c r="L68" s="4"/>
      <c r="M68" s="4"/>
      <c r="N68" s="1" t="str">
        <f t="shared" si="0"/>
        <v>LA</v>
      </c>
      <c r="O68" s="1">
        <f t="shared" si="1"/>
        <v>20</v>
      </c>
      <c r="P68" s="1">
        <f t="shared" si="2"/>
        <v>19</v>
      </c>
      <c r="R68" s="6">
        <f t="shared" si="3"/>
        <v>60896.4</v>
      </c>
      <c r="S68" s="6">
        <f t="shared" si="4"/>
        <v>60896.4</v>
      </c>
      <c r="U68" s="6">
        <f t="shared" si="5"/>
        <v>0</v>
      </c>
      <c r="W68" s="1">
        <v>11</v>
      </c>
    </row>
    <row r="69" spans="9:23" ht="13.5" customHeight="1">
      <c r="I69" s="142"/>
      <c r="J69" s="142"/>
      <c r="K69" s="4" t="s">
        <v>8</v>
      </c>
      <c r="L69" s="4"/>
      <c r="M69" s="4"/>
      <c r="N69" s="1" t="str">
        <f t="shared" si="0"/>
        <v>LA</v>
      </c>
      <c r="O69" s="1">
        <f t="shared" si="1"/>
        <v>21</v>
      </c>
      <c r="P69" s="1">
        <f t="shared" si="2"/>
        <v>20</v>
      </c>
      <c r="R69" s="6">
        <f t="shared" si="3"/>
        <v>60896.4</v>
      </c>
      <c r="S69" s="6">
        <f t="shared" si="4"/>
        <v>60896.4</v>
      </c>
      <c r="U69" s="6">
        <f t="shared" si="5"/>
        <v>0</v>
      </c>
      <c r="W69" s="1">
        <v>12</v>
      </c>
    </row>
    <row r="70" spans="9:23" ht="13.5" customHeight="1">
      <c r="I70" s="142"/>
      <c r="J70" s="142"/>
      <c r="K70" s="4" t="s">
        <v>9</v>
      </c>
      <c r="L70" s="4"/>
      <c r="M70" s="4"/>
      <c r="N70" s="1" t="str">
        <f t="shared" si="0"/>
        <v>LA</v>
      </c>
      <c r="O70" s="1">
        <f t="shared" si="1"/>
        <v>22</v>
      </c>
      <c r="P70" s="1">
        <f t="shared" si="2"/>
        <v>21</v>
      </c>
      <c r="R70" s="6">
        <f t="shared" si="3"/>
        <v>60896.4</v>
      </c>
      <c r="S70" s="6">
        <f t="shared" si="4"/>
        <v>60896.4</v>
      </c>
      <c r="U70" s="6">
        <f t="shared" si="5"/>
        <v>0</v>
      </c>
      <c r="W70" s="1">
        <v>13</v>
      </c>
    </row>
    <row r="71" spans="9:23" ht="13.5" customHeight="1">
      <c r="I71" s="142"/>
      <c r="J71" s="142"/>
      <c r="K71" s="4" t="s">
        <v>10</v>
      </c>
      <c r="L71" s="4"/>
      <c r="M71" s="4"/>
      <c r="N71" s="1" t="str">
        <f t="shared" si="0"/>
        <v>LA</v>
      </c>
      <c r="O71" s="1">
        <f t="shared" si="1"/>
        <v>23</v>
      </c>
      <c r="P71" s="1">
        <f t="shared" si="2"/>
        <v>22</v>
      </c>
      <c r="R71" s="6">
        <f t="shared" si="3"/>
        <v>60896.4</v>
      </c>
      <c r="S71" s="6">
        <f t="shared" si="4"/>
        <v>60896.4</v>
      </c>
      <c r="U71" s="6">
        <f t="shared" si="5"/>
        <v>0</v>
      </c>
      <c r="W71" s="1">
        <v>14</v>
      </c>
    </row>
    <row r="72" spans="9:23" ht="13.5" customHeight="1">
      <c r="I72" s="142"/>
      <c r="J72" s="142"/>
      <c r="K72" s="4" t="s">
        <v>11</v>
      </c>
      <c r="L72" s="4"/>
      <c r="M72" s="4"/>
      <c r="N72" s="1" t="str">
        <f t="shared" si="0"/>
        <v>LA</v>
      </c>
      <c r="O72" s="1">
        <f t="shared" si="1"/>
        <v>24</v>
      </c>
      <c r="P72" s="1">
        <f t="shared" si="2"/>
        <v>23</v>
      </c>
      <c r="R72" s="6">
        <f t="shared" si="3"/>
        <v>60896.4</v>
      </c>
      <c r="S72" s="6">
        <f t="shared" si="4"/>
        <v>60896.4</v>
      </c>
      <c r="U72" s="6">
        <f t="shared" si="5"/>
        <v>0</v>
      </c>
      <c r="W72" s="1">
        <v>15</v>
      </c>
    </row>
    <row r="73" spans="9:23" ht="13.5" customHeight="1">
      <c r="I73" s="142"/>
      <c r="J73" s="142"/>
      <c r="K73" s="4" t="s">
        <v>12</v>
      </c>
      <c r="L73" s="4"/>
      <c r="M73" s="4"/>
      <c r="N73" s="1" t="str">
        <f t="shared" si="0"/>
        <v>LA</v>
      </c>
      <c r="O73" s="1">
        <f t="shared" si="1"/>
        <v>25</v>
      </c>
      <c r="P73" s="1">
        <f t="shared" si="2"/>
        <v>24</v>
      </c>
      <c r="R73" s="6">
        <f t="shared" si="3"/>
        <v>60896.4</v>
      </c>
      <c r="S73" s="6">
        <f t="shared" si="4"/>
        <v>60896.4</v>
      </c>
      <c r="U73" s="6">
        <f t="shared" si="5"/>
        <v>0</v>
      </c>
      <c r="W73" s="1">
        <v>16</v>
      </c>
    </row>
    <row r="74" spans="9:23" ht="13.5" customHeight="1">
      <c r="I74" s="142"/>
      <c r="J74" s="142"/>
      <c r="K74" s="4" t="s">
        <v>13</v>
      </c>
      <c r="L74" s="4"/>
      <c r="M74" s="4"/>
      <c r="N74" s="1" t="str">
        <f t="shared" si="0"/>
        <v>LA</v>
      </c>
      <c r="O74" s="1">
        <f t="shared" si="1"/>
        <v>26</v>
      </c>
      <c r="P74" s="1">
        <f t="shared" si="2"/>
        <v>25</v>
      </c>
      <c r="R74" s="6">
        <f t="shared" si="3"/>
        <v>60896.4</v>
      </c>
      <c r="S74" s="6">
        <f t="shared" si="4"/>
        <v>60896.4</v>
      </c>
      <c r="U74" s="6">
        <f t="shared" si="5"/>
        <v>0</v>
      </c>
      <c r="W74" s="1">
        <v>17</v>
      </c>
    </row>
    <row r="75" spans="9:23" ht="13.5" customHeight="1">
      <c r="I75" s="142"/>
      <c r="J75" s="142"/>
      <c r="K75" s="4" t="s">
        <v>14</v>
      </c>
      <c r="L75" s="4"/>
      <c r="M75" s="4"/>
      <c r="N75" s="1" t="str">
        <f t="shared" si="0"/>
        <v>LA</v>
      </c>
      <c r="O75" s="1">
        <f t="shared" si="1"/>
        <v>27</v>
      </c>
      <c r="P75" s="1">
        <f t="shared" si="2"/>
        <v>26</v>
      </c>
      <c r="R75" s="6">
        <f t="shared" si="3"/>
        <v>60896.4</v>
      </c>
      <c r="S75" s="6">
        <f t="shared" si="4"/>
        <v>60896.4</v>
      </c>
      <c r="U75" s="6">
        <f t="shared" si="5"/>
        <v>0</v>
      </c>
      <c r="W75" s="1">
        <v>18</v>
      </c>
    </row>
    <row r="76" spans="9:23" ht="13.5" customHeight="1">
      <c r="I76" s="142"/>
      <c r="J76" s="142"/>
      <c r="K76" s="4" t="s">
        <v>0</v>
      </c>
      <c r="L76" s="4"/>
      <c r="M76" s="4"/>
      <c r="N76" s="1" t="str">
        <f t="shared" si="0"/>
        <v>LA</v>
      </c>
      <c r="O76" s="1">
        <f t="shared" si="1"/>
        <v>28</v>
      </c>
      <c r="P76" s="1">
        <f t="shared" si="2"/>
        <v>27</v>
      </c>
      <c r="R76" s="6">
        <f t="shared" si="3"/>
        <v>60896.4</v>
      </c>
      <c r="S76" s="6">
        <f t="shared" si="4"/>
        <v>60896.4</v>
      </c>
      <c r="U76" s="6">
        <f t="shared" si="5"/>
        <v>0</v>
      </c>
      <c r="W76" s="1">
        <v>19</v>
      </c>
    </row>
    <row r="77" spans="9:13" ht="13.5" customHeight="1">
      <c r="I77" s="142"/>
      <c r="J77" s="142"/>
      <c r="K77" s="4" t="s">
        <v>15</v>
      </c>
      <c r="L77" s="4"/>
      <c r="M77" s="4"/>
    </row>
    <row r="78" spans="9:21" ht="13.5" customHeight="1">
      <c r="I78" s="142"/>
      <c r="J78" s="142"/>
      <c r="K78" s="4" t="s">
        <v>16</v>
      </c>
      <c r="L78" s="4"/>
      <c r="M78" s="4"/>
      <c r="U78" s="6">
        <f>SUM(U57:U76)</f>
        <v>11439</v>
      </c>
    </row>
    <row r="79" spans="9:21" ht="13.5" customHeight="1">
      <c r="I79" s="142"/>
      <c r="J79" s="142"/>
      <c r="K79" s="4" t="s">
        <v>17</v>
      </c>
      <c r="L79" s="4"/>
      <c r="M79" s="4"/>
      <c r="S79" s="1" t="s">
        <v>31</v>
      </c>
      <c r="U79" s="6">
        <f>IF(F28=0,0,+U78/F28)</f>
        <v>1429.875</v>
      </c>
    </row>
    <row r="80" spans="9:13" ht="13.5" customHeight="1">
      <c r="I80" s="142"/>
      <c r="J80" s="142"/>
      <c r="K80" s="4" t="s">
        <v>18</v>
      </c>
      <c r="L80" s="4"/>
      <c r="M80" s="4"/>
    </row>
    <row r="81" spans="9:13" ht="13.5" customHeight="1">
      <c r="I81" s="142"/>
      <c r="J81" s="142"/>
      <c r="K81" s="4" t="s">
        <v>19</v>
      </c>
      <c r="L81" s="4"/>
      <c r="M81" s="4"/>
    </row>
    <row r="82" spans="9:13" ht="13.5" customHeight="1">
      <c r="I82" s="142"/>
      <c r="J82" s="142"/>
      <c r="K82" s="4" t="s">
        <v>20</v>
      </c>
      <c r="L82" s="4"/>
      <c r="M82" s="4"/>
    </row>
    <row r="83" spans="9:13" ht="13.5" customHeight="1">
      <c r="I83" s="142"/>
      <c r="J83" s="142"/>
      <c r="K83" s="4">
        <v>1</v>
      </c>
      <c r="L83" s="4"/>
      <c r="M83" s="4"/>
    </row>
    <row r="84" spans="9:13" ht="13.5" customHeight="1">
      <c r="I84" s="142"/>
      <c r="J84" s="142"/>
      <c r="K84" s="4">
        <v>2</v>
      </c>
      <c r="L84" s="4"/>
      <c r="M84" s="4"/>
    </row>
    <row r="85" spans="9:13" ht="13.5" customHeight="1">
      <c r="I85" s="142"/>
      <c r="J85" s="142"/>
      <c r="K85" s="4">
        <v>3</v>
      </c>
      <c r="L85" s="4"/>
      <c r="M85" s="4"/>
    </row>
    <row r="86" spans="9:13" ht="13.5" customHeight="1">
      <c r="I86" s="142"/>
      <c r="J86" s="142"/>
      <c r="K86" s="4">
        <v>4</v>
      </c>
      <c r="L86" s="4"/>
      <c r="M86" s="4"/>
    </row>
    <row r="87" spans="6:13" ht="13.5" customHeight="1">
      <c r="F87" s="6"/>
      <c r="G87" s="6"/>
      <c r="I87" s="142"/>
      <c r="J87" s="142"/>
      <c r="K87" s="4">
        <v>5</v>
      </c>
      <c r="L87" s="4"/>
      <c r="M87" s="4"/>
    </row>
    <row r="88" spans="6:13" ht="13.5" customHeight="1">
      <c r="F88" s="6"/>
      <c r="G88" s="6"/>
      <c r="I88" s="142"/>
      <c r="J88" s="142"/>
      <c r="K88" s="4">
        <v>6</v>
      </c>
      <c r="L88" s="4"/>
      <c r="M88" s="4"/>
    </row>
    <row r="89" spans="6:13" ht="13.5" customHeight="1">
      <c r="F89" s="6"/>
      <c r="G89" s="6"/>
      <c r="I89" s="142"/>
      <c r="J89" s="142"/>
      <c r="K89" s="4">
        <v>7</v>
      </c>
      <c r="L89" s="4"/>
      <c r="M89" s="4"/>
    </row>
    <row r="90" spans="6:13" ht="13.5" customHeight="1">
      <c r="F90" s="6"/>
      <c r="G90" s="6"/>
      <c r="I90" s="142"/>
      <c r="J90" s="142"/>
      <c r="K90" s="4">
        <v>8</v>
      </c>
      <c r="L90" s="4"/>
      <c r="M90" s="4"/>
    </row>
    <row r="91" spans="6:13" ht="13.5" customHeight="1">
      <c r="F91" s="6"/>
      <c r="G91" s="6"/>
      <c r="I91" s="142"/>
      <c r="J91" s="142"/>
      <c r="K91" s="4">
        <v>9</v>
      </c>
      <c r="L91" s="4"/>
      <c r="M91" s="4"/>
    </row>
    <row r="92" spans="6:13" ht="13.5" customHeight="1">
      <c r="F92" s="6"/>
      <c r="G92" s="6"/>
      <c r="I92" s="142"/>
      <c r="J92" s="142"/>
      <c r="K92" s="4">
        <v>10</v>
      </c>
      <c r="L92" s="4"/>
      <c r="M92" s="4"/>
    </row>
    <row r="93" spans="6:13" ht="13.5" customHeight="1">
      <c r="F93" s="6"/>
      <c r="G93" s="6"/>
      <c r="I93" s="142"/>
      <c r="J93" s="142"/>
      <c r="K93" s="4">
        <v>11</v>
      </c>
      <c r="L93" s="4"/>
      <c r="M93" s="4"/>
    </row>
    <row r="94" spans="6:13" ht="13.5" customHeight="1">
      <c r="F94" s="6"/>
      <c r="G94" s="6"/>
      <c r="I94" s="142"/>
      <c r="J94" s="142"/>
      <c r="K94" s="4">
        <v>12</v>
      </c>
      <c r="L94" s="4"/>
      <c r="M94" s="4"/>
    </row>
    <row r="95" spans="6:13" ht="13.5" customHeight="1">
      <c r="F95" s="6"/>
      <c r="G95" s="6"/>
      <c r="I95" s="142"/>
      <c r="J95" s="142"/>
      <c r="K95" s="4">
        <v>13</v>
      </c>
      <c r="L95" s="4"/>
      <c r="M95" s="4"/>
    </row>
    <row r="96" spans="6:13" ht="13.5" customHeight="1">
      <c r="F96" s="148"/>
      <c r="G96" s="154"/>
      <c r="I96" s="142"/>
      <c r="J96" s="142"/>
      <c r="K96" s="4">
        <v>14</v>
      </c>
      <c r="L96" s="4"/>
      <c r="M96" s="4"/>
    </row>
    <row r="97" spans="6:13" ht="13.5" customHeight="1">
      <c r="F97" s="148"/>
      <c r="G97" s="154"/>
      <c r="I97" s="142"/>
      <c r="J97" s="142"/>
      <c r="K97" s="4" t="s">
        <v>96</v>
      </c>
      <c r="L97" s="4"/>
      <c r="M97" s="4"/>
    </row>
    <row r="98" spans="6:13" ht="13.5" customHeight="1">
      <c r="F98" s="148"/>
      <c r="G98" s="154"/>
      <c r="I98" s="142"/>
      <c r="J98" s="142"/>
      <c r="K98" s="4" t="s">
        <v>97</v>
      </c>
      <c r="L98" s="4"/>
      <c r="M98" s="4"/>
    </row>
    <row r="99" spans="6:13" ht="13.5" customHeight="1">
      <c r="F99" s="148"/>
      <c r="G99" s="154"/>
      <c r="I99" s="142"/>
      <c r="J99" s="142"/>
      <c r="K99" s="4" t="s">
        <v>98</v>
      </c>
      <c r="L99" s="4"/>
      <c r="M99" s="4"/>
    </row>
    <row r="100" spans="6:10" ht="13.5" customHeight="1">
      <c r="F100" s="147"/>
      <c r="G100" s="142"/>
      <c r="I100" s="142"/>
      <c r="J100" s="142"/>
    </row>
    <row r="101" spans="6:10" ht="13.5" customHeight="1">
      <c r="F101" s="148"/>
      <c r="G101" s="142"/>
      <c r="I101" s="142"/>
      <c r="J101" s="142"/>
    </row>
    <row r="102" spans="6:10" ht="13.5" customHeight="1">
      <c r="F102" s="135"/>
      <c r="G102" s="6"/>
      <c r="I102" s="142"/>
      <c r="J102" s="142"/>
    </row>
    <row r="103" spans="6:10" ht="13.5" customHeight="1">
      <c r="F103" s="6"/>
      <c r="G103" s="6"/>
      <c r="I103" s="142"/>
      <c r="J103" s="142"/>
    </row>
    <row r="104" spans="6:10" ht="13.5" customHeight="1">
      <c r="F104" s="6"/>
      <c r="G104" s="6"/>
      <c r="I104" s="142"/>
      <c r="J104" s="142"/>
    </row>
    <row r="105" spans="6:7" ht="13.5" customHeight="1">
      <c r="F105" s="6"/>
      <c r="G105" s="6"/>
    </row>
    <row r="106" spans="6:7" ht="13.5" customHeight="1">
      <c r="F106" s="6"/>
      <c r="G106" s="6"/>
    </row>
    <row r="117" spans="6:7" ht="13.5" customHeight="1">
      <c r="F117" s="6"/>
      <c r="G117" s="6"/>
    </row>
    <row r="118" spans="6:7" ht="13.5" customHeight="1">
      <c r="F118" s="6"/>
      <c r="G118" s="6"/>
    </row>
    <row r="119" spans="6:7" ht="13.5" customHeight="1">
      <c r="F119" s="6"/>
      <c r="G119" s="6"/>
    </row>
    <row r="120" spans="6:7" ht="13.5" customHeight="1">
      <c r="F120" s="6"/>
      <c r="G120" s="6"/>
    </row>
    <row r="121" spans="6:7" ht="13.5" customHeight="1">
      <c r="F121" s="6"/>
      <c r="G121" s="6"/>
    </row>
    <row r="122" spans="6:7" ht="13.5" customHeight="1">
      <c r="F122" s="6"/>
      <c r="G122" s="6"/>
    </row>
    <row r="123" spans="6:7" ht="13.5" customHeight="1">
      <c r="F123" s="6"/>
      <c r="G123" s="6"/>
    </row>
    <row r="124" spans="6:7" ht="13.5" customHeight="1">
      <c r="F124" s="6"/>
      <c r="G124" s="6"/>
    </row>
    <row r="125" spans="6:7" ht="13.5" customHeight="1">
      <c r="F125" s="6"/>
      <c r="G125" s="6"/>
    </row>
    <row r="126" spans="6:7" ht="13.5" customHeight="1">
      <c r="F126" s="6"/>
      <c r="G126" s="6"/>
    </row>
    <row r="127" spans="6:7" ht="13.5" customHeight="1">
      <c r="F127" s="6"/>
      <c r="G127" s="6"/>
    </row>
    <row r="128" spans="6:7" ht="13.5" customHeight="1">
      <c r="F128" s="6"/>
      <c r="G128" s="6"/>
    </row>
    <row r="129" spans="6:7" ht="13.5" customHeight="1">
      <c r="F129" s="6"/>
      <c r="G129" s="6"/>
    </row>
    <row r="130" spans="6:7" ht="13.5" customHeight="1">
      <c r="F130" s="6"/>
      <c r="G130" s="6"/>
    </row>
    <row r="131" spans="6:7" ht="13.5" customHeight="1">
      <c r="F131" s="6"/>
      <c r="G131" s="6"/>
    </row>
    <row r="132" spans="6:7" ht="13.5" customHeight="1">
      <c r="F132" s="6"/>
      <c r="G132" s="6"/>
    </row>
    <row r="133" spans="6:7" ht="13.5" customHeight="1">
      <c r="F133" s="6"/>
      <c r="G133" s="6"/>
    </row>
    <row r="134" spans="6:7" ht="13.5" customHeight="1">
      <c r="F134" s="6"/>
      <c r="G134" s="6"/>
    </row>
    <row r="135" spans="6:7" ht="13.5" customHeight="1">
      <c r="F135" s="6"/>
      <c r="G135" s="6"/>
    </row>
    <row r="136" spans="6:7" ht="13.5" customHeight="1">
      <c r="F136" s="6"/>
      <c r="G136" s="6"/>
    </row>
  </sheetData>
  <sheetProtection password="DFB1" sheet="1"/>
  <mergeCells count="1">
    <mergeCell ref="F10:G10"/>
  </mergeCells>
  <dataValidations count="3">
    <dataValidation type="list" allowBlank="1" showInputMessage="1" showErrorMessage="1" sqref="F13">
      <formula1>$K$56:$K$99</formula1>
    </dataValidation>
    <dataValidation type="list" allowBlank="1" showInputMessage="1" showErrorMessage="1" sqref="F20">
      <formula1>"ja: nee"</formula1>
    </dataValidation>
    <dataValidation type="list" allowBlank="1" showInputMessage="1" showErrorMessage="1" sqref="F21:F22">
      <formula1>"ja, nee"</formula1>
    </dataValidation>
  </dataValidations>
  <printOptions gridLines="1"/>
  <pageMargins left="0.7480314960629921" right="0.7480314960629921" top="0.984251968503937" bottom="0.984251968503937" header="0.5118110236220472" footer="0.5118110236220472"/>
  <pageSetup horizontalDpi="600" verticalDpi="600" orientation="portrait" paperSize="9" scale="65" r:id="rId4"/>
  <headerFooter alignWithMargins="0">
    <oddHeader>&amp;L&amp;"Arial,Vet"&amp;A&amp;C&amp;"Arial,Vet"&amp;D&amp;R&amp;"Arial,Vet"&amp;F</oddHeader>
    <oddFooter>&amp;L&amp;"Arial,Vet"&amp;8gemaakt door keizer, PO-Raad&amp;R&amp;"Arial,Vet"&amp;P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V118"/>
  <sheetViews>
    <sheetView zoomScale="85" zoomScaleNormal="85" zoomScalePageLayoutView="0" workbookViewId="0" topLeftCell="A1">
      <selection activeCell="A1" sqref="A1"/>
    </sheetView>
  </sheetViews>
  <sheetFormatPr defaultColWidth="9.140625" defaultRowHeight="12.75"/>
  <cols>
    <col min="1" max="1" width="30.8515625" style="57" customWidth="1"/>
    <col min="2" max="22" width="10.7109375" style="57" customWidth="1"/>
    <col min="23" max="16384" width="9.140625" style="57" customWidth="1"/>
  </cols>
  <sheetData>
    <row r="1" ht="12.75"/>
    <row r="2" spans="1:3" ht="12.75">
      <c r="A2" s="57" t="s">
        <v>312</v>
      </c>
      <c r="B2" s="430">
        <v>2010</v>
      </c>
      <c r="C2" s="443" t="s">
        <v>327</v>
      </c>
    </row>
    <row r="3" spans="1:2" ht="12.75">
      <c r="A3" s="57" t="s">
        <v>314</v>
      </c>
      <c r="B3" s="430" t="s">
        <v>313</v>
      </c>
    </row>
    <row r="4" ht="12.75"/>
    <row r="5" spans="1:21" ht="12.75">
      <c r="A5" s="54" t="s">
        <v>1</v>
      </c>
      <c r="B5" s="55">
        <v>40179</v>
      </c>
      <c r="C5" s="52"/>
      <c r="D5" s="52"/>
      <c r="E5" s="56"/>
      <c r="F5" s="52"/>
      <c r="J5" s="52"/>
      <c r="K5" s="52"/>
      <c r="L5" s="52"/>
      <c r="M5" s="52"/>
      <c r="N5" s="52"/>
      <c r="O5" s="58"/>
      <c r="P5" s="58"/>
      <c r="Q5" s="58"/>
      <c r="R5" s="58"/>
      <c r="S5" s="58"/>
      <c r="T5" s="58"/>
      <c r="U5" s="58"/>
    </row>
    <row r="6" spans="1:22" ht="12.75">
      <c r="A6" s="52" t="s">
        <v>2</v>
      </c>
      <c r="B6" s="59">
        <v>1</v>
      </c>
      <c r="C6" s="59">
        <v>2</v>
      </c>
      <c r="D6" s="59">
        <v>3</v>
      </c>
      <c r="E6" s="59">
        <v>4</v>
      </c>
      <c r="F6" s="59">
        <v>5</v>
      </c>
      <c r="G6" s="59">
        <v>6</v>
      </c>
      <c r="H6" s="59">
        <v>7</v>
      </c>
      <c r="I6" s="59">
        <v>8</v>
      </c>
      <c r="J6" s="59">
        <v>9</v>
      </c>
      <c r="K6" s="59">
        <v>10</v>
      </c>
      <c r="L6" s="59">
        <v>11</v>
      </c>
      <c r="M6" s="59">
        <v>12</v>
      </c>
      <c r="N6" s="59">
        <v>13</v>
      </c>
      <c r="O6" s="59">
        <v>14</v>
      </c>
      <c r="P6" s="59">
        <v>15</v>
      </c>
      <c r="Q6" s="59">
        <v>16</v>
      </c>
      <c r="R6" s="59">
        <v>17</v>
      </c>
      <c r="S6" s="59">
        <v>18</v>
      </c>
      <c r="T6" s="59">
        <v>19</v>
      </c>
      <c r="U6" s="59">
        <v>20</v>
      </c>
      <c r="V6" s="59" t="s">
        <v>27</v>
      </c>
    </row>
    <row r="7" spans="1:22" ht="12.75">
      <c r="A7" s="52" t="s">
        <v>95</v>
      </c>
      <c r="B7" s="50">
        <v>2605</v>
      </c>
      <c r="C7" s="50">
        <v>2707</v>
      </c>
      <c r="D7" s="50">
        <v>2811</v>
      </c>
      <c r="E7" s="50">
        <v>2912</v>
      </c>
      <c r="F7" s="50">
        <v>3014</v>
      </c>
      <c r="G7" s="50">
        <v>3118</v>
      </c>
      <c r="H7" s="50">
        <v>3220</v>
      </c>
      <c r="I7" s="50">
        <v>3323</v>
      </c>
      <c r="J7" s="50">
        <v>3424</v>
      </c>
      <c r="K7" s="50">
        <v>3527</v>
      </c>
      <c r="L7" s="50">
        <v>3631</v>
      </c>
      <c r="M7" s="50"/>
      <c r="N7" s="50"/>
      <c r="O7" s="50"/>
      <c r="P7" s="50"/>
      <c r="Q7" s="50"/>
      <c r="R7" s="50"/>
      <c r="S7" s="50"/>
      <c r="T7" s="50"/>
      <c r="U7" s="50"/>
      <c r="V7" s="60">
        <f>COUNTA(B7:U7)</f>
        <v>11</v>
      </c>
    </row>
    <row r="8" spans="1:22" ht="12.75">
      <c r="A8" s="52" t="s">
        <v>88</v>
      </c>
      <c r="B8" s="50">
        <v>2605</v>
      </c>
      <c r="C8" s="50">
        <v>2707</v>
      </c>
      <c r="D8" s="50">
        <v>2811</v>
      </c>
      <c r="E8" s="50">
        <v>2912</v>
      </c>
      <c r="F8" s="50">
        <v>3014</v>
      </c>
      <c r="G8" s="50">
        <v>3118</v>
      </c>
      <c r="H8" s="50">
        <v>3220</v>
      </c>
      <c r="I8" s="50">
        <v>3323</v>
      </c>
      <c r="J8" s="50">
        <v>3424</v>
      </c>
      <c r="K8" s="50">
        <v>3527</v>
      </c>
      <c r="L8" s="50">
        <v>3631</v>
      </c>
      <c r="M8" s="50">
        <v>3733</v>
      </c>
      <c r="N8" s="50">
        <v>3837</v>
      </c>
      <c r="O8" s="50"/>
      <c r="P8" s="50"/>
      <c r="Q8" s="50"/>
      <c r="R8" s="50"/>
      <c r="S8" s="50"/>
      <c r="T8" s="50"/>
      <c r="U8" s="50"/>
      <c r="V8" s="60">
        <f aca="true" t="shared" si="0" ref="V8:V50">COUNTA(B8:U8)</f>
        <v>13</v>
      </c>
    </row>
    <row r="9" spans="1:22" ht="12.75">
      <c r="A9" s="52" t="s">
        <v>89</v>
      </c>
      <c r="B9" s="50">
        <v>2707</v>
      </c>
      <c r="C9" s="50">
        <v>2912</v>
      </c>
      <c r="D9" s="50">
        <v>3118</v>
      </c>
      <c r="E9" s="50">
        <v>3220</v>
      </c>
      <c r="F9" s="50">
        <v>3323</v>
      </c>
      <c r="G9" s="50">
        <v>3424</v>
      </c>
      <c r="H9" s="50">
        <v>3527</v>
      </c>
      <c r="I9" s="50">
        <v>3631</v>
      </c>
      <c r="J9" s="50">
        <v>3733</v>
      </c>
      <c r="K9" s="50">
        <v>3837</v>
      </c>
      <c r="L9" s="50">
        <v>3940</v>
      </c>
      <c r="M9" s="50">
        <v>4041</v>
      </c>
      <c r="N9" s="50">
        <v>4144</v>
      </c>
      <c r="O9" s="50">
        <v>4245</v>
      </c>
      <c r="P9" s="50">
        <v>4350</v>
      </c>
      <c r="Q9" s="50"/>
      <c r="R9" s="50"/>
      <c r="S9" s="50"/>
      <c r="T9" s="50"/>
      <c r="U9" s="50"/>
      <c r="V9" s="60">
        <f t="shared" si="0"/>
        <v>15</v>
      </c>
    </row>
    <row r="10" spans="1:22" ht="12.75">
      <c r="A10" s="52" t="s">
        <v>90</v>
      </c>
      <c r="B10" s="50">
        <v>2707</v>
      </c>
      <c r="C10" s="50">
        <v>2912</v>
      </c>
      <c r="D10" s="50">
        <v>3118</v>
      </c>
      <c r="E10" s="50">
        <v>3220</v>
      </c>
      <c r="F10" s="50">
        <v>3323</v>
      </c>
      <c r="G10" s="50">
        <v>3424</v>
      </c>
      <c r="H10" s="50">
        <v>3527</v>
      </c>
      <c r="I10" s="50">
        <v>3631</v>
      </c>
      <c r="J10" s="50">
        <v>3733</v>
      </c>
      <c r="K10" s="50">
        <v>3837</v>
      </c>
      <c r="L10" s="50">
        <v>3940</v>
      </c>
      <c r="M10" s="50">
        <v>4041</v>
      </c>
      <c r="N10" s="50">
        <v>4144</v>
      </c>
      <c r="O10" s="50">
        <v>4245</v>
      </c>
      <c r="P10" s="50">
        <v>4350</v>
      </c>
      <c r="Q10" s="50">
        <v>4452</v>
      </c>
      <c r="R10" s="50">
        <v>4555</v>
      </c>
      <c r="S10" s="50"/>
      <c r="T10" s="50"/>
      <c r="U10" s="50"/>
      <c r="V10" s="60">
        <f t="shared" si="0"/>
        <v>17</v>
      </c>
    </row>
    <row r="11" spans="1:22" ht="12.75">
      <c r="A11" s="52" t="s">
        <v>91</v>
      </c>
      <c r="B11" s="50">
        <v>2707</v>
      </c>
      <c r="C11" s="50">
        <v>2912</v>
      </c>
      <c r="D11" s="50">
        <v>3118</v>
      </c>
      <c r="E11" s="50">
        <v>3220</v>
      </c>
      <c r="F11" s="50">
        <v>3323</v>
      </c>
      <c r="G11" s="50">
        <v>3424</v>
      </c>
      <c r="H11" s="50">
        <v>3527</v>
      </c>
      <c r="I11" s="50">
        <v>3631</v>
      </c>
      <c r="J11" s="50">
        <v>3733</v>
      </c>
      <c r="K11" s="50">
        <v>3837</v>
      </c>
      <c r="L11" s="50"/>
      <c r="M11" s="50"/>
      <c r="N11" s="50"/>
      <c r="O11" s="50"/>
      <c r="P11" s="50"/>
      <c r="Q11" s="50"/>
      <c r="R11" s="50"/>
      <c r="S11" s="50"/>
      <c r="T11" s="50"/>
      <c r="U11" s="50"/>
      <c r="V11" s="60">
        <f t="shared" si="0"/>
        <v>10</v>
      </c>
    </row>
    <row r="12" spans="1:22" ht="12.75">
      <c r="A12" s="52" t="s">
        <v>92</v>
      </c>
      <c r="B12" s="50">
        <v>2707</v>
      </c>
      <c r="C12" s="50">
        <v>2912</v>
      </c>
      <c r="D12" s="50">
        <v>3118</v>
      </c>
      <c r="E12" s="50">
        <v>3220</v>
      </c>
      <c r="F12" s="50">
        <v>3323</v>
      </c>
      <c r="G12" s="50">
        <v>3424</v>
      </c>
      <c r="H12" s="50">
        <v>3527</v>
      </c>
      <c r="I12" s="50">
        <v>3631</v>
      </c>
      <c r="J12" s="50">
        <v>3733</v>
      </c>
      <c r="K12" s="50">
        <v>3837</v>
      </c>
      <c r="L12" s="50">
        <v>3940</v>
      </c>
      <c r="M12" s="50"/>
      <c r="N12" s="50"/>
      <c r="O12" s="50"/>
      <c r="P12" s="50"/>
      <c r="Q12" s="50"/>
      <c r="R12" s="50"/>
      <c r="S12" s="50"/>
      <c r="T12" s="50"/>
      <c r="U12" s="50"/>
      <c r="V12" s="60">
        <f t="shared" si="0"/>
        <v>11</v>
      </c>
    </row>
    <row r="13" spans="1:22" ht="12.75">
      <c r="A13" s="52" t="s">
        <v>93</v>
      </c>
      <c r="B13" s="50">
        <v>2811</v>
      </c>
      <c r="C13" s="50">
        <v>3118</v>
      </c>
      <c r="D13" s="50">
        <v>3323</v>
      </c>
      <c r="E13" s="50">
        <v>3527</v>
      </c>
      <c r="F13" s="50">
        <v>3733</v>
      </c>
      <c r="G13" s="50">
        <v>3837</v>
      </c>
      <c r="H13" s="50">
        <v>3940</v>
      </c>
      <c r="I13" s="50">
        <v>4041</v>
      </c>
      <c r="J13" s="50">
        <v>4144</v>
      </c>
      <c r="K13" s="50">
        <v>4245</v>
      </c>
      <c r="L13" s="50">
        <v>4350</v>
      </c>
      <c r="M13" s="50">
        <v>4452</v>
      </c>
      <c r="N13" s="50">
        <v>4555</v>
      </c>
      <c r="O13" s="50"/>
      <c r="P13" s="50"/>
      <c r="Q13" s="50"/>
      <c r="R13" s="50"/>
      <c r="S13" s="50"/>
      <c r="T13" s="50"/>
      <c r="U13" s="50"/>
      <c r="V13" s="60">
        <f t="shared" si="0"/>
        <v>13</v>
      </c>
    </row>
    <row r="14" spans="1:22" ht="12.75">
      <c r="A14" s="52" t="s">
        <v>94</v>
      </c>
      <c r="B14" s="50">
        <v>2811</v>
      </c>
      <c r="C14" s="50">
        <v>3118</v>
      </c>
      <c r="D14" s="50">
        <v>3323</v>
      </c>
      <c r="E14" s="50">
        <v>3527</v>
      </c>
      <c r="F14" s="50">
        <v>3733</v>
      </c>
      <c r="G14" s="50">
        <v>3837</v>
      </c>
      <c r="H14" s="50">
        <v>3940</v>
      </c>
      <c r="I14" s="50">
        <v>4041</v>
      </c>
      <c r="J14" s="50">
        <v>4144</v>
      </c>
      <c r="K14" s="50">
        <v>4245</v>
      </c>
      <c r="L14" s="50">
        <v>4350</v>
      </c>
      <c r="M14" s="50">
        <v>4452</v>
      </c>
      <c r="N14" s="50">
        <v>4555</v>
      </c>
      <c r="O14" s="50">
        <v>4656</v>
      </c>
      <c r="P14" s="50">
        <v>4759</v>
      </c>
      <c r="Q14" s="50"/>
      <c r="R14" s="50"/>
      <c r="S14" s="50"/>
      <c r="T14" s="50"/>
      <c r="U14" s="50"/>
      <c r="V14" s="60">
        <f t="shared" si="0"/>
        <v>15</v>
      </c>
    </row>
    <row r="15" spans="1:22" ht="12.75">
      <c r="A15" s="61" t="s">
        <v>3</v>
      </c>
      <c r="B15" s="50">
        <v>2605</v>
      </c>
      <c r="C15" s="50">
        <v>2707</v>
      </c>
      <c r="D15" s="50">
        <v>2811</v>
      </c>
      <c r="E15" s="50">
        <v>2912</v>
      </c>
      <c r="F15" s="50">
        <v>3014</v>
      </c>
      <c r="G15" s="50">
        <v>3118</v>
      </c>
      <c r="H15" s="50">
        <v>3220</v>
      </c>
      <c r="I15" s="50">
        <v>3323</v>
      </c>
      <c r="J15" s="50">
        <v>3424</v>
      </c>
      <c r="K15" s="50">
        <v>3527</v>
      </c>
      <c r="L15" s="50">
        <v>3631</v>
      </c>
      <c r="M15" s="50">
        <v>3733</v>
      </c>
      <c r="N15" s="50">
        <v>3837</v>
      </c>
      <c r="O15" s="50"/>
      <c r="P15" s="50"/>
      <c r="Q15" s="50"/>
      <c r="R15" s="50"/>
      <c r="S15" s="50"/>
      <c r="T15" s="50"/>
      <c r="U15" s="50"/>
      <c r="V15" s="60">
        <f t="shared" si="0"/>
        <v>13</v>
      </c>
    </row>
    <row r="16" spans="1:22" ht="12.75">
      <c r="A16" s="61" t="s">
        <v>4</v>
      </c>
      <c r="B16" s="50">
        <v>2707</v>
      </c>
      <c r="C16" s="50">
        <v>2912</v>
      </c>
      <c r="D16" s="50">
        <v>3118</v>
      </c>
      <c r="E16" s="50">
        <v>3220</v>
      </c>
      <c r="F16" s="50">
        <v>3323</v>
      </c>
      <c r="G16" s="50">
        <v>3424</v>
      </c>
      <c r="H16" s="50">
        <v>3527</v>
      </c>
      <c r="I16" s="50">
        <v>3631</v>
      </c>
      <c r="J16" s="50">
        <v>3733</v>
      </c>
      <c r="K16" s="50">
        <v>3837</v>
      </c>
      <c r="L16" s="50">
        <v>3940</v>
      </c>
      <c r="M16" s="50">
        <v>4041</v>
      </c>
      <c r="N16" s="50">
        <v>4144</v>
      </c>
      <c r="O16" s="50">
        <v>4245</v>
      </c>
      <c r="P16" s="50">
        <v>4350</v>
      </c>
      <c r="Q16" s="50"/>
      <c r="R16" s="50"/>
      <c r="S16" s="50"/>
      <c r="T16" s="50"/>
      <c r="U16" s="50"/>
      <c r="V16" s="60">
        <f t="shared" si="0"/>
        <v>15</v>
      </c>
    </row>
    <row r="17" spans="1:22" ht="12.75">
      <c r="A17" s="61" t="s">
        <v>5</v>
      </c>
      <c r="B17" s="50">
        <v>2707</v>
      </c>
      <c r="C17" s="50">
        <v>2912</v>
      </c>
      <c r="D17" s="50">
        <v>3118</v>
      </c>
      <c r="E17" s="50">
        <v>3220</v>
      </c>
      <c r="F17" s="50">
        <v>3323</v>
      </c>
      <c r="G17" s="50">
        <v>3424</v>
      </c>
      <c r="H17" s="50">
        <v>3527</v>
      </c>
      <c r="I17" s="50">
        <v>3631</v>
      </c>
      <c r="J17" s="50">
        <v>3733</v>
      </c>
      <c r="K17" s="50">
        <v>3837</v>
      </c>
      <c r="L17" s="50">
        <v>3940</v>
      </c>
      <c r="M17" s="50">
        <v>4041</v>
      </c>
      <c r="N17" s="50">
        <v>4144</v>
      </c>
      <c r="O17" s="50">
        <v>4245</v>
      </c>
      <c r="P17" s="50">
        <v>4350</v>
      </c>
      <c r="Q17" s="50">
        <v>4452</v>
      </c>
      <c r="R17" s="50">
        <v>4555</v>
      </c>
      <c r="S17" s="50"/>
      <c r="T17" s="50"/>
      <c r="U17" s="50"/>
      <c r="V17" s="60">
        <f t="shared" si="0"/>
        <v>17</v>
      </c>
    </row>
    <row r="18" spans="1:22" ht="12.75">
      <c r="A18" s="61" t="s">
        <v>6</v>
      </c>
      <c r="B18" s="50">
        <v>2811</v>
      </c>
      <c r="C18" s="50">
        <v>3118</v>
      </c>
      <c r="D18" s="50">
        <v>3323</v>
      </c>
      <c r="E18" s="50">
        <v>3527</v>
      </c>
      <c r="F18" s="50">
        <v>3733</v>
      </c>
      <c r="G18" s="50">
        <v>3837</v>
      </c>
      <c r="H18" s="50">
        <v>3940</v>
      </c>
      <c r="I18" s="50">
        <v>4041</v>
      </c>
      <c r="J18" s="50">
        <v>4144</v>
      </c>
      <c r="K18" s="50">
        <v>4245</v>
      </c>
      <c r="L18" s="50">
        <v>4350</v>
      </c>
      <c r="M18" s="50">
        <v>4452</v>
      </c>
      <c r="N18" s="50">
        <v>4555</v>
      </c>
      <c r="O18" s="50">
        <v>4656</v>
      </c>
      <c r="P18" s="50">
        <v>4759</v>
      </c>
      <c r="Q18" s="50">
        <v>4863</v>
      </c>
      <c r="R18" s="50"/>
      <c r="S18" s="50"/>
      <c r="T18" s="50"/>
      <c r="U18" s="50"/>
      <c r="V18" s="60">
        <f t="shared" si="0"/>
        <v>16</v>
      </c>
    </row>
    <row r="19" spans="1:22" ht="12.75">
      <c r="A19" s="61" t="s">
        <v>7</v>
      </c>
      <c r="B19" s="50">
        <v>2811</v>
      </c>
      <c r="C19" s="50">
        <v>3118</v>
      </c>
      <c r="D19" s="50">
        <v>3323</v>
      </c>
      <c r="E19" s="50">
        <v>3527</v>
      </c>
      <c r="F19" s="50">
        <v>3733</v>
      </c>
      <c r="G19" s="50">
        <v>3837</v>
      </c>
      <c r="H19" s="50">
        <v>3940</v>
      </c>
      <c r="I19" s="50">
        <v>4041</v>
      </c>
      <c r="J19" s="50">
        <v>4144</v>
      </c>
      <c r="K19" s="50">
        <v>4245</v>
      </c>
      <c r="L19" s="50">
        <v>4350</v>
      </c>
      <c r="M19" s="50">
        <v>4452</v>
      </c>
      <c r="N19" s="50">
        <v>4555</v>
      </c>
      <c r="O19" s="50">
        <v>4656</v>
      </c>
      <c r="P19" s="50">
        <v>4759</v>
      </c>
      <c r="Q19" s="50">
        <v>4863</v>
      </c>
      <c r="R19" s="50">
        <v>4965</v>
      </c>
      <c r="S19" s="50">
        <v>5067</v>
      </c>
      <c r="T19" s="50"/>
      <c r="U19" s="50"/>
      <c r="V19" s="60">
        <f t="shared" si="0"/>
        <v>18</v>
      </c>
    </row>
    <row r="20" spans="1:22" ht="12.75">
      <c r="A20" s="61" t="s">
        <v>8</v>
      </c>
      <c r="B20" s="50">
        <v>2854</v>
      </c>
      <c r="C20" s="50">
        <v>3067</v>
      </c>
      <c r="D20" s="50">
        <v>3285</v>
      </c>
      <c r="E20" s="50">
        <v>3494</v>
      </c>
      <c r="F20" s="50">
        <v>3725</v>
      </c>
      <c r="G20" s="50">
        <v>3837</v>
      </c>
      <c r="H20" s="50">
        <v>3944</v>
      </c>
      <c r="I20" s="50">
        <v>4053</v>
      </c>
      <c r="J20" s="50">
        <v>4157</v>
      </c>
      <c r="K20" s="50">
        <v>4269</v>
      </c>
      <c r="L20" s="50">
        <v>4377</v>
      </c>
      <c r="M20" s="50">
        <v>4482</v>
      </c>
      <c r="N20" s="50">
        <v>4590</v>
      </c>
      <c r="O20" s="50">
        <v>4726</v>
      </c>
      <c r="P20" s="50">
        <v>4862</v>
      </c>
      <c r="Q20" s="50">
        <v>4997</v>
      </c>
      <c r="R20" s="50">
        <v>5133</v>
      </c>
      <c r="S20" s="50">
        <v>5198</v>
      </c>
      <c r="T20" s="50"/>
      <c r="U20" s="50"/>
      <c r="V20" s="60">
        <f t="shared" si="0"/>
        <v>18</v>
      </c>
    </row>
    <row r="21" spans="1:22" ht="12.75">
      <c r="A21" s="61" t="s">
        <v>9</v>
      </c>
      <c r="B21" s="50">
        <v>2961</v>
      </c>
      <c r="C21" s="50">
        <v>3182</v>
      </c>
      <c r="D21" s="50">
        <v>3390</v>
      </c>
      <c r="E21" s="50">
        <v>3609</v>
      </c>
      <c r="F21" s="50">
        <v>3837</v>
      </c>
      <c r="G21" s="50">
        <v>4053</v>
      </c>
      <c r="H21" s="50">
        <v>4269</v>
      </c>
      <c r="I21" s="50">
        <v>4377</v>
      </c>
      <c r="J21" s="50">
        <v>4482</v>
      </c>
      <c r="K21" s="50">
        <v>4590</v>
      </c>
      <c r="L21" s="50">
        <v>4726</v>
      </c>
      <c r="M21" s="50">
        <v>4862</v>
      </c>
      <c r="N21" s="50">
        <v>4997</v>
      </c>
      <c r="O21" s="50">
        <v>5133</v>
      </c>
      <c r="P21" s="50">
        <v>5270</v>
      </c>
      <c r="Q21" s="50">
        <v>5414</v>
      </c>
      <c r="R21" s="50">
        <v>5561</v>
      </c>
      <c r="S21" s="50">
        <v>5713</v>
      </c>
      <c r="T21" s="50"/>
      <c r="U21" s="50"/>
      <c r="V21" s="60">
        <f t="shared" si="0"/>
        <v>18</v>
      </c>
    </row>
    <row r="22" spans="1:22" ht="12.75">
      <c r="A22" s="61" t="s">
        <v>10</v>
      </c>
      <c r="B22" s="50">
        <v>2332</v>
      </c>
      <c r="C22" s="50">
        <v>2439</v>
      </c>
      <c r="D22" s="50">
        <v>2549</v>
      </c>
      <c r="E22" s="50">
        <v>2666</v>
      </c>
      <c r="F22" s="50">
        <v>2797</v>
      </c>
      <c r="G22" s="50">
        <v>2908</v>
      </c>
      <c r="H22" s="50">
        <v>3022</v>
      </c>
      <c r="I22" s="50">
        <v>3129</v>
      </c>
      <c r="J22" s="50">
        <v>3235</v>
      </c>
      <c r="K22" s="50">
        <v>3353</v>
      </c>
      <c r="L22" s="50">
        <v>3456</v>
      </c>
      <c r="M22" s="50"/>
      <c r="N22" s="50"/>
      <c r="O22" s="50"/>
      <c r="P22" s="50"/>
      <c r="Q22" s="50"/>
      <c r="R22" s="50"/>
      <c r="S22" s="50"/>
      <c r="T22" s="50"/>
      <c r="U22" s="50"/>
      <c r="V22" s="60">
        <f t="shared" si="0"/>
        <v>11</v>
      </c>
    </row>
    <row r="23" spans="1:22" ht="12.75">
      <c r="A23" s="61" t="s">
        <v>11</v>
      </c>
      <c r="B23" s="50">
        <v>2385</v>
      </c>
      <c r="C23" s="50">
        <v>2493</v>
      </c>
      <c r="D23" s="50">
        <v>2611</v>
      </c>
      <c r="E23" s="50">
        <v>2741</v>
      </c>
      <c r="F23" s="50">
        <v>2852</v>
      </c>
      <c r="G23" s="50">
        <v>2966</v>
      </c>
      <c r="H23" s="50">
        <v>3072</v>
      </c>
      <c r="I23" s="50">
        <v>3179</v>
      </c>
      <c r="J23" s="50">
        <v>3294</v>
      </c>
      <c r="K23" s="50">
        <v>3400</v>
      </c>
      <c r="L23" s="50">
        <v>3503</v>
      </c>
      <c r="M23" s="50">
        <v>3608</v>
      </c>
      <c r="N23" s="50">
        <v>3723</v>
      </c>
      <c r="O23" s="50"/>
      <c r="P23" s="50"/>
      <c r="Q23" s="50"/>
      <c r="R23" s="50"/>
      <c r="S23" s="50"/>
      <c r="T23" s="50"/>
      <c r="U23" s="50"/>
      <c r="V23" s="60">
        <f t="shared" si="0"/>
        <v>13</v>
      </c>
    </row>
    <row r="24" spans="1:22" ht="12.75">
      <c r="A24" s="61" t="s">
        <v>12</v>
      </c>
      <c r="B24" s="50">
        <v>2436</v>
      </c>
      <c r="C24" s="50">
        <v>2556</v>
      </c>
      <c r="D24" s="50">
        <v>2683</v>
      </c>
      <c r="E24" s="50">
        <v>2797</v>
      </c>
      <c r="F24" s="50">
        <v>2909</v>
      </c>
      <c r="G24" s="50">
        <v>3018</v>
      </c>
      <c r="H24" s="50">
        <v>3123</v>
      </c>
      <c r="I24" s="50">
        <v>3240</v>
      </c>
      <c r="J24" s="50">
        <v>3344</v>
      </c>
      <c r="K24" s="50">
        <v>3449</v>
      </c>
      <c r="L24" s="50">
        <v>3554</v>
      </c>
      <c r="M24" s="50">
        <v>3669</v>
      </c>
      <c r="N24" s="50">
        <v>3786</v>
      </c>
      <c r="O24" s="50">
        <v>3897</v>
      </c>
      <c r="P24" s="50">
        <v>4006</v>
      </c>
      <c r="Q24" s="50">
        <v>4114</v>
      </c>
      <c r="R24" s="50">
        <v>4220</v>
      </c>
      <c r="S24" s="50">
        <v>4275</v>
      </c>
      <c r="T24" s="50"/>
      <c r="U24" s="50"/>
      <c r="V24" s="60">
        <f t="shared" si="0"/>
        <v>18</v>
      </c>
    </row>
    <row r="25" spans="1:22" ht="12.75">
      <c r="A25" s="61" t="s">
        <v>13</v>
      </c>
      <c r="B25" s="50">
        <v>2556</v>
      </c>
      <c r="C25" s="50">
        <v>2683</v>
      </c>
      <c r="D25" s="50">
        <v>2909</v>
      </c>
      <c r="E25" s="50">
        <v>3123</v>
      </c>
      <c r="F25" s="50">
        <v>3240</v>
      </c>
      <c r="G25" s="50">
        <v>3344</v>
      </c>
      <c r="H25" s="50">
        <v>3449</v>
      </c>
      <c r="I25" s="50">
        <v>3554</v>
      </c>
      <c r="J25" s="50">
        <v>3669</v>
      </c>
      <c r="K25" s="50">
        <v>3786</v>
      </c>
      <c r="L25" s="50">
        <v>3897</v>
      </c>
      <c r="M25" s="50">
        <v>4006</v>
      </c>
      <c r="N25" s="50">
        <v>4114</v>
      </c>
      <c r="O25" s="50">
        <v>4220</v>
      </c>
      <c r="P25" s="50">
        <v>4331</v>
      </c>
      <c r="Q25" s="50">
        <v>4441</v>
      </c>
      <c r="R25" s="50">
        <v>4545</v>
      </c>
      <c r="S25" s="50">
        <v>4655</v>
      </c>
      <c r="T25" s="50">
        <v>4792</v>
      </c>
      <c r="U25" s="50">
        <v>4859</v>
      </c>
      <c r="V25" s="60">
        <f t="shared" si="0"/>
        <v>20</v>
      </c>
    </row>
    <row r="26" spans="1:22" ht="12.75">
      <c r="A26" s="61" t="s">
        <v>14</v>
      </c>
      <c r="B26" s="50">
        <v>2683</v>
      </c>
      <c r="C26" s="50">
        <v>2909</v>
      </c>
      <c r="D26" s="50">
        <v>3123</v>
      </c>
      <c r="E26" s="50">
        <v>3344</v>
      </c>
      <c r="F26" s="50">
        <v>3554</v>
      </c>
      <c r="G26" s="50">
        <v>2616</v>
      </c>
      <c r="H26" s="50">
        <v>3897</v>
      </c>
      <c r="I26" s="50">
        <v>4006</v>
      </c>
      <c r="J26" s="50">
        <v>4114</v>
      </c>
      <c r="K26" s="50">
        <v>4220</v>
      </c>
      <c r="L26" s="50">
        <v>4331</v>
      </c>
      <c r="M26" s="50">
        <v>4441</v>
      </c>
      <c r="N26" s="50">
        <v>4545</v>
      </c>
      <c r="O26" s="50">
        <v>4655</v>
      </c>
      <c r="P26" s="50">
        <v>4792</v>
      </c>
      <c r="Q26" s="50">
        <v>4927</v>
      </c>
      <c r="R26" s="50">
        <v>5064</v>
      </c>
      <c r="S26" s="50">
        <v>5201</v>
      </c>
      <c r="T26" s="50">
        <v>5266</v>
      </c>
      <c r="U26" s="50"/>
      <c r="V26" s="60">
        <f t="shared" si="0"/>
        <v>19</v>
      </c>
    </row>
    <row r="27" spans="1:22" ht="12.75">
      <c r="A27" s="61" t="s">
        <v>0</v>
      </c>
      <c r="B27" s="50">
        <v>2290</v>
      </c>
      <c r="C27" s="50">
        <v>2336</v>
      </c>
      <c r="D27" s="50">
        <v>2386</v>
      </c>
      <c r="E27" s="50">
        <v>2436</v>
      </c>
      <c r="F27" s="50">
        <v>2486</v>
      </c>
      <c r="G27" s="50">
        <v>2542</v>
      </c>
      <c r="H27" s="50">
        <v>2598</v>
      </c>
      <c r="I27" s="50">
        <v>2659</v>
      </c>
      <c r="J27" s="50">
        <v>2724</v>
      </c>
      <c r="K27" s="50">
        <v>2791</v>
      </c>
      <c r="L27" s="50">
        <v>2861</v>
      </c>
      <c r="M27" s="50">
        <v>2937</v>
      </c>
      <c r="N27" s="50">
        <v>3015</v>
      </c>
      <c r="O27" s="50">
        <v>3101</v>
      </c>
      <c r="P27" s="50">
        <v>3198</v>
      </c>
      <c r="Q27" s="50">
        <v>3274</v>
      </c>
      <c r="R27" s="50"/>
      <c r="S27" s="50"/>
      <c r="T27" s="50"/>
      <c r="U27" s="50"/>
      <c r="V27" s="60">
        <f t="shared" si="0"/>
        <v>16</v>
      </c>
    </row>
    <row r="28" spans="1:22" ht="12.75">
      <c r="A28" s="61" t="s">
        <v>15</v>
      </c>
      <c r="B28" s="50">
        <v>2374</v>
      </c>
      <c r="C28" s="50">
        <v>2431</v>
      </c>
      <c r="D28" s="50">
        <v>2495</v>
      </c>
      <c r="E28" s="50">
        <v>2557</v>
      </c>
      <c r="F28" s="50">
        <v>2619</v>
      </c>
      <c r="G28" s="50">
        <v>2685</v>
      </c>
      <c r="H28" s="50">
        <v>2760</v>
      </c>
      <c r="I28" s="50">
        <v>2839</v>
      </c>
      <c r="J28" s="50">
        <v>2923</v>
      </c>
      <c r="K28" s="50">
        <v>3011</v>
      </c>
      <c r="L28" s="50">
        <v>3105</v>
      </c>
      <c r="M28" s="50">
        <v>3203</v>
      </c>
      <c r="N28" s="50">
        <v>3308</v>
      </c>
      <c r="O28" s="50">
        <v>3412</v>
      </c>
      <c r="P28" s="50">
        <v>3520</v>
      </c>
      <c r="Q28" s="50">
        <v>3597</v>
      </c>
      <c r="R28" s="50"/>
      <c r="S28" s="50"/>
      <c r="T28" s="50"/>
      <c r="U28" s="50"/>
      <c r="V28" s="60">
        <f t="shared" si="0"/>
        <v>16</v>
      </c>
    </row>
    <row r="29" spans="1:22" ht="12.75">
      <c r="A29" s="61" t="s">
        <v>16</v>
      </c>
      <c r="B29" s="50">
        <v>2387</v>
      </c>
      <c r="C29" s="50">
        <v>2503</v>
      </c>
      <c r="D29" s="50">
        <v>2621</v>
      </c>
      <c r="E29" s="50">
        <v>2736</v>
      </c>
      <c r="F29" s="50">
        <v>2852</v>
      </c>
      <c r="G29" s="50">
        <v>2971</v>
      </c>
      <c r="H29" s="50">
        <v>3090</v>
      </c>
      <c r="I29" s="50">
        <v>3212</v>
      </c>
      <c r="J29" s="50">
        <v>3335</v>
      </c>
      <c r="K29" s="50">
        <v>3459</v>
      </c>
      <c r="L29" s="50">
        <v>3585</v>
      </c>
      <c r="M29" s="50">
        <v>3712</v>
      </c>
      <c r="N29" s="50">
        <v>3840</v>
      </c>
      <c r="O29" s="50">
        <v>3971</v>
      </c>
      <c r="P29" s="50">
        <v>4102</v>
      </c>
      <c r="Q29" s="50">
        <v>4197</v>
      </c>
      <c r="R29" s="50"/>
      <c r="S29" s="50"/>
      <c r="T29" s="50"/>
      <c r="U29" s="50"/>
      <c r="V29" s="60">
        <f t="shared" si="0"/>
        <v>16</v>
      </c>
    </row>
    <row r="30" spans="1:22" ht="12.75">
      <c r="A30" s="61" t="s">
        <v>17</v>
      </c>
      <c r="B30" s="50">
        <v>2396</v>
      </c>
      <c r="C30" s="50">
        <v>2540</v>
      </c>
      <c r="D30" s="50">
        <v>2685</v>
      </c>
      <c r="E30" s="50">
        <v>2832</v>
      </c>
      <c r="F30" s="50">
        <v>2979</v>
      </c>
      <c r="G30" s="50">
        <v>3131</v>
      </c>
      <c r="H30" s="50">
        <v>3283</v>
      </c>
      <c r="I30" s="50">
        <v>3441</v>
      </c>
      <c r="J30" s="50">
        <v>3602</v>
      </c>
      <c r="K30" s="50">
        <v>3765</v>
      </c>
      <c r="L30" s="50">
        <v>3933</v>
      </c>
      <c r="M30" s="50">
        <v>4102</v>
      </c>
      <c r="N30" s="50">
        <v>4276</v>
      </c>
      <c r="O30" s="50">
        <v>4454</v>
      </c>
      <c r="P30" s="50">
        <v>4635</v>
      </c>
      <c r="Q30" s="50">
        <v>4775</v>
      </c>
      <c r="R30" s="50"/>
      <c r="S30" s="50"/>
      <c r="T30" s="50"/>
      <c r="U30" s="50"/>
      <c r="V30" s="60">
        <f t="shared" si="0"/>
        <v>16</v>
      </c>
    </row>
    <row r="31" spans="1:22" ht="12.75">
      <c r="A31" s="61" t="s">
        <v>18</v>
      </c>
      <c r="B31" s="50">
        <v>3083</v>
      </c>
      <c r="C31" s="50">
        <v>3200</v>
      </c>
      <c r="D31" s="50">
        <v>3304</v>
      </c>
      <c r="E31" s="50">
        <v>3514</v>
      </c>
      <c r="F31" s="50">
        <v>3746</v>
      </c>
      <c r="G31" s="50">
        <v>3879</v>
      </c>
      <c r="H31" s="50">
        <v>4014</v>
      </c>
      <c r="I31" s="50">
        <v>4150</v>
      </c>
      <c r="J31" s="50">
        <v>4283</v>
      </c>
      <c r="K31" s="50">
        <v>4418</v>
      </c>
      <c r="L31" s="50">
        <v>4553</v>
      </c>
      <c r="M31" s="50">
        <v>4686</v>
      </c>
      <c r="N31" s="50">
        <v>4822</v>
      </c>
      <c r="O31" s="50">
        <v>4958</v>
      </c>
      <c r="P31" s="50">
        <v>5091</v>
      </c>
      <c r="Q31" s="50">
        <v>5178</v>
      </c>
      <c r="R31" s="50"/>
      <c r="S31" s="50"/>
      <c r="T31" s="50"/>
      <c r="U31" s="50"/>
      <c r="V31" s="60">
        <f t="shared" si="0"/>
        <v>16</v>
      </c>
    </row>
    <row r="32" spans="1:22" ht="12.75">
      <c r="A32" s="52">
        <v>1</v>
      </c>
      <c r="B32" s="50">
        <v>1416</v>
      </c>
      <c r="C32" s="50">
        <v>1477</v>
      </c>
      <c r="D32" s="50">
        <v>1538</v>
      </c>
      <c r="E32" s="50">
        <v>1566</v>
      </c>
      <c r="F32" s="50">
        <v>1598</v>
      </c>
      <c r="G32" s="50">
        <v>1631</v>
      </c>
      <c r="H32" s="50">
        <v>1674</v>
      </c>
      <c r="I32" s="50"/>
      <c r="J32" s="50"/>
      <c r="K32" s="50"/>
      <c r="L32" s="50"/>
      <c r="M32" s="50"/>
      <c r="N32" s="50"/>
      <c r="O32" s="50"/>
      <c r="P32" s="50"/>
      <c r="Q32" s="50"/>
      <c r="R32" s="50"/>
      <c r="S32" s="50"/>
      <c r="T32" s="50"/>
      <c r="U32" s="50"/>
      <c r="V32" s="60">
        <f t="shared" si="0"/>
        <v>7</v>
      </c>
    </row>
    <row r="33" spans="1:22" ht="12.75">
      <c r="A33" s="52">
        <v>2</v>
      </c>
      <c r="B33" s="50">
        <v>1449</v>
      </c>
      <c r="C33" s="50">
        <v>1508</v>
      </c>
      <c r="D33" s="50">
        <v>1566</v>
      </c>
      <c r="E33" s="50">
        <v>1631</v>
      </c>
      <c r="F33" s="50">
        <v>1674</v>
      </c>
      <c r="G33" s="50">
        <v>1723</v>
      </c>
      <c r="H33" s="50">
        <v>1783</v>
      </c>
      <c r="I33" s="50">
        <v>1840</v>
      </c>
      <c r="J33" s="50"/>
      <c r="K33" s="50"/>
      <c r="L33" s="50"/>
      <c r="M33" s="50"/>
      <c r="N33" s="50"/>
      <c r="O33" s="50"/>
      <c r="P33" s="50"/>
      <c r="Q33" s="50"/>
      <c r="R33" s="50"/>
      <c r="S33" s="50"/>
      <c r="T33" s="50"/>
      <c r="U33" s="50"/>
      <c r="V33" s="60">
        <f t="shared" si="0"/>
        <v>8</v>
      </c>
    </row>
    <row r="34" spans="1:22" ht="12.75">
      <c r="A34" s="52">
        <v>3</v>
      </c>
      <c r="B34" s="50">
        <v>1449</v>
      </c>
      <c r="C34" s="50">
        <v>1566</v>
      </c>
      <c r="D34" s="50">
        <v>1631</v>
      </c>
      <c r="E34" s="50">
        <v>1723</v>
      </c>
      <c r="F34" s="50">
        <v>1783</v>
      </c>
      <c r="G34" s="50">
        <v>1840</v>
      </c>
      <c r="H34" s="50">
        <v>1896</v>
      </c>
      <c r="I34" s="50">
        <v>1950</v>
      </c>
      <c r="J34" s="50">
        <v>2004</v>
      </c>
      <c r="K34" s="50"/>
      <c r="L34" s="50"/>
      <c r="M34" s="50"/>
      <c r="N34" s="50"/>
      <c r="O34" s="50"/>
      <c r="P34" s="50"/>
      <c r="Q34" s="50"/>
      <c r="R34" s="50"/>
      <c r="S34" s="50"/>
      <c r="T34" s="50"/>
      <c r="U34" s="50"/>
      <c r="V34" s="60">
        <f t="shared" si="0"/>
        <v>9</v>
      </c>
    </row>
    <row r="35" spans="1:22" ht="12.75">
      <c r="A35" s="52">
        <v>4</v>
      </c>
      <c r="B35" s="50">
        <v>1477</v>
      </c>
      <c r="C35" s="50">
        <v>1538</v>
      </c>
      <c r="D35" s="50">
        <v>1598</v>
      </c>
      <c r="E35" s="50">
        <v>1674</v>
      </c>
      <c r="F35" s="50">
        <v>1783</v>
      </c>
      <c r="G35" s="50">
        <v>1840</v>
      </c>
      <c r="H35" s="50">
        <v>1896</v>
      </c>
      <c r="I35" s="50">
        <v>1950</v>
      </c>
      <c r="J35" s="50">
        <v>2004</v>
      </c>
      <c r="K35" s="50">
        <v>2056</v>
      </c>
      <c r="L35" s="50">
        <v>2108</v>
      </c>
      <c r="M35" s="50"/>
      <c r="N35" s="50"/>
      <c r="O35" s="50"/>
      <c r="P35" s="50"/>
      <c r="Q35" s="50"/>
      <c r="R35" s="50"/>
      <c r="S35" s="50"/>
      <c r="T35" s="50"/>
      <c r="U35" s="50"/>
      <c r="V35" s="60">
        <f t="shared" si="0"/>
        <v>11</v>
      </c>
    </row>
    <row r="36" spans="1:22" ht="12.75">
      <c r="A36" s="52">
        <v>5</v>
      </c>
      <c r="B36" s="50">
        <v>1508</v>
      </c>
      <c r="C36" s="50">
        <v>1538</v>
      </c>
      <c r="D36" s="50">
        <v>1631</v>
      </c>
      <c r="E36" s="50">
        <v>1723</v>
      </c>
      <c r="F36" s="50">
        <v>1840</v>
      </c>
      <c r="G36" s="50">
        <v>1896</v>
      </c>
      <c r="H36" s="50">
        <v>1950</v>
      </c>
      <c r="I36" s="50">
        <v>2004</v>
      </c>
      <c r="J36" s="50">
        <v>2056</v>
      </c>
      <c r="K36" s="50">
        <v>2108</v>
      </c>
      <c r="L36" s="50">
        <v>2158</v>
      </c>
      <c r="M36" s="50">
        <v>2216</v>
      </c>
      <c r="N36" s="50"/>
      <c r="O36" s="50"/>
      <c r="P36" s="50"/>
      <c r="Q36" s="50"/>
      <c r="R36" s="50"/>
      <c r="S36" s="50"/>
      <c r="T36" s="50"/>
      <c r="U36" s="50"/>
      <c r="V36" s="60">
        <f t="shared" si="0"/>
        <v>12</v>
      </c>
    </row>
    <row r="37" spans="1:22" ht="12.75">
      <c r="A37" s="52">
        <v>6</v>
      </c>
      <c r="B37" s="50">
        <v>1566</v>
      </c>
      <c r="C37" s="50">
        <v>1631</v>
      </c>
      <c r="D37" s="50">
        <v>1840</v>
      </c>
      <c r="E37" s="50">
        <v>1950</v>
      </c>
      <c r="F37" s="50">
        <v>2004</v>
      </c>
      <c r="G37" s="50">
        <v>2056</v>
      </c>
      <c r="H37" s="50">
        <v>2108</v>
      </c>
      <c r="I37" s="50">
        <v>2158</v>
      </c>
      <c r="J37" s="50">
        <v>2216</v>
      </c>
      <c r="K37" s="50">
        <v>2270</v>
      </c>
      <c r="L37" s="50">
        <v>2322</v>
      </c>
      <c r="M37" s="50"/>
      <c r="N37" s="50"/>
      <c r="O37" s="50"/>
      <c r="P37" s="50"/>
      <c r="Q37" s="50"/>
      <c r="R37" s="50"/>
      <c r="S37" s="50"/>
      <c r="T37" s="50"/>
      <c r="U37" s="50"/>
      <c r="V37" s="60">
        <f t="shared" si="0"/>
        <v>11</v>
      </c>
    </row>
    <row r="38" spans="1:22" ht="12.75">
      <c r="A38" s="52">
        <v>7</v>
      </c>
      <c r="B38" s="50">
        <v>1674</v>
      </c>
      <c r="C38" s="50">
        <v>1723</v>
      </c>
      <c r="D38" s="50">
        <v>1840</v>
      </c>
      <c r="E38" s="50">
        <v>2056</v>
      </c>
      <c r="F38" s="50">
        <v>2158</v>
      </c>
      <c r="G38" s="50">
        <v>2216</v>
      </c>
      <c r="H38" s="50">
        <v>2270</v>
      </c>
      <c r="I38" s="50">
        <v>2322</v>
      </c>
      <c r="J38" s="50">
        <v>2376</v>
      </c>
      <c r="K38" s="50">
        <v>2434</v>
      </c>
      <c r="L38" s="50">
        <v>2494</v>
      </c>
      <c r="M38" s="50">
        <v>2560</v>
      </c>
      <c r="N38" s="50"/>
      <c r="O38" s="50"/>
      <c r="P38" s="50"/>
      <c r="Q38" s="50"/>
      <c r="R38" s="50"/>
      <c r="S38" s="50"/>
      <c r="T38" s="50"/>
      <c r="U38" s="50"/>
      <c r="V38" s="60">
        <f t="shared" si="0"/>
        <v>12</v>
      </c>
    </row>
    <row r="39" spans="1:22" ht="12.75">
      <c r="A39" s="52">
        <v>8</v>
      </c>
      <c r="B39" s="50">
        <v>1896</v>
      </c>
      <c r="C39" s="50">
        <v>1950</v>
      </c>
      <c r="D39" s="50">
        <v>2056</v>
      </c>
      <c r="E39" s="50">
        <v>2270</v>
      </c>
      <c r="F39" s="50">
        <v>2376</v>
      </c>
      <c r="G39" s="50">
        <v>2494</v>
      </c>
      <c r="H39" s="50">
        <v>2560</v>
      </c>
      <c r="I39" s="50">
        <v>2621</v>
      </c>
      <c r="J39" s="50">
        <v>2675</v>
      </c>
      <c r="K39" s="50">
        <v>2733</v>
      </c>
      <c r="L39" s="50">
        <v>2791</v>
      </c>
      <c r="M39" s="50">
        <v>2845</v>
      </c>
      <c r="N39" s="50">
        <v>2896</v>
      </c>
      <c r="O39" s="50"/>
      <c r="P39" s="50"/>
      <c r="Q39" s="50"/>
      <c r="R39" s="50"/>
      <c r="S39" s="50"/>
      <c r="T39" s="50"/>
      <c r="U39" s="50"/>
      <c r="V39" s="60">
        <f t="shared" si="0"/>
        <v>13</v>
      </c>
    </row>
    <row r="40" spans="1:22" ht="12.75">
      <c r="A40" s="52">
        <v>9</v>
      </c>
      <c r="B40" s="50">
        <v>2180</v>
      </c>
      <c r="C40" s="50">
        <v>2292</v>
      </c>
      <c r="D40" s="50">
        <v>2518</v>
      </c>
      <c r="E40" s="50">
        <v>2647</v>
      </c>
      <c r="F40" s="50">
        <v>2759</v>
      </c>
      <c r="G40" s="50">
        <v>2873</v>
      </c>
      <c r="H40" s="50">
        <v>2980</v>
      </c>
      <c r="I40" s="50">
        <v>3087</v>
      </c>
      <c r="J40" s="50">
        <v>3204</v>
      </c>
      <c r="K40" s="50">
        <v>3306</v>
      </c>
      <c r="L40" s="50"/>
      <c r="M40" s="50"/>
      <c r="N40" s="50"/>
      <c r="O40" s="50"/>
      <c r="P40" s="50"/>
      <c r="Q40" s="50"/>
      <c r="R40" s="50"/>
      <c r="S40" s="50"/>
      <c r="T40" s="50"/>
      <c r="U40" s="50"/>
      <c r="V40" s="60">
        <f t="shared" si="0"/>
        <v>10</v>
      </c>
    </row>
    <row r="41" spans="1:22" ht="12.75">
      <c r="A41" s="52">
        <v>10</v>
      </c>
      <c r="B41" s="50">
        <v>2180</v>
      </c>
      <c r="C41" s="50">
        <v>2400</v>
      </c>
      <c r="D41" s="50">
        <v>2518</v>
      </c>
      <c r="E41" s="50">
        <v>2647</v>
      </c>
      <c r="F41" s="50">
        <v>2759</v>
      </c>
      <c r="G41" s="50">
        <v>2873</v>
      </c>
      <c r="H41" s="50">
        <v>2980</v>
      </c>
      <c r="I41" s="50">
        <v>3057</v>
      </c>
      <c r="J41" s="50">
        <v>3204</v>
      </c>
      <c r="K41" s="50">
        <v>3306</v>
      </c>
      <c r="L41" s="50">
        <v>3413</v>
      </c>
      <c r="M41" s="50">
        <v>3516</v>
      </c>
      <c r="N41" s="50">
        <v>3633</v>
      </c>
      <c r="O41" s="50"/>
      <c r="P41" s="50"/>
      <c r="Q41" s="50"/>
      <c r="R41" s="50"/>
      <c r="S41" s="50"/>
      <c r="T41" s="50"/>
      <c r="U41" s="50"/>
      <c r="V41" s="60">
        <f t="shared" si="0"/>
        <v>13</v>
      </c>
    </row>
    <row r="42" spans="1:22" ht="12.75">
      <c r="A42" s="52">
        <v>11</v>
      </c>
      <c r="B42" s="50">
        <v>2292</v>
      </c>
      <c r="C42" s="50">
        <v>2400</v>
      </c>
      <c r="D42" s="50">
        <v>2518</v>
      </c>
      <c r="E42" s="50">
        <v>2647</v>
      </c>
      <c r="F42" s="50">
        <v>2759</v>
      </c>
      <c r="G42" s="50">
        <v>2873</v>
      </c>
      <c r="H42" s="50">
        <v>2980</v>
      </c>
      <c r="I42" s="50">
        <v>3204</v>
      </c>
      <c r="J42" s="50">
        <v>3306</v>
      </c>
      <c r="K42" s="50">
        <v>3413</v>
      </c>
      <c r="L42" s="50">
        <v>3516</v>
      </c>
      <c r="M42" s="50">
        <v>3633</v>
      </c>
      <c r="N42" s="50">
        <v>3748</v>
      </c>
      <c r="O42" s="50">
        <v>3861</v>
      </c>
      <c r="P42" s="50">
        <v>3968</v>
      </c>
      <c r="Q42" s="50">
        <v>4078</v>
      </c>
      <c r="R42" s="50">
        <v>4182</v>
      </c>
      <c r="S42" s="50">
        <v>4239</v>
      </c>
      <c r="T42" s="50"/>
      <c r="U42" s="50"/>
      <c r="V42" s="60">
        <f t="shared" si="0"/>
        <v>18</v>
      </c>
    </row>
    <row r="43" spans="1:22" ht="12.75">
      <c r="A43" s="52">
        <v>12</v>
      </c>
      <c r="B43" s="50">
        <v>3087</v>
      </c>
      <c r="C43" s="50">
        <v>3204</v>
      </c>
      <c r="D43" s="50">
        <v>3306</v>
      </c>
      <c r="E43" s="50">
        <v>3413</v>
      </c>
      <c r="F43" s="50">
        <v>3516</v>
      </c>
      <c r="G43" s="50">
        <v>3633</v>
      </c>
      <c r="H43" s="50">
        <v>3861</v>
      </c>
      <c r="I43" s="50">
        <v>3968</v>
      </c>
      <c r="J43" s="50">
        <v>4078</v>
      </c>
      <c r="K43" s="50">
        <v>4182</v>
      </c>
      <c r="L43" s="50">
        <v>4295</v>
      </c>
      <c r="M43" s="50">
        <v>4405</v>
      </c>
      <c r="N43" s="50">
        <v>4509</v>
      </c>
      <c r="O43" s="50">
        <v>4619</v>
      </c>
      <c r="P43" s="50">
        <v>4754</v>
      </c>
      <c r="Q43" s="50">
        <v>4823</v>
      </c>
      <c r="R43" s="50"/>
      <c r="S43" s="50"/>
      <c r="T43" s="50"/>
      <c r="U43" s="50"/>
      <c r="V43" s="60">
        <f t="shared" si="0"/>
        <v>16</v>
      </c>
    </row>
    <row r="44" spans="1:22" ht="12.75">
      <c r="A44" s="52">
        <v>13</v>
      </c>
      <c r="B44" s="50">
        <v>3748</v>
      </c>
      <c r="C44" s="50">
        <v>3861</v>
      </c>
      <c r="D44" s="50">
        <v>3968</v>
      </c>
      <c r="E44" s="50">
        <v>4078</v>
      </c>
      <c r="F44" s="50">
        <v>4182</v>
      </c>
      <c r="G44" s="50">
        <v>4405</v>
      </c>
      <c r="H44" s="50">
        <v>4509</v>
      </c>
      <c r="I44" s="50">
        <v>4619</v>
      </c>
      <c r="J44" s="50">
        <v>4754</v>
      </c>
      <c r="K44" s="50">
        <v>4891</v>
      </c>
      <c r="L44" s="50">
        <v>5028</v>
      </c>
      <c r="M44" s="50">
        <v>5163</v>
      </c>
      <c r="N44" s="50">
        <v>5230</v>
      </c>
      <c r="O44" s="50"/>
      <c r="P44" s="50"/>
      <c r="Q44" s="50"/>
      <c r="R44" s="50"/>
      <c r="S44" s="50"/>
      <c r="T44" s="50"/>
      <c r="U44" s="50"/>
      <c r="V44" s="60">
        <f t="shared" si="0"/>
        <v>13</v>
      </c>
    </row>
    <row r="45" spans="1:22" ht="12.75">
      <c r="A45" s="52">
        <v>14</v>
      </c>
      <c r="B45" s="50">
        <v>4295</v>
      </c>
      <c r="C45" s="50">
        <v>4405</v>
      </c>
      <c r="D45" s="50">
        <v>4619</v>
      </c>
      <c r="E45" s="50">
        <v>4754</v>
      </c>
      <c r="F45" s="50">
        <v>4891</v>
      </c>
      <c r="G45" s="50">
        <v>5028</v>
      </c>
      <c r="H45" s="50">
        <v>5163</v>
      </c>
      <c r="I45" s="50">
        <v>5301</v>
      </c>
      <c r="J45" s="50">
        <v>5447</v>
      </c>
      <c r="K45" s="50">
        <v>5593</v>
      </c>
      <c r="L45" s="50">
        <v>5746</v>
      </c>
      <c r="M45" s="50"/>
      <c r="N45" s="50"/>
      <c r="O45" s="50"/>
      <c r="P45" s="50"/>
      <c r="Q45" s="50"/>
      <c r="R45" s="50"/>
      <c r="S45" s="50"/>
      <c r="T45" s="50"/>
      <c r="U45" s="50"/>
      <c r="V45" s="60">
        <f t="shared" si="0"/>
        <v>11</v>
      </c>
    </row>
    <row r="46" spans="1:22" ht="12.75">
      <c r="A46" s="52" t="s">
        <v>19</v>
      </c>
      <c r="B46" s="51">
        <f>+B27/2</f>
        <v>1145</v>
      </c>
      <c r="C46" s="50"/>
      <c r="D46" s="50"/>
      <c r="E46" s="50"/>
      <c r="F46" s="50"/>
      <c r="G46" s="50"/>
      <c r="H46" s="50"/>
      <c r="I46" s="50"/>
      <c r="J46" s="50"/>
      <c r="K46" s="50"/>
      <c r="L46" s="50"/>
      <c r="M46" s="50"/>
      <c r="N46" s="50"/>
      <c r="O46" s="50"/>
      <c r="P46" s="50"/>
      <c r="Q46" s="50"/>
      <c r="R46" s="50"/>
      <c r="S46" s="50"/>
      <c r="T46" s="50"/>
      <c r="U46" s="50"/>
      <c r="V46" s="60">
        <f t="shared" si="0"/>
        <v>1</v>
      </c>
    </row>
    <row r="47" spans="1:22" ht="12.75">
      <c r="A47" s="52" t="s">
        <v>20</v>
      </c>
      <c r="B47" s="51">
        <f>+B28/2</f>
        <v>1187</v>
      </c>
      <c r="C47" s="50"/>
      <c r="D47" s="50"/>
      <c r="E47" s="50"/>
      <c r="F47" s="50"/>
      <c r="G47" s="50"/>
      <c r="H47" s="50"/>
      <c r="I47" s="50"/>
      <c r="J47" s="50"/>
      <c r="K47" s="50"/>
      <c r="L47" s="50"/>
      <c r="M47" s="50"/>
      <c r="N47" s="50"/>
      <c r="O47" s="50"/>
      <c r="P47" s="50"/>
      <c r="Q47" s="50"/>
      <c r="R47" s="50"/>
      <c r="S47" s="50"/>
      <c r="T47" s="50"/>
      <c r="U47" s="50"/>
      <c r="V47" s="60">
        <f t="shared" si="0"/>
        <v>1</v>
      </c>
    </row>
    <row r="48" spans="1:22" ht="12.75">
      <c r="A48" s="52" t="s">
        <v>96</v>
      </c>
      <c r="B48" s="51">
        <f>+B32</f>
        <v>1416</v>
      </c>
      <c r="C48" s="51">
        <f aca="true" t="shared" si="1" ref="C48:H48">+C32</f>
        <v>1477</v>
      </c>
      <c r="D48" s="51">
        <f t="shared" si="1"/>
        <v>1538</v>
      </c>
      <c r="E48" s="51">
        <f t="shared" si="1"/>
        <v>1566</v>
      </c>
      <c r="F48" s="51">
        <f t="shared" si="1"/>
        <v>1598</v>
      </c>
      <c r="G48" s="51">
        <f t="shared" si="1"/>
        <v>1631</v>
      </c>
      <c r="H48" s="51">
        <f t="shared" si="1"/>
        <v>1674</v>
      </c>
      <c r="I48" s="50"/>
      <c r="J48" s="50"/>
      <c r="K48" s="50"/>
      <c r="L48" s="50"/>
      <c r="M48" s="50"/>
      <c r="N48" s="50"/>
      <c r="O48" s="50"/>
      <c r="P48" s="50"/>
      <c r="Q48" s="50"/>
      <c r="R48" s="50"/>
      <c r="S48" s="50"/>
      <c r="T48" s="50"/>
      <c r="U48" s="50"/>
      <c r="V48" s="60">
        <f t="shared" si="0"/>
        <v>7</v>
      </c>
    </row>
    <row r="49" spans="1:22" ht="12.75">
      <c r="A49" s="52" t="s">
        <v>97</v>
      </c>
      <c r="B49" s="51">
        <f aca="true" t="shared" si="2" ref="B49:I49">+B33</f>
        <v>1449</v>
      </c>
      <c r="C49" s="51">
        <f t="shared" si="2"/>
        <v>1508</v>
      </c>
      <c r="D49" s="51">
        <f t="shared" si="2"/>
        <v>1566</v>
      </c>
      <c r="E49" s="51">
        <f t="shared" si="2"/>
        <v>1631</v>
      </c>
      <c r="F49" s="51">
        <f t="shared" si="2"/>
        <v>1674</v>
      </c>
      <c r="G49" s="51">
        <f t="shared" si="2"/>
        <v>1723</v>
      </c>
      <c r="H49" s="51">
        <f t="shared" si="2"/>
        <v>1783</v>
      </c>
      <c r="I49" s="51">
        <f t="shared" si="2"/>
        <v>1840</v>
      </c>
      <c r="J49" s="50"/>
      <c r="K49" s="50"/>
      <c r="L49" s="50"/>
      <c r="M49" s="50"/>
      <c r="N49" s="50"/>
      <c r="O49" s="50"/>
      <c r="P49" s="50"/>
      <c r="Q49" s="50"/>
      <c r="R49" s="50"/>
      <c r="S49" s="50"/>
      <c r="T49" s="50"/>
      <c r="U49" s="50"/>
      <c r="V49" s="60">
        <f t="shared" si="0"/>
        <v>8</v>
      </c>
    </row>
    <row r="50" spans="1:22" ht="12.75">
      <c r="A50" s="52" t="s">
        <v>98</v>
      </c>
      <c r="B50" s="51">
        <f aca="true" t="shared" si="3" ref="B50:H50">+B34</f>
        <v>1449</v>
      </c>
      <c r="C50" s="51">
        <f t="shared" si="3"/>
        <v>1566</v>
      </c>
      <c r="D50" s="51">
        <f t="shared" si="3"/>
        <v>1631</v>
      </c>
      <c r="E50" s="51">
        <f t="shared" si="3"/>
        <v>1723</v>
      </c>
      <c r="F50" s="51">
        <f t="shared" si="3"/>
        <v>1783</v>
      </c>
      <c r="G50" s="51">
        <f t="shared" si="3"/>
        <v>1840</v>
      </c>
      <c r="H50" s="51">
        <f t="shared" si="3"/>
        <v>1896</v>
      </c>
      <c r="I50" s="50"/>
      <c r="J50" s="50"/>
      <c r="K50" s="50"/>
      <c r="L50" s="50"/>
      <c r="M50" s="50"/>
      <c r="N50" s="50"/>
      <c r="O50" s="50"/>
      <c r="P50" s="50"/>
      <c r="Q50" s="50"/>
      <c r="R50" s="50"/>
      <c r="S50" s="50"/>
      <c r="T50" s="50"/>
      <c r="U50" s="50"/>
      <c r="V50" s="60">
        <f t="shared" si="0"/>
        <v>7</v>
      </c>
    </row>
    <row r="51" ht="12.75"/>
    <row r="52" ht="12.75"/>
    <row r="53" s="52" customFormat="1" ht="12.75">
      <c r="A53" s="54" t="s">
        <v>44</v>
      </c>
    </row>
    <row r="54" spans="1:8" s="52" customFormat="1" ht="12.75">
      <c r="A54" s="54"/>
      <c r="B54" s="54"/>
      <c r="C54" s="52" t="s">
        <v>41</v>
      </c>
      <c r="D54" s="52" t="s">
        <v>42</v>
      </c>
      <c r="E54" s="52" t="s">
        <v>107</v>
      </c>
      <c r="F54" s="52" t="s">
        <v>108</v>
      </c>
      <c r="G54" s="52" t="s">
        <v>47</v>
      </c>
      <c r="H54" s="52" t="s">
        <v>50</v>
      </c>
    </row>
    <row r="55" spans="1:6" s="52" customFormat="1" ht="12.75">
      <c r="A55" s="52" t="s">
        <v>40</v>
      </c>
      <c r="B55" s="56">
        <v>1</v>
      </c>
      <c r="C55" s="62">
        <v>0.14985</v>
      </c>
      <c r="D55" s="62">
        <v>0.06615</v>
      </c>
      <c r="E55" s="50">
        <v>10500</v>
      </c>
      <c r="F55" s="63">
        <f>+E55/12</f>
        <v>875</v>
      </c>
    </row>
    <row r="56" spans="1:6" s="52" customFormat="1" ht="12.75">
      <c r="A56" s="52" t="s">
        <v>238</v>
      </c>
      <c r="B56" s="56">
        <v>2</v>
      </c>
      <c r="C56" s="64">
        <v>0.003</v>
      </c>
      <c r="D56" s="64">
        <v>0.001</v>
      </c>
      <c r="E56" s="50">
        <v>18200</v>
      </c>
      <c r="F56" s="63">
        <f>+E56/12</f>
        <v>1516.6666666666667</v>
      </c>
    </row>
    <row r="57" spans="1:6" s="52" customFormat="1" ht="12.75">
      <c r="A57" s="52" t="s">
        <v>45</v>
      </c>
      <c r="B57" s="56">
        <v>3</v>
      </c>
      <c r="C57" s="64">
        <v>0.0145</v>
      </c>
      <c r="D57" s="64">
        <f>+C57+0.8%</f>
        <v>0.0225</v>
      </c>
      <c r="E57" s="65"/>
      <c r="F57" s="65"/>
    </row>
    <row r="58" spans="1:8" s="52" customFormat="1" ht="12.75">
      <c r="A58" s="56" t="s">
        <v>229</v>
      </c>
      <c r="B58" s="52">
        <v>4</v>
      </c>
      <c r="C58" s="64">
        <v>0.057</v>
      </c>
      <c r="D58" s="66"/>
      <c r="E58" s="66"/>
      <c r="F58" s="66"/>
      <c r="G58" s="63">
        <v>48715.65</v>
      </c>
      <c r="H58" s="63">
        <f aca="true" t="shared" si="4" ref="H58:H64">+G58/12</f>
        <v>4059.6375000000003</v>
      </c>
    </row>
    <row r="59" spans="1:8" s="52" customFormat="1" ht="12.75">
      <c r="A59" s="52" t="s">
        <v>240</v>
      </c>
      <c r="B59" s="52">
        <v>5</v>
      </c>
      <c r="C59" s="64">
        <v>0.0059</v>
      </c>
      <c r="D59" s="66"/>
      <c r="E59" s="66"/>
      <c r="F59" s="66"/>
      <c r="G59" s="63">
        <f>+G58</f>
        <v>48715.65</v>
      </c>
      <c r="H59" s="63">
        <f t="shared" si="4"/>
        <v>4059.6375000000003</v>
      </c>
    </row>
    <row r="60" spans="1:8" s="52" customFormat="1" ht="12.75">
      <c r="A60" s="52" t="s">
        <v>337</v>
      </c>
      <c r="C60" s="64">
        <v>0</v>
      </c>
      <c r="D60" s="66"/>
      <c r="E60" s="66"/>
      <c r="F60" s="66"/>
      <c r="G60" s="63">
        <f>+G59</f>
        <v>48715.65</v>
      </c>
      <c r="H60" s="63">
        <f t="shared" si="4"/>
        <v>4059.6375000000003</v>
      </c>
    </row>
    <row r="61" spans="1:8" s="52" customFormat="1" ht="12.75">
      <c r="A61" s="52" t="s">
        <v>239</v>
      </c>
      <c r="B61" s="52">
        <v>6</v>
      </c>
      <c r="C61" s="64">
        <v>0.0007</v>
      </c>
      <c r="D61" s="57"/>
      <c r="E61" s="66"/>
      <c r="F61" s="66"/>
      <c r="G61" s="63">
        <f>+G59</f>
        <v>48715.65</v>
      </c>
      <c r="H61" s="63">
        <f t="shared" si="4"/>
        <v>4059.6375000000003</v>
      </c>
    </row>
    <row r="62" spans="1:8" s="52" customFormat="1" ht="12.75">
      <c r="A62" s="52" t="s">
        <v>99</v>
      </c>
      <c r="B62" s="52">
        <v>7</v>
      </c>
      <c r="C62" s="66"/>
      <c r="D62" s="64">
        <v>0</v>
      </c>
      <c r="E62" s="50">
        <v>0</v>
      </c>
      <c r="F62" s="63">
        <v>0</v>
      </c>
      <c r="G62" s="63">
        <v>0</v>
      </c>
      <c r="H62" s="63">
        <v>0</v>
      </c>
    </row>
    <row r="63" spans="1:8" s="52" customFormat="1" ht="12.75">
      <c r="A63" s="52" t="s">
        <v>100</v>
      </c>
      <c r="B63" s="52">
        <v>8</v>
      </c>
      <c r="C63" s="67">
        <v>0.0705</v>
      </c>
      <c r="D63" s="57"/>
      <c r="E63" s="65"/>
      <c r="F63" s="65"/>
      <c r="G63" s="63">
        <v>33189</v>
      </c>
      <c r="H63" s="63">
        <f>+G63/12</f>
        <v>2765.75</v>
      </c>
    </row>
    <row r="64" spans="1:8" s="52" customFormat="1" ht="12.75">
      <c r="A64" s="52" t="s">
        <v>46</v>
      </c>
      <c r="B64" s="52">
        <v>9</v>
      </c>
      <c r="C64" s="64">
        <f>0.78%+0.34%</f>
        <v>0.011200000000000002</v>
      </c>
      <c r="D64" s="66"/>
      <c r="E64" s="66"/>
      <c r="F64" s="66"/>
      <c r="G64" s="63">
        <f>+G58</f>
        <v>48715.65</v>
      </c>
      <c r="H64" s="63">
        <f t="shared" si="4"/>
        <v>4059.6375000000003</v>
      </c>
    </row>
    <row r="65" spans="1:8" s="52" customFormat="1" ht="12.75">
      <c r="A65" s="52" t="s">
        <v>241</v>
      </c>
      <c r="B65" s="52">
        <v>10</v>
      </c>
      <c r="C65" s="64">
        <v>0.0756</v>
      </c>
      <c r="D65" s="66"/>
      <c r="E65" s="66"/>
      <c r="F65" s="66"/>
      <c r="G65" s="65"/>
      <c r="H65" s="65"/>
    </row>
    <row r="66" spans="1:8" s="52" customFormat="1" ht="12.75">
      <c r="A66" s="52" t="s">
        <v>242</v>
      </c>
      <c r="C66" s="64">
        <v>0.0756</v>
      </c>
      <c r="D66" s="66"/>
      <c r="E66" s="66"/>
      <c r="F66" s="66"/>
      <c r="G66" s="65"/>
      <c r="H66" s="65"/>
    </row>
    <row r="67" spans="1:8" s="52" customFormat="1" ht="12.75">
      <c r="A67" s="52" t="s">
        <v>243</v>
      </c>
      <c r="C67" s="64">
        <v>0</v>
      </c>
      <c r="D67" s="66"/>
      <c r="E67" s="66"/>
      <c r="F67" s="66"/>
      <c r="G67" s="65"/>
      <c r="H67" s="65"/>
    </row>
    <row r="68" spans="1:8" s="52" customFormat="1" ht="12.75">
      <c r="A68" s="52" t="s">
        <v>84</v>
      </c>
      <c r="B68" s="52">
        <v>11</v>
      </c>
      <c r="C68" s="64">
        <v>0.0168</v>
      </c>
      <c r="D68" s="66"/>
      <c r="E68" s="66"/>
      <c r="F68" s="66"/>
      <c r="G68" s="65"/>
      <c r="H68" s="65"/>
    </row>
    <row r="69" spans="2:5" s="52" customFormat="1" ht="12.75">
      <c r="B69" s="52" t="s">
        <v>230</v>
      </c>
      <c r="C69" s="68">
        <f>SUM(C55:C68)-C66-C67</f>
        <v>0.40504999999999997</v>
      </c>
      <c r="D69" s="68">
        <f>SUM(D55:D68)</f>
        <v>0.08965000000000001</v>
      </c>
      <c r="E69" s="68">
        <f>SUM(C69:D69)</f>
        <v>0.4947</v>
      </c>
    </row>
    <row r="70" s="52" customFormat="1" ht="12.75"/>
    <row r="71" spans="1:3" s="52" customFormat="1" ht="12.75">
      <c r="A71" s="69" t="s">
        <v>264</v>
      </c>
      <c r="B71" s="69"/>
      <c r="C71" s="70">
        <v>2750</v>
      </c>
    </row>
    <row r="72" s="52" customFormat="1" ht="12.75"/>
    <row r="73" spans="1:3" s="52" customFormat="1" ht="12.75">
      <c r="A73" s="54" t="s">
        <v>77</v>
      </c>
      <c r="B73" s="52" t="s">
        <v>0</v>
      </c>
      <c r="C73" s="71">
        <v>29.24</v>
      </c>
    </row>
    <row r="74" spans="2:3" s="52" customFormat="1" ht="12.75">
      <c r="B74" s="52" t="s">
        <v>15</v>
      </c>
      <c r="C74" s="71">
        <v>25.65</v>
      </c>
    </row>
    <row r="75" spans="2:3" s="52" customFormat="1" ht="12.75">
      <c r="B75" s="52" t="s">
        <v>16</v>
      </c>
      <c r="C75" s="71">
        <v>46.71</v>
      </c>
    </row>
    <row r="76" spans="2:3" s="52" customFormat="1" ht="12.75">
      <c r="B76" s="52" t="s">
        <v>17</v>
      </c>
      <c r="C76" s="71">
        <v>23.1</v>
      </c>
    </row>
    <row r="77" s="52" customFormat="1" ht="12.75">
      <c r="C77" s="53"/>
    </row>
    <row r="78" spans="1:3" s="52" customFormat="1" ht="12.75">
      <c r="A78" s="54" t="s">
        <v>256</v>
      </c>
      <c r="B78" s="52" t="s">
        <v>257</v>
      </c>
      <c r="C78" s="71">
        <v>61</v>
      </c>
    </row>
    <row r="79" s="52" customFormat="1" ht="12.75">
      <c r="C79" s="53"/>
    </row>
    <row r="80" s="52" customFormat="1" ht="12.75"/>
    <row r="81" spans="1:3" s="52" customFormat="1" ht="12.75">
      <c r="A81" s="54" t="s">
        <v>78</v>
      </c>
      <c r="B81" s="52" t="s">
        <v>79</v>
      </c>
      <c r="C81" s="71">
        <f>328.47+386.74</f>
        <v>715.21</v>
      </c>
    </row>
    <row r="82" spans="2:3" s="52" customFormat="1" ht="12.75">
      <c r="B82" s="52" t="s">
        <v>80</v>
      </c>
      <c r="C82" s="71">
        <v>218.98</v>
      </c>
    </row>
    <row r="83" spans="2:3" s="52" customFormat="1" ht="12.75">
      <c r="B83" s="52" t="s">
        <v>81</v>
      </c>
      <c r="C83" s="71">
        <f>+C82</f>
        <v>218.98</v>
      </c>
    </row>
    <row r="84" s="52" customFormat="1" ht="12.75"/>
    <row r="85" spans="1:4" s="52" customFormat="1" ht="12.75">
      <c r="A85" s="54" t="s">
        <v>122</v>
      </c>
      <c r="C85" s="72">
        <v>32.41</v>
      </c>
      <c r="D85" s="73"/>
    </row>
    <row r="86" s="52" customFormat="1" ht="12.75"/>
    <row r="87" spans="1:4" s="52" customFormat="1" ht="12.75">
      <c r="A87" s="54" t="s">
        <v>245</v>
      </c>
      <c r="C87" s="64">
        <v>0.008</v>
      </c>
      <c r="D87" s="68"/>
    </row>
    <row r="88" s="52" customFormat="1" ht="12.75"/>
    <row r="89" spans="1:5" s="52" customFormat="1" ht="12.75">
      <c r="A89" s="54" t="s">
        <v>87</v>
      </c>
      <c r="B89" s="54"/>
      <c r="D89" s="71">
        <v>140.49</v>
      </c>
      <c r="E89" s="52" t="s">
        <v>271</v>
      </c>
    </row>
    <row r="90" spans="1:4" s="52" customFormat="1" ht="12.75">
      <c r="A90" s="54" t="s">
        <v>85</v>
      </c>
      <c r="B90" s="54"/>
      <c r="D90" s="64">
        <v>0.063</v>
      </c>
    </row>
    <row r="91" spans="1:8" s="52" customFormat="1" ht="12.75">
      <c r="A91" s="52" t="s">
        <v>124</v>
      </c>
      <c r="B91" s="54"/>
      <c r="C91" s="52">
        <v>0</v>
      </c>
      <c r="D91" s="71">
        <v>0</v>
      </c>
      <c r="G91" s="57"/>
      <c r="H91" s="57"/>
    </row>
    <row r="92" spans="2:8" s="52" customFormat="1" ht="12.75">
      <c r="B92" s="54"/>
      <c r="C92" s="52">
        <v>1</v>
      </c>
      <c r="D92" s="71">
        <f>820.08+250.2</f>
        <v>1070.28</v>
      </c>
      <c r="G92" s="57"/>
      <c r="H92" s="57"/>
    </row>
    <row r="93" spans="2:8" s="52" customFormat="1" ht="12.75">
      <c r="B93" s="54"/>
      <c r="C93" s="52">
        <v>6</v>
      </c>
      <c r="D93" s="71">
        <f>775.08+250.2</f>
        <v>1025.28</v>
      </c>
      <c r="G93" s="57"/>
      <c r="H93" s="57"/>
    </row>
    <row r="94" spans="2:8" s="52" customFormat="1" ht="12.75">
      <c r="B94" s="54"/>
      <c r="C94" s="52">
        <v>9</v>
      </c>
      <c r="D94" s="71">
        <v>0</v>
      </c>
      <c r="G94" s="57"/>
      <c r="H94" s="57"/>
    </row>
    <row r="95" spans="2:8" s="52" customFormat="1" ht="12.75">
      <c r="B95" s="54"/>
      <c r="D95" s="53"/>
      <c r="G95" s="57"/>
      <c r="H95" s="57"/>
    </row>
    <row r="96" spans="1:6" s="52" customFormat="1" ht="12.75">
      <c r="A96" s="74" t="s">
        <v>237</v>
      </c>
      <c r="B96" s="57"/>
      <c r="C96" s="57"/>
      <c r="D96" s="71">
        <f>110+90</f>
        <v>200</v>
      </c>
      <c r="E96" s="57"/>
      <c r="F96" s="57"/>
    </row>
    <row r="97" s="52" customFormat="1" ht="12.75"/>
    <row r="98" spans="1:4" s="52" customFormat="1" ht="12.75">
      <c r="A98" s="54" t="s">
        <v>259</v>
      </c>
      <c r="D98" s="71">
        <f>275+23</f>
        <v>298</v>
      </c>
    </row>
    <row r="99" s="52" customFormat="1" ht="12.75"/>
    <row r="100" s="52" customFormat="1" ht="12.75">
      <c r="A100" s="54" t="s">
        <v>272</v>
      </c>
    </row>
    <row r="101" s="52" customFormat="1" ht="12.75">
      <c r="A101" s="54" t="s">
        <v>273</v>
      </c>
    </row>
    <row r="102" s="52" customFormat="1" ht="12.75">
      <c r="A102" s="75" t="s">
        <v>109</v>
      </c>
    </row>
    <row r="103" s="52" customFormat="1" ht="12.75">
      <c r="A103" s="75"/>
    </row>
    <row r="104" spans="1:7" s="52" customFormat="1" ht="12.75">
      <c r="A104" s="54" t="s">
        <v>227</v>
      </c>
      <c r="G104" s="76"/>
    </row>
    <row r="105" spans="1:3" s="52" customFormat="1" ht="12.75">
      <c r="A105" s="54" t="s">
        <v>110</v>
      </c>
      <c r="B105" s="52" t="s">
        <v>228</v>
      </c>
      <c r="C105" s="52" t="s">
        <v>111</v>
      </c>
    </row>
    <row r="106" spans="1:3" s="52" customFormat="1" ht="12.75">
      <c r="A106" s="52">
        <v>1</v>
      </c>
      <c r="B106" s="77">
        <v>18218</v>
      </c>
      <c r="C106" s="68">
        <v>0.3345</v>
      </c>
    </row>
    <row r="107" spans="1:3" s="52" customFormat="1" ht="12.75">
      <c r="A107" s="52">
        <v>2</v>
      </c>
      <c r="B107" s="77">
        <v>32738</v>
      </c>
      <c r="C107" s="68">
        <v>0.4195</v>
      </c>
    </row>
    <row r="108" spans="1:3" s="52" customFormat="1" ht="12.75">
      <c r="A108" s="52">
        <v>3</v>
      </c>
      <c r="B108" s="77">
        <v>54367</v>
      </c>
      <c r="C108" s="66">
        <v>0.42</v>
      </c>
    </row>
    <row r="109" spans="1:3" s="52" customFormat="1" ht="12.75">
      <c r="A109" s="52">
        <v>4</v>
      </c>
      <c r="B109" s="77">
        <v>999999</v>
      </c>
      <c r="C109" s="66">
        <v>0.52</v>
      </c>
    </row>
    <row r="110" s="52" customFormat="1" ht="12.75"/>
    <row r="111" s="52" customFormat="1" ht="12.75">
      <c r="A111" s="54" t="s">
        <v>112</v>
      </c>
    </row>
    <row r="112" spans="1:2" s="52" customFormat="1" ht="12.75">
      <c r="A112" s="52" t="s">
        <v>113</v>
      </c>
      <c r="B112" s="77">
        <v>1987</v>
      </c>
    </row>
    <row r="113" spans="2:5" s="52" customFormat="1" ht="12.75">
      <c r="B113" s="52" t="s">
        <v>115</v>
      </c>
      <c r="C113" s="52" t="s">
        <v>116</v>
      </c>
      <c r="D113" s="56" t="s">
        <v>117</v>
      </c>
      <c r="E113" s="56"/>
    </row>
    <row r="114" spans="1:5" s="52" customFormat="1" ht="12.75">
      <c r="A114" s="52" t="s">
        <v>114</v>
      </c>
      <c r="B114" s="52">
        <v>1945</v>
      </c>
      <c r="C114" s="78">
        <v>0.18884</v>
      </c>
      <c r="D114" s="65">
        <v>2273</v>
      </c>
      <c r="E114" s="56"/>
    </row>
    <row r="115" spans="2:5" s="52" customFormat="1" ht="12.75">
      <c r="B115" s="52">
        <v>1948</v>
      </c>
      <c r="C115" s="78">
        <v>0.16555</v>
      </c>
      <c r="D115" s="65">
        <v>2012</v>
      </c>
      <c r="E115" s="56"/>
    </row>
    <row r="116" spans="2:5" s="52" customFormat="1" ht="12.75">
      <c r="B116" s="52">
        <v>1950</v>
      </c>
      <c r="C116" s="78">
        <v>0.14235</v>
      </c>
      <c r="D116" s="65">
        <v>1752</v>
      </c>
      <c r="E116" s="56"/>
    </row>
    <row r="117" spans="2:5" s="52" customFormat="1" ht="12.75">
      <c r="B117" s="52">
        <v>1953</v>
      </c>
      <c r="C117" s="78">
        <v>0.11888</v>
      </c>
      <c r="D117" s="65">
        <v>1489</v>
      </c>
      <c r="E117" s="56"/>
    </row>
    <row r="118" s="52" customFormat="1" ht="12.75">
      <c r="C118" s="78"/>
    </row>
    <row r="119" s="52" customFormat="1" ht="12.75"/>
    <row r="120" s="52" customFormat="1" ht="12.75"/>
    <row r="121" s="52" customFormat="1" ht="12.75"/>
    <row r="122" s="52" customFormat="1" ht="12.75"/>
    <row r="123" s="52" customFormat="1" ht="12.75"/>
    <row r="124" s="52" customFormat="1" ht="12.75"/>
    <row r="125" s="52" customFormat="1" ht="12.75"/>
    <row r="126" s="52" customFormat="1" ht="12.75"/>
  </sheetData>
  <sheetProtection password="DFB1" sheet="1"/>
  <printOptions gridLines="1"/>
  <pageMargins left="0.75" right="0.75" top="1" bottom="1" header="0.5" footer="0.5"/>
  <pageSetup fitToHeight="1" fitToWidth="1" horizontalDpi="600" verticalDpi="600" orientation="portrait" paperSize="9" scale="34" r:id="rId4"/>
  <headerFooter alignWithMargins="0">
    <oddHeader>&amp;L&amp;"Arial,Vet"&amp;A&amp;C&amp;"Arial,Vet"&amp;D&amp;R&amp;"Arial,Vet"&amp;F</oddHeader>
    <oddFooter>&amp;L&amp;"Arial,Vet"&amp;8gemaakt door keizer, vos/abb&amp;R&amp;"Arial,Vet"&amp;P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subject/>
  <dc:creator>Keizer</dc:creator>
  <cp:keywords/>
  <dc:description/>
  <cp:lastModifiedBy>molenaarf</cp:lastModifiedBy>
  <cp:lastPrinted>2010-09-02T21:46:27Z</cp:lastPrinted>
  <dcterms:created xsi:type="dcterms:W3CDTF">2002-04-23T20:54:25Z</dcterms:created>
  <dcterms:modified xsi:type="dcterms:W3CDTF">2010-10-26T10:03:15Z</dcterms:modified>
  <cp:category/>
  <cp:version/>
  <cp:contentType/>
  <cp:contentStatus/>
</cp:coreProperties>
</file>