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255" tabRatio="772" activeTab="0"/>
  </bookViews>
  <sheets>
    <sheet name="Werkgeverslasten" sheetId="1" r:id="rId1"/>
    <sheet name="Ouderschapsverlof" sheetId="2" r:id="rId2"/>
    <sheet name="Functiedifferentiatie" sheetId="3" r:id="rId3"/>
    <sheet name="Extra periodieken" sheetId="4" r:id="rId4"/>
    <sheet name="tabellen" sheetId="5" r:id="rId5"/>
    <sheet name="toelichting" sheetId="6" r:id="rId6"/>
  </sheets>
  <definedNames>
    <definedName name="_xlnm.Print_Area" localSheetId="3">'Extra periodieken'!$C$2:$O$36</definedName>
    <definedName name="_xlnm.Print_Area" localSheetId="2">'Functiedifferentiatie'!$C$3:$O$30</definedName>
    <definedName name="_xlnm.Print_Area" localSheetId="1">'Ouderschapsverlof'!$B$2:$M$44</definedName>
    <definedName name="_xlnm.Print_Area" localSheetId="4">'tabellen'!$B$31:$K$84,'tabellen'!$B$2:$W$28</definedName>
    <definedName name="_xlnm.Print_Area" localSheetId="5">'toelichting'!$A$1:$M$144</definedName>
    <definedName name="_xlnm.Print_Area" localSheetId="0">'Werkgeverslasten'!$A$2:$R$41</definedName>
    <definedName name="arbeidskorting">'tabellen'!$C$80:$E$83</definedName>
    <definedName name="bindingstoelage">'tabellen'!$C$50:$D$52</definedName>
    <definedName name="eindejaarsuitkering_OOP">'tabellen'!$D$61:$E$64</definedName>
    <definedName name="franchise">'tabellen'!#REF!</definedName>
    <definedName name="premies">'tabellen'!$C$33:$H$43</definedName>
    <definedName name="salaristabellen">'tabellen'!$B$4:$U$28</definedName>
    <definedName name="schalen">'Werkgeverslasten'!$AA$4:$AA$49</definedName>
    <definedName name="uitlooptoeslag">'tabellen'!$C$46:$D$48</definedName>
    <definedName name="ZKOO">'tabellen'!#REF!</definedName>
  </definedNames>
  <calcPr fullCalcOnLoad="1"/>
</workbook>
</file>

<file path=xl/comments1.xml><?xml version="1.0" encoding="utf-8"?>
<comments xmlns="http://schemas.openxmlformats.org/spreadsheetml/2006/main">
  <authors>
    <author>Keizer</author>
    <author>B? Keizer</author>
  </authors>
  <commentList>
    <comment ref="C16" authorId="0">
      <text>
        <r>
          <rPr>
            <sz val="9"/>
            <rFont val="Tahoma"/>
            <family val="2"/>
          </rPr>
          <t xml:space="preserve">
Deze eindejaarsuitkering wordt toegekend aan de schalen 1  t/m 8. Zie tabellen.</t>
        </r>
      </text>
    </comment>
    <comment ref="C14" authorId="0">
      <text>
        <r>
          <rPr>
            <sz val="9"/>
            <rFont val="Tahoma"/>
            <family val="2"/>
          </rPr>
          <t xml:space="preserve">
De opslag van 0,8% voor levensloop wordt toegevoegd aan de eindejaarsuitkering. Degene die onder het overgangsrecht VPL valt komt op die grond niet in aanmerking voor de opslag van 0,8%. De grens daarvoor ligt bij: geboren voor 1950.</t>
        </r>
      </text>
    </comment>
    <comment ref="K10" authorId="0">
      <text>
        <r>
          <rPr>
            <sz val="9"/>
            <rFont val="Tahoma"/>
            <family val="2"/>
          </rPr>
          <t>Voor de WIA geldt een basispremie (5,70%) voor werknemers tot 55 jaar en een gedifferentieerde premie plus WGA-premie. Die gedifferentieerde premie is gemiddeld 0,15% en is standaard opgenomen. De WGA-premie (0,47%) kan maximaal voor de helft worden verhaald op de werknemer voor het deel boven de 0,29%.</t>
        </r>
      </text>
    </comment>
    <comment ref="L13" authorId="0">
      <text>
        <r>
          <rPr>
            <sz val="9"/>
            <rFont val="Tahoma"/>
            <family val="2"/>
          </rPr>
          <t xml:space="preserve">
De premie voor het VF is 0,0% vanaf 1 jan. 2006, maar de vervangingskosten zijn voor rekening van de werkgever.
</t>
        </r>
      </text>
    </comment>
    <comment ref="L14" authorId="0">
      <text>
        <r>
          <rPr>
            <sz val="9"/>
            <rFont val="Tahoma"/>
            <family val="2"/>
          </rPr>
          <t xml:space="preserve">
In het VO is de werkgever voor een belangrijk deel eigen risicodrager.  In de tabellen kan een raming in percentage worden opgenomen.</t>
        </r>
      </text>
    </comment>
    <comment ref="D6" authorId="1">
      <text>
        <r>
          <rPr>
            <sz val="9"/>
            <rFont val="Tahoma"/>
            <family val="2"/>
          </rPr>
          <t xml:space="preserve">
Voor alleen de ID1 schaal gelden twee aanloopregels, die in de tabellen als 1 en 2 zijn opgenomen. Daardoor moet regel 1 van een ID1 schaal dus als regel 3 worden opgegeven en 2 als 4 etc.</t>
        </r>
      </text>
    </comment>
  </commentList>
</comments>
</file>

<file path=xl/comments2.xml><?xml version="1.0" encoding="utf-8"?>
<comments xmlns="http://schemas.openxmlformats.org/spreadsheetml/2006/main">
  <authors>
    <author>B? Keizer</author>
    <author>Keizer</author>
  </authors>
  <commentList>
    <comment ref="B29" authorId="0">
      <text>
        <r>
          <rPr>
            <sz val="9"/>
            <rFont val="Tahoma"/>
            <family val="2"/>
          </rPr>
          <t xml:space="preserve">
Betreft niveau 2009 en geldt voor 26 weken in plaats van de 13 van 2008. De korting is niet meer dan het bedrag dat u in 2009 minder krijgt aan belastbaar loon in vergelijking met 2008. De korting bedraagt € 3,99 per opgenomen uur.
</t>
        </r>
      </text>
    </comment>
    <comment ref="D31" authorId="1">
      <text>
        <r>
          <rPr>
            <b/>
            <sz val="8"/>
            <rFont val="Tahoma"/>
            <family val="0"/>
          </rPr>
          <t>Betreft niveau 2009</t>
        </r>
      </text>
    </comment>
  </commentList>
</comments>
</file>

<file path=xl/comments4.xml><?xml version="1.0" encoding="utf-8"?>
<comments xmlns="http://schemas.openxmlformats.org/spreadsheetml/2006/main">
  <authors>
    <author>Keizer</author>
  </authors>
  <commentList>
    <comment ref="G28" authorId="0">
      <text>
        <r>
          <rPr>
            <sz val="8"/>
            <rFont val="Tahoma"/>
            <family val="2"/>
          </rPr>
          <t>Omvang personeelsbestand bestuur in aantal fte.</t>
        </r>
      </text>
    </comment>
    <comment ref="G29" authorId="0">
      <text>
        <r>
          <rPr>
            <sz val="8"/>
            <rFont val="Tahoma"/>
            <family val="2"/>
          </rPr>
          <t>Vaststellen op basis van totaal aantal fte gedeeld door het totaal aantal personeelsleden bij het betreffende bestuur. 
De 75% is een globale landelijke raming.</t>
        </r>
      </text>
    </comment>
    <comment ref="G32" authorId="0">
      <text>
        <r>
          <rPr>
            <sz val="8"/>
            <rFont val="Tahoma"/>
            <family val="2"/>
          </rPr>
          <t>Aantal herintreders in fte gedeeld door aantal fte.
Landelijke raming is ongeveer 8%, maar kan per bestuur sterk variëren. Daarom vaststellen op basis van eigen gegevens.</t>
        </r>
      </text>
    </comment>
    <comment ref="G34" authorId="0">
      <text>
        <r>
          <rPr>
            <sz val="8"/>
            <rFont val="Tahoma"/>
            <family val="2"/>
          </rPr>
          <t>Is mede gebaseerd op de aanname dat even vaak sprake is van 1 als 2 periodieken, gemiddeld dus 1,5 periodiek.</t>
        </r>
      </text>
    </comment>
  </commentList>
</comments>
</file>

<file path=xl/comments5.xml><?xml version="1.0" encoding="utf-8"?>
<comments xmlns="http://schemas.openxmlformats.org/spreadsheetml/2006/main">
  <authors>
    <author>Keizer</author>
    <author>B? Keizer</author>
  </authors>
  <commentList>
    <comment ref="B56" authorId="0">
      <text>
        <r>
          <rPr>
            <sz val="9"/>
            <rFont val="Tahoma"/>
            <family val="2"/>
          </rPr>
          <t xml:space="preserve">
De 0,8% wordt in het VO toegevoegd aan de eindejaarsuitkering wanneer uitbetaling plaatsvindt.</t>
        </r>
      </text>
    </comment>
    <comment ref="B43" authorId="0">
      <text>
        <r>
          <rPr>
            <sz val="9"/>
            <rFont val="Tahoma"/>
            <family val="2"/>
          </rPr>
          <t xml:space="preserve">
In het VO is de werkgever voor een belangrijk deel eigen risicodrager.  Op basis van de gegevens van 2007 kan hier een percentage geraamd worden voor de kosten collectief en prive.</t>
        </r>
      </text>
    </comment>
    <comment ref="C2" authorId="0">
      <text>
        <r>
          <rPr>
            <sz val="10"/>
            <rFont val="Tahoma"/>
            <family val="2"/>
          </rPr>
          <t xml:space="preserve">
CAO VO: niveau van 1 okt. 2009.
</t>
        </r>
      </text>
    </comment>
    <comment ref="B35" authorId="0">
      <text>
        <r>
          <rPr>
            <sz val="9"/>
            <rFont val="Tahoma"/>
            <family val="2"/>
          </rPr>
          <t>FPU opbouw is vervallen</t>
        </r>
      </text>
    </comment>
    <comment ref="B36" authorId="0">
      <text>
        <r>
          <rPr>
            <sz val="9"/>
            <rFont val="Tahoma"/>
            <family val="2"/>
          </rPr>
          <t xml:space="preserve">
Voor werknemers van 55 jaar en ouder geldt voor 2009 nog een regeling die neerkomt op premievrijstelling van de WIA-basispremie).</t>
        </r>
      </text>
    </comment>
    <comment ref="B41" authorId="1">
      <text>
        <r>
          <rPr>
            <sz val="9"/>
            <rFont val="Tahoma"/>
            <family val="2"/>
          </rPr>
          <t>Betreft: Uitvoering Fonds Overheid. Is inclusief premie kinderopvang van 0,34%</t>
        </r>
      </text>
    </comment>
    <comment ref="B42" authorId="1">
      <text>
        <r>
          <rPr>
            <sz val="10"/>
            <rFont val="Tahoma"/>
            <family val="2"/>
          </rPr>
          <t xml:space="preserve">
Dit kan bijv. de premie van het Risicofonds zijn. </t>
        </r>
      </text>
    </comment>
    <comment ref="D37" authorId="0">
      <text>
        <r>
          <rPr>
            <sz val="9"/>
            <rFont val="Tahoma"/>
            <family val="2"/>
          </rPr>
          <t>Dit is het gemiddelde percentage.</t>
        </r>
      </text>
    </comment>
    <comment ref="D50" authorId="1">
      <text>
        <r>
          <rPr>
            <b/>
            <sz val="9"/>
            <rFont val="Tahoma"/>
            <family val="0"/>
          </rPr>
          <t xml:space="preserve">
De bindingstoelage is voor de leraar verhoogd met de 1000 euro uit het Convenant (schaal-uitlooptoeslag)</t>
        </r>
      </text>
    </comment>
    <comment ref="E37" authorId="1">
      <text>
        <r>
          <rPr>
            <sz val="9"/>
            <rFont val="Tahoma"/>
            <family val="2"/>
          </rPr>
          <t xml:space="preserve">
Voor het deel boven de 0,29% kan de helft verhaald worden op de werknemer.
</t>
        </r>
      </text>
    </comment>
    <comment ref="E59" authorId="1">
      <text>
        <r>
          <rPr>
            <sz val="9"/>
            <rFont val="Tahoma"/>
            <family val="2"/>
          </rPr>
          <t xml:space="preserve">
Laatst bekende bedrag. Moet waarschijnlijk nog aangepast worden naar niveau 2009.</t>
        </r>
      </text>
    </comment>
    <comment ref="B39" authorId="1">
      <text>
        <r>
          <rPr>
            <sz val="9"/>
            <rFont val="Tahoma"/>
            <family val="2"/>
          </rPr>
          <t xml:space="preserve">
De pseudo-WW premie is per 1 januari 2009 afgeschaft. De compensatie is inmiddels verwerkt in een verhoging van de GPL.
</t>
        </r>
      </text>
    </comment>
  </commentList>
</comments>
</file>

<file path=xl/sharedStrings.xml><?xml version="1.0" encoding="utf-8"?>
<sst xmlns="http://schemas.openxmlformats.org/spreadsheetml/2006/main" count="471" uniqueCount="315">
  <si>
    <t>salaristabellen</t>
  </si>
  <si>
    <t>schaal / regel</t>
  </si>
  <si>
    <t>LB</t>
  </si>
  <si>
    <t>LC</t>
  </si>
  <si>
    <t>LD</t>
  </si>
  <si>
    <t>LE</t>
  </si>
  <si>
    <t>schaal</t>
  </si>
  <si>
    <t>regel</t>
  </si>
  <si>
    <t>Salarisgegevens</t>
  </si>
  <si>
    <t>norm maandsalaris</t>
  </si>
  <si>
    <t>Werktijdfactor</t>
  </si>
  <si>
    <t>wtf x maandsalaris</t>
  </si>
  <si>
    <t>regels</t>
  </si>
  <si>
    <t>oud</t>
  </si>
  <si>
    <t>extra per</t>
  </si>
  <si>
    <t>toename</t>
  </si>
  <si>
    <t>gemiddeld</t>
  </si>
  <si>
    <t>P. Werknemer</t>
  </si>
  <si>
    <t>Toelichting</t>
  </si>
  <si>
    <t>Alleen de gele velden kunnen daardoor worden gewijzigd, en bevatten de op te geven variabelen voor de berekeningen.</t>
  </si>
  <si>
    <t>Werkbladen</t>
  </si>
  <si>
    <t>Werkblad Tabellen</t>
  </si>
  <si>
    <t>De werkbladen zijn beveiligd met het wachtwoord:</t>
  </si>
  <si>
    <t>vosabb</t>
  </si>
  <si>
    <t>Toekenning extra uitkeringen</t>
  </si>
  <si>
    <t>vakantieuitkering</t>
  </si>
  <si>
    <t>Totaal</t>
  </si>
  <si>
    <t>Jaarbasis</t>
  </si>
  <si>
    <t>OP/NP</t>
  </si>
  <si>
    <t>werkgever</t>
  </si>
  <si>
    <t>werknemer</t>
  </si>
  <si>
    <t>FPU</t>
  </si>
  <si>
    <t>Tabel premiepercentages</t>
  </si>
  <si>
    <t>VUT/FPU basis</t>
  </si>
  <si>
    <t>UFO-premie</t>
  </si>
  <si>
    <t>max. bedrag</t>
  </si>
  <si>
    <t>conditie</t>
  </si>
  <si>
    <t>Totaal pensioenpremie</t>
  </si>
  <si>
    <t>uitlooptoeslag</t>
  </si>
  <si>
    <t>maand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</si>
  <si>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</si>
  <si>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</si>
  <si>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</si>
  <si>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</si>
  <si>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</si>
  <si>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</si>
  <si>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</si>
  <si>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</si>
  <si>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</si>
  <si>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UFO</t>
  </si>
  <si>
    <t>Totaal werkgeverslasten</t>
  </si>
  <si>
    <t>Opslagpercentage t.o.v. normloon</t>
  </si>
  <si>
    <t>Maximumdebrutering:</t>
  </si>
  <si>
    <t>Debrutering</t>
  </si>
  <si>
    <t>Jaarinkomen ABP</t>
  </si>
  <si>
    <t>per maand</t>
  </si>
  <si>
    <t>per jaar</t>
  </si>
  <si>
    <t>max. regel:</t>
  </si>
  <si>
    <t>Berekening Werkgeverslasten</t>
  </si>
  <si>
    <t>onjuist!</t>
  </si>
  <si>
    <t>uitk. wn 70%</t>
  </si>
  <si>
    <t>Invoering van de gegevens per werknemer geeft de berekening van de werkgeverslasten.</t>
  </si>
  <si>
    <t>Door dit te relateren aan het normloon van die werknemer wordt het opslagpercentage verkregen.</t>
  </si>
  <si>
    <t>in het percentage wat voor die betreffende schaal van toepassing is. Dat is van belang voor het financieel management.</t>
  </si>
  <si>
    <t>Op die wijze is het immers mogelijk om redelijk nauwkeurig de totale werkgeverslasten te ramen van een werknemer.</t>
  </si>
  <si>
    <t>Op grond van het normsalaris per maand wordt het jaarinkomen ABP berekend.</t>
  </si>
  <si>
    <t>Vervolgens worden de werkgeverslasten berekend.</t>
  </si>
  <si>
    <t xml:space="preserve">Ten opzichte van het salaris ABP wordt dat in een percentage omgerekend, maar belangrijker: ook in een opslagpercentage </t>
  </si>
  <si>
    <t xml:space="preserve">ten opzichte van het normsalaris. Op die wijze kan het als kengetal worden gehanteerd bij de vaststelling van de totale loonkosten </t>
  </si>
  <si>
    <t xml:space="preserve">voor een werkgever bij de aanstelling van een werknemer. </t>
  </si>
  <si>
    <t>j</t>
  </si>
  <si>
    <t>Uitlooptoeslag</t>
  </si>
  <si>
    <t>Bindingstoelage</t>
  </si>
  <si>
    <t>leraar</t>
  </si>
  <si>
    <t>directie</t>
  </si>
  <si>
    <t>OOP S9</t>
  </si>
  <si>
    <t>Werknemer</t>
  </si>
  <si>
    <t>n</t>
  </si>
  <si>
    <t>Opslagpercentage t.o.v. jaarinkomen ABP:</t>
  </si>
  <si>
    <t>Ink. ABP</t>
  </si>
  <si>
    <t>normsalaris</t>
  </si>
  <si>
    <t>In Percentage</t>
  </si>
  <si>
    <t>max regel</t>
  </si>
  <si>
    <t>Overige loonkosten</t>
  </si>
  <si>
    <t>Structurele eindejaarsuitkering</t>
  </si>
  <si>
    <t>bij een normbetrekking</t>
  </si>
  <si>
    <t>eindejaarsuitkering</t>
  </si>
  <si>
    <t>Minimum vakantietoelage, fulltimer</t>
  </si>
  <si>
    <t>pseudo-WW</t>
  </si>
  <si>
    <t>ZVW</t>
  </si>
  <si>
    <t>Bijdrage-inkomen</t>
  </si>
  <si>
    <t>ZVW vergoeding werkgever</t>
  </si>
  <si>
    <t>k</t>
  </si>
  <si>
    <t>l</t>
  </si>
  <si>
    <t>Loon voor de loonbelasting</t>
  </si>
  <si>
    <t>Loonbelasting</t>
  </si>
  <si>
    <t>Inkomensafhankelijke bijdrage ZVW</t>
  </si>
  <si>
    <t>Nettosalaris</t>
  </si>
  <si>
    <t>franchise jr</t>
  </si>
  <si>
    <t>franchise mnd</t>
  </si>
  <si>
    <t>NB: Uitsluitend gebruik gemaakt van onderstaande tabellen</t>
  </si>
  <si>
    <t>Schijf</t>
  </si>
  <si>
    <t>Belasting</t>
  </si>
  <si>
    <t>Heffingskortingen</t>
  </si>
  <si>
    <t>algemene heffingskorting</t>
  </si>
  <si>
    <t>arbeidskorting</t>
  </si>
  <si>
    <t>geboren</t>
  </si>
  <si>
    <t>percentage</t>
  </si>
  <si>
    <t>maximaal</t>
  </si>
  <si>
    <t>Berekening loonbelasting</t>
  </si>
  <si>
    <t>Belastbaar loon</t>
  </si>
  <si>
    <t>Geboortejaar</t>
  </si>
  <si>
    <t>schijf 1</t>
  </si>
  <si>
    <t>schijf 2</t>
  </si>
  <si>
    <t>schijf 3</t>
  </si>
  <si>
    <t>schijf 4</t>
  </si>
  <si>
    <t>totaal loonbelasting</t>
  </si>
  <si>
    <t>Compensatie ziektekosten</t>
  </si>
  <si>
    <t>inzet 0,8% levensloop</t>
  </si>
  <si>
    <t>eindejaarsuitkering OOP</t>
  </si>
  <si>
    <t>Eindejaarsuitkering OOP</t>
  </si>
  <si>
    <t>compensatie ziektekosten</t>
  </si>
  <si>
    <t xml:space="preserve">Ook de berekening van het bruto-netto traject voor de werknemer beoogt slechts een indicatie op hoofdlijnen </t>
  </si>
  <si>
    <t xml:space="preserve">te geven. De 'echte' berekening plus de berekening loonbelasting is een complexe materie die hier vereenvoudigd </t>
  </si>
  <si>
    <t>wordt weergegeven, met gebruikmaking van alleen de meest voorkomende loonbelastingtabel.</t>
  </si>
  <si>
    <t xml:space="preserve">Het bruto-netto traject geeft de informatie over de omvang van het bijdrage-inkomen (voorheen coordinatieloon) waarover </t>
  </si>
  <si>
    <t>de sociale premies berekend moeten worden.</t>
  </si>
  <si>
    <t>Overige toelagen</t>
  </si>
  <si>
    <t>Deze zijn nader aangegeven en voor zover nodig nader toegelicht.</t>
  </si>
  <si>
    <r>
      <t xml:space="preserve">Kosten en baten betaald ouderschapsverlof </t>
    </r>
    <r>
      <rPr>
        <b/>
        <sz val="12"/>
        <color indexed="10"/>
        <rFont val="Arial"/>
        <family val="2"/>
      </rPr>
      <t>WERKNEMER</t>
    </r>
  </si>
  <si>
    <t>ja</t>
  </si>
  <si>
    <t>Naam werknemer</t>
  </si>
  <si>
    <t>Werknemer met kind</t>
  </si>
  <si>
    <t>nee</t>
  </si>
  <si>
    <t xml:space="preserve"> Gemaakt door:</t>
  </si>
  <si>
    <t>Opgave omvang betaald ouderschapsverlof in lesuren:</t>
  </si>
  <si>
    <t>Omvang betaald ouderschapsverlof</t>
  </si>
  <si>
    <t>klokuren</t>
  </si>
  <si>
    <t>lesuren</t>
  </si>
  <si>
    <t>Beschikbaar</t>
  </si>
  <si>
    <t>Opname</t>
  </si>
  <si>
    <t>Percentage</t>
  </si>
  <si>
    <t>Opname in aantal maanden</t>
  </si>
  <si>
    <t>(delen van een maand als hele maand rekenen)</t>
  </si>
  <si>
    <t>Salariskorting</t>
  </si>
  <si>
    <t>Salarisbetaling eigen middelen werkgever</t>
  </si>
  <si>
    <t>Regulier salaris</t>
  </si>
  <si>
    <t>Uitbetaald salaris</t>
  </si>
  <si>
    <t>Totaal betaald verlof in verlofperiode</t>
  </si>
  <si>
    <t>Inclusief werkgeverslasten</t>
  </si>
  <si>
    <t>Netto kosten werkgever betaald ouderschapsverlof</t>
  </si>
  <si>
    <r>
      <t xml:space="preserve">Kosten ouderschapsverlof </t>
    </r>
    <r>
      <rPr>
        <b/>
        <sz val="12"/>
        <color indexed="10"/>
        <rFont val="Arial"/>
        <family val="2"/>
      </rPr>
      <t>BESTUUR</t>
    </r>
  </si>
  <si>
    <t xml:space="preserve">Bestuur: </t>
  </si>
  <si>
    <t>Structureel</t>
  </si>
  <si>
    <t>Aantal personeelsleden</t>
  </si>
  <si>
    <t>zelf in te vullen</t>
  </si>
  <si>
    <t>Gemiddelde betrekkingsomvang</t>
  </si>
  <si>
    <t>tot</t>
  </si>
  <si>
    <t>Personeelsleden van</t>
  </si>
  <si>
    <t>landelijk gemiddelde</t>
  </si>
  <si>
    <t>Gemiddeld aantal kinderen</t>
  </si>
  <si>
    <t>opgave departement (CBS: 1,6)</t>
  </si>
  <si>
    <t>Maximaal aantal ouderschapsverloven</t>
  </si>
  <si>
    <t>Effectuering ouderschapverlof</t>
  </si>
  <si>
    <t>raming</t>
  </si>
  <si>
    <t>Gemiddeld aantal per jaar</t>
  </si>
  <si>
    <t>Gemiddelde kosten per jaar per verlof</t>
  </si>
  <si>
    <t>Kosten totale verlof per jaar</t>
  </si>
  <si>
    <t>afdracht loonbelasting en premie</t>
  </si>
  <si>
    <t>Kosten door wijziging bestaande functie in andere functie</t>
  </si>
  <si>
    <t>Functiedifferentiatie of pro- of demotie</t>
  </si>
  <si>
    <t xml:space="preserve">Salarisgegevens per 1 augustus, na toekenning reguliere periodieke verhoging </t>
  </si>
  <si>
    <t>maximumregel:</t>
  </si>
  <si>
    <t>Leeftijd per 1 augustus</t>
  </si>
  <si>
    <t>Met pensioen/uittreden op leeftijd</t>
  </si>
  <si>
    <t>Inschaling in nieuwe functie</t>
  </si>
  <si>
    <r>
      <t xml:space="preserve">Werktijdfactor: </t>
    </r>
    <r>
      <rPr>
        <sz val="10"/>
        <rFont val="Arial"/>
        <family val="2"/>
      </rPr>
      <t>gewijzigd in nieuwe functie</t>
    </r>
  </si>
  <si>
    <t>Nieuwe omvang wtf</t>
  </si>
  <si>
    <t>Verhoging eerste jaar per maand</t>
  </si>
  <si>
    <t>Opslagpercentage werkgeverslasten</t>
  </si>
  <si>
    <t>Werkgeverslasten eerste jaar</t>
  </si>
  <si>
    <t>Aantal jaren meer/minder kosten</t>
  </si>
  <si>
    <t>Gemiddelde kosten</t>
  </si>
  <si>
    <r>
      <t>Kosten totaal</t>
    </r>
    <r>
      <rPr>
        <sz val="10"/>
        <rFont val="Arial"/>
        <family val="2"/>
      </rPr>
      <t xml:space="preserve"> (tot pensioen/uittreden)</t>
    </r>
  </si>
  <si>
    <t>nieuwe schaal</t>
  </si>
  <si>
    <t>voormalige schaal</t>
  </si>
  <si>
    <t>Extra periodieken</t>
  </si>
  <si>
    <t>Alle categorien Personeel</t>
  </si>
  <si>
    <r>
      <t>Naam</t>
    </r>
    <r>
      <rPr>
        <b/>
        <sz val="10"/>
        <color indexed="10"/>
        <rFont val="Arial"/>
        <family val="2"/>
      </rPr>
      <t xml:space="preserve"> werknemer</t>
    </r>
  </si>
  <si>
    <t>Toekenning extra periodiek(en)</t>
  </si>
  <si>
    <t>herintreder</t>
  </si>
  <si>
    <t>eerste aanstelling</t>
  </si>
  <si>
    <t>beloningsbeleid</t>
  </si>
  <si>
    <t>aantal periodieken</t>
  </si>
  <si>
    <t>Kosten gedurende eerste jaar per maand</t>
  </si>
  <si>
    <t>Aantal jaren meerkosten</t>
  </si>
  <si>
    <t>Kosten totaal</t>
  </si>
  <si>
    <t>Kosten herintreders</t>
  </si>
  <si>
    <t>OPO Ergens</t>
  </si>
  <si>
    <t>Aantal fte</t>
  </si>
  <si>
    <t>Aantal herintreders met extra periodieken</t>
  </si>
  <si>
    <t>Gemiddelde kosten per jaar per herintreder</t>
  </si>
  <si>
    <t>Totale kosten per jaar</t>
  </si>
  <si>
    <t>OP</t>
  </si>
  <si>
    <t>Werkblad Werkgeverslasten</t>
  </si>
  <si>
    <t>1.</t>
  </si>
  <si>
    <t>2.</t>
  </si>
  <si>
    <t>Werkblad Ouderschapsverlof</t>
  </si>
  <si>
    <t xml:space="preserve">In dit werkblad worden de kosten en baten berekend van het betaalde ouderschapsverlof. De opgave van de gegevens van de </t>
  </si>
  <si>
    <t>betreffende werknemer laat enerzijds de salariskosten zien die de werkgever moet betalen uit eigen middelen, anderzijds worden</t>
  </si>
  <si>
    <t>Bestuur</t>
  </si>
  <si>
    <t xml:space="preserve">de data aan te passen op basis van eigen gegevens. </t>
  </si>
  <si>
    <t>3.</t>
  </si>
  <si>
    <t>Werkblad Functiedifferentiatie</t>
  </si>
  <si>
    <t>In dit werkblad worden de kosten berekend van wijziging van een bestaande functie in een andere.</t>
  </si>
  <si>
    <t>Daarbij kan het gaan om functiedifferentiatie, promotie of eventuele demotie.</t>
  </si>
  <si>
    <t>De functiewijziging kan betrekking hebben op functies voor OP, OOP en Directie en kan ook betrekking hebben op de wijziging</t>
  </si>
  <si>
    <t>van de ene functiecategorie naar de andere.</t>
  </si>
  <si>
    <t>De berekening vindt plaats op basis van de bestaande functie met opgave van schaal plus regel, en de opgave van de nieuwe</t>
  </si>
  <si>
    <t xml:space="preserve">Door de leeftijd op te geven per 1 augustus van het betreffende jaar en op te geven wanneer de betreffende werknemer met </t>
  </si>
  <si>
    <t>pensioen gaat of vervroegd uittreedt, wordt berekend hoeveel jaar de wijziging van de functie doorwerkt.</t>
  </si>
  <si>
    <t xml:space="preserve">Er is ook rekening gehouden met het feit dat de werktijdfactor kan veranderen, maar in eerste instantie wordt uitgegaan van </t>
  </si>
  <si>
    <r>
      <t xml:space="preserve">een gelijkblijvende werktijdfactor. Wanneer men opgeeft dat deze wordt gewijzigd door op de gevraagde plaats dit met </t>
    </r>
    <r>
      <rPr>
        <b/>
        <sz val="10"/>
        <rFont val="Arial"/>
        <family val="2"/>
      </rPr>
      <t>ja</t>
    </r>
    <r>
      <rPr>
        <sz val="10"/>
        <rFont val="Arial"/>
        <family val="2"/>
      </rPr>
      <t xml:space="preserve"> in te </t>
    </r>
  </si>
  <si>
    <t>vullen, wordt in de berekening van de nieuw opgegeven werktijdfactor uitgegaan.</t>
  </si>
  <si>
    <t>De kosten worden berekend voor het eerste jaar terwijl tevens is aangegeven hoeveel jaar er sprake is van meerkosten,</t>
  </si>
  <si>
    <t>de gemiddelde kosten in die jaren en het totaal bedrag.</t>
  </si>
  <si>
    <t>4.</t>
  </si>
  <si>
    <t>Werkblad Extra Periodieken</t>
  </si>
  <si>
    <t xml:space="preserve">In dit werkblad worden de kosten berekend van de toekenning van extra periodieken. Deze toekenning kan gebaseerd </t>
  </si>
  <si>
    <t>De opgave van de aard van de toekenning heeft als zodanig geen effect op de berekening.</t>
  </si>
  <si>
    <t>De berekening van de kosten van een of meer extra periodieken kan plaats vinden voor de categorieen OP, OOP en Directie.</t>
  </si>
  <si>
    <t>Het werkblad bestuur biedt de mogelijkheid de kosten van extra periodieken te ramen voor de herintreedsters.</t>
  </si>
  <si>
    <t>De kosten van periodieken voor onbetaalde ervaring en voor beloningsdifferentiatie zullen meer een incidenteel karakter hebben,</t>
  </si>
  <si>
    <t>waardoor het beter op individuele basis berekend kan worden met de opgave bij werknemer.</t>
  </si>
  <si>
    <t xml:space="preserve">De aannames in dit werkblad kunnen van bestuur tot bestuur nogal verschillen. Daarom is het nodig de ramingen vast te stellen op </t>
  </si>
  <si>
    <t>basis van de eigen gegevens van het bestuur. Dat geldt zeer sterk voor het percentage herintreders.</t>
  </si>
  <si>
    <t xml:space="preserve">De berekende kosten hebben in principe een structureel karakter zolang er sprake is van een gelijkblijvend niveau van </t>
  </si>
  <si>
    <t>aanstelling van herintreders.</t>
  </si>
  <si>
    <t>5.</t>
  </si>
  <si>
    <t>Voor nadere info dient men zich te wenden tot de eigen bestuurs- en/of managementorganisatie.</t>
  </si>
  <si>
    <t>Leden van VOS/ABB kunnen zich wenden tot:</t>
  </si>
  <si>
    <t>Helpdesk,            tel.: 0348-405250 of, bij voorkeur, per e-mail:    helpdesk@vosabb.nl</t>
  </si>
  <si>
    <t xml:space="preserve">Dit programmaonderdeel heeft niet de pretentie een juiste salarisberekening te maken! Het beoogt een indicatie </t>
  </si>
  <si>
    <t xml:space="preserve">te geven van de omvang van de werkgeverslasten en enig inzicht te geven in de opbouw daarvan. Als zodanig is </t>
  </si>
  <si>
    <t>het een hulpmiddel voor het managent bij het ramen van de personele kosten.</t>
  </si>
  <si>
    <t xml:space="preserve">Door te varieren per schaal en in een schaal wat betreft de inschaling naar regel van laag naar hoog verkrijgt men inzicht </t>
  </si>
  <si>
    <t>Voor het maken van meerjarenformatiebeleid in relatie tot een meerjarenbegroting is deze info van belang.</t>
  </si>
  <si>
    <t xml:space="preserve">In dit werkblad worden de werkgeverslasten berekend van een werknemer in het VO. </t>
  </si>
  <si>
    <t>Postbus 162</t>
  </si>
  <si>
    <t>3440 AD Woerden</t>
  </si>
  <si>
    <t>Tel.: 0348 - 405200</t>
  </si>
  <si>
    <t>Fax: 0348 - 405205</t>
  </si>
  <si>
    <t>www.vosabb.nl</t>
  </si>
  <si>
    <t>LIO</t>
  </si>
  <si>
    <t xml:space="preserve">Werkgeverslasten VO </t>
  </si>
  <si>
    <t>VO</t>
  </si>
  <si>
    <t xml:space="preserve">zijn op de regeling voor herintreders zoals opgenomen in de CAO of als vorm van beloningsdifferentiatie.  </t>
  </si>
  <si>
    <t>Tabel 1 Schijventarief inkomstenbelasting/premie volksverzekeringen</t>
  </si>
  <si>
    <t>AAOP</t>
  </si>
  <si>
    <t>WAO/WIA-basispremie (AOF)</t>
  </si>
  <si>
    <t>totaal</t>
  </si>
  <si>
    <t>WGA-verhaal</t>
  </si>
  <si>
    <t>WAO/WIA</t>
  </si>
  <si>
    <t>debrutering</t>
  </si>
  <si>
    <t>AOP</t>
  </si>
  <si>
    <t>WGA-rekenpremie</t>
  </si>
  <si>
    <t>Uniforme WAO-premie</t>
  </si>
  <si>
    <t>Premie ziektevervanging</t>
  </si>
  <si>
    <t>Werkloosheidslasten</t>
  </si>
  <si>
    <r>
      <t xml:space="preserve">Wat de </t>
    </r>
    <r>
      <rPr>
        <b/>
        <sz val="10"/>
        <rFont val="Arial"/>
        <family val="2"/>
      </rPr>
      <t>WGA rekenpremie</t>
    </r>
    <r>
      <rPr>
        <sz val="10"/>
        <rFont val="Arial"/>
        <family val="2"/>
      </rPr>
      <t xml:space="preserve"> betreft geldt de volgende toelichting:</t>
    </r>
  </si>
  <si>
    <t>versie</t>
  </si>
  <si>
    <t>Daarnaast geldt een levensloopverlofkorting die gelijk is aan het opgenomen bedrag met een</t>
  </si>
  <si>
    <t xml:space="preserve">maximum van </t>
  </si>
  <si>
    <t>per gespaard kalenderjaar.</t>
  </si>
  <si>
    <t>Dat is met name van belang bij de directie- en de OOP-schalen.</t>
  </si>
  <si>
    <t>Bij de opgave van de schaal dient men rekening te houden met het carrièrepatroon van de betreffende schaal!</t>
  </si>
  <si>
    <t>percentages aanpassen voor de nadere vaststelling van het percentage WG-lasten.</t>
  </si>
  <si>
    <t>ook de fiscale voordelen voor de werknemer aangegeven.</t>
  </si>
  <si>
    <t xml:space="preserve">Ook biedt het werkblad de mogelijkheid de kosten van ouderschapsverlof te ramen voor het bestuur </t>
  </si>
  <si>
    <t xml:space="preserve">Op basis van de eigen gegevens van een bestuur zijn de kosten redelijk nauwkeurig te ramen. </t>
  </si>
  <si>
    <t xml:space="preserve">De opgegeven waarden bij Bestuur zijn gebaseerd op landelijke cijfers. Ieder bestuur doet er verstandig aan </t>
  </si>
  <si>
    <t>functie, eveneens met schaal en regel. In de CAO-tabellen kan men zien welke schalen en regels van toepassing zijn.</t>
  </si>
  <si>
    <t xml:space="preserve">De wetgever biedt de werkgever de mogelijkheid, maximaal 50% van de WGA- lasten te verhalen op de werknemer. </t>
  </si>
  <si>
    <t>Verlofwerktijdfactor</t>
  </si>
  <si>
    <t>Belastingen 2009</t>
  </si>
  <si>
    <t>Tarieven, bedragen en percentages vanaf 1 januari 2009</t>
  </si>
  <si>
    <t>Inkomsten</t>
  </si>
  <si>
    <t xml:space="preserve">NB.: De vervangingskosten bij ziekte e.d. zijn niet verrekend in de werkgeverslasten. De werkgever is immers eigen </t>
  </si>
  <si>
    <t xml:space="preserve">risicodrager. Voor de toepassing in de andere werkbladen wordt uitgegaan van een kostenpercentage van zo'n 5% voor </t>
  </si>
  <si>
    <t xml:space="preserve">de ziektevervanging. Voor de wachtgelduitkeringen wordt 1% aangehouden. Op basis van eigen gegevens kan men die </t>
  </si>
  <si>
    <t>Deze toeslag wordt toegekend op basis van CAO artikel 3.5 met Bijlage 12 A6.</t>
  </si>
  <si>
    <t>Deze toeslag wordt toegekend op basis van CAO artikel 3.6 met Bijlage 11.</t>
  </si>
  <si>
    <t xml:space="preserve">In individuele gevallen zal er nog sprake zijn van loonkosten die hier niet zijn opgenomen. Bijvoorbeeld een jubileumuitkering, </t>
  </si>
  <si>
    <t>reiskosten of spaarloon. Dergelijke componenten zijn in dit model niet verwerkt.</t>
  </si>
  <si>
    <t>Voor de werkgeverslasten is al een percentage opgegeven. Dat kan men desgewenst zelf aanpassen. Zie NB. hierboven.</t>
  </si>
  <si>
    <t>Daarbij is de CAO gevolgd die uitgaat van inkorting van de schalen voor leraren tot 1 jan. 2014 en salarismaatregelen per 1 juli</t>
  </si>
  <si>
    <t xml:space="preserve">Sectoren binnen Overheid en Onderwijs hebben afgesproken gebruik te maken van deze mogelijkheid. In de CAO is vastgelegd </t>
  </si>
  <si>
    <t xml:space="preserve">nodig van de medezeggenschapsraad. Het betreft een netto inhouding. </t>
  </si>
  <si>
    <t xml:space="preserve">dat de inhouding alleen betrekking heeft op het deel dat uitgaat boven 0,29%. Voor deze inhouding is geen toestemming </t>
  </si>
  <si>
    <t xml:space="preserve">Voor de premiebetaler betekent dit dat hij maximaal 50% van de WGA- premie die uitstijgt boven de 0,29%, mag verhalen </t>
  </si>
  <si>
    <t xml:space="preserve">op zijn werknemers. </t>
  </si>
  <si>
    <t xml:space="preserve"> per opgenomen verlofuur. Deelname aan de levensloopregeling is niet langer nodig.</t>
  </si>
  <si>
    <t xml:space="preserve">Belastingvoordeel werknemer: Wie (on)betaald ouderschapsverlof opneemt krijgt een fiscaal voordeel van maximaal </t>
  </si>
  <si>
    <t>ID1</t>
  </si>
  <si>
    <t>ID2</t>
  </si>
  <si>
    <t>ID3</t>
  </si>
  <si>
    <t xml:space="preserve">De betaling aan de verlofganger is veranderd per 1 januari 2007 in 55%. Die heeft een belastingvoordeel waarvoor vanaf 1 jan. 2009 </t>
  </si>
  <si>
    <t>deelname aan de levensloopregeling niet langer verplicht is.</t>
  </si>
  <si>
    <t>Bruto-netto traject 2009 Werknemer</t>
  </si>
  <si>
    <t>2009 c</t>
  </si>
  <si>
    <t>De laatste gegevens zijn ontleend aan de CAO VO 2008-2010 zoals geldend per 1 oktober 2009.</t>
  </si>
  <si>
    <t>De kosten van de functiemix kunnen hier ook per persoon geraamd worden voor meerdere jaren.</t>
  </si>
  <si>
    <t>Dit werkblad bevat relevante tabellen, conform de gegevens zoals die per 1 oktober 2009 gelden.</t>
  </si>
  <si>
    <t xml:space="preserve">2008 en vervolgens per 1 okt. 2009. In deze versie is die laatste verhoging meegenomen. </t>
  </si>
  <si>
    <t>Bé Keizer,           tel.: 06-22939674 of, bij voorkeur, per e-mail:    bkeizer@vosabb.nl</t>
  </si>
</sst>
</file>

<file path=xl/styles.xml><?xml version="1.0" encoding="utf-8"?>
<styleSheet xmlns="http://schemas.openxmlformats.org/spreadsheetml/2006/main">
  <numFmts count="3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/mm/yy"/>
    <numFmt numFmtId="179" formatCode="0.0000"/>
    <numFmt numFmtId="180" formatCode="#,##0.00_ ;\-#,##0.00\ "/>
    <numFmt numFmtId="181" formatCode="0.000%"/>
    <numFmt numFmtId="182" formatCode="#,##0.00_ ;[Red]\-#,##0.00\ "/>
    <numFmt numFmtId="183" formatCode="0.0%"/>
    <numFmt numFmtId="184" formatCode="0.0"/>
    <numFmt numFmtId="185" formatCode="#,##0.0000_ ;\-#,##0.0000\ "/>
    <numFmt numFmtId="186" formatCode="#,##0_-"/>
    <numFmt numFmtId="187" formatCode="#,##0.0"/>
  </numFmts>
  <fonts count="2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8"/>
      <name val="Tahoma"/>
      <family val="0"/>
    </font>
    <font>
      <b/>
      <sz val="9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78" fontId="3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179" fontId="0" fillId="2" borderId="0" xfId="0" applyNumberForma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/>
    </xf>
    <xf numFmtId="10" fontId="1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0" fontId="0" fillId="0" borderId="0" xfId="0" applyNumberFormat="1" applyFont="1" applyAlignment="1" applyProtection="1">
      <alignment/>
      <protection/>
    </xf>
    <xf numFmtId="2" fontId="0" fillId="2" borderId="0" xfId="0" applyNumberFormat="1" applyFill="1" applyAlignment="1" applyProtection="1">
      <alignment/>
      <protection locked="0"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4" fontId="0" fillId="2" borderId="0" xfId="0" applyNumberFormat="1" applyFill="1" applyAlignment="1" applyProtection="1">
      <alignment/>
      <protection locked="0"/>
    </xf>
    <xf numFmtId="182" fontId="0" fillId="2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2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170" fontId="0" fillId="2" borderId="0" xfId="0" applyNumberForma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9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0" fontId="11" fillId="0" borderId="0" xfId="0" applyFont="1" applyAlignment="1">
      <alignment/>
    </xf>
    <xf numFmtId="170" fontId="4" fillId="0" borderId="0" xfId="0" applyNumberFormat="1" applyFont="1" applyAlignment="1">
      <alignment/>
    </xf>
    <xf numFmtId="0" fontId="1" fillId="2" borderId="0" xfId="0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168" fontId="0" fillId="2" borderId="0" xfId="0" applyNumberFormat="1" applyFill="1" applyAlignment="1" applyProtection="1">
      <alignment/>
      <protection locked="0"/>
    </xf>
    <xf numFmtId="168" fontId="0" fillId="0" borderId="0" xfId="0" applyNumberFormat="1" applyAlignment="1">
      <alignment/>
    </xf>
    <xf numFmtId="0" fontId="3" fillId="2" borderId="0" xfId="0" applyNumberFormat="1" applyFont="1" applyFill="1" applyAlignment="1" applyProtection="1">
      <alignment horizontal="right"/>
      <protection locked="0"/>
    </xf>
    <xf numFmtId="17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185" fontId="0" fillId="2" borderId="0" xfId="0" applyNumberFormat="1" applyFill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85" fontId="0" fillId="2" borderId="0" xfId="0" applyNumberFormat="1" applyFill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9" fontId="0" fillId="2" borderId="0" xfId="0" applyNumberFormat="1" applyFont="1" applyFill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/>
      <protection/>
    </xf>
    <xf numFmtId="0" fontId="6" fillId="0" borderId="0" xfId="0" applyFont="1" applyAlignment="1">
      <alignment/>
    </xf>
    <xf numFmtId="186" fontId="0" fillId="0" borderId="0" xfId="0" applyNumberFormat="1" applyAlignment="1">
      <alignment/>
    </xf>
    <xf numFmtId="186" fontId="0" fillId="2" borderId="0" xfId="0" applyNumberFormat="1" applyFill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Font="1" applyAlignment="1" applyProtection="1">
      <alignment horizontal="right"/>
      <protection/>
    </xf>
    <xf numFmtId="170" fontId="1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Alignment="1">
      <alignment/>
    </xf>
    <xf numFmtId="4" fontId="15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4" fontId="18" fillId="0" borderId="0" xfId="0" applyNumberFormat="1" applyFont="1" applyFill="1" applyAlignment="1" applyProtection="1">
      <alignment/>
      <protection/>
    </xf>
    <xf numFmtId="10" fontId="18" fillId="0" borderId="0" xfId="0" applyNumberFormat="1" applyFont="1" applyFill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182" fontId="18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8" fontId="1" fillId="2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26</xdr:row>
      <xdr:rowOff>133350</xdr:rowOff>
    </xdr:from>
    <xdr:to>
      <xdr:col>15</xdr:col>
      <xdr:colOff>314325</xdr:colOff>
      <xdr:row>30</xdr:row>
      <xdr:rowOff>95250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482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6</xdr:row>
      <xdr:rowOff>152400</xdr:rowOff>
    </xdr:from>
    <xdr:to>
      <xdr:col>11</xdr:col>
      <xdr:colOff>904875</xdr:colOff>
      <xdr:row>10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5850"/>
          <a:ext cx="1924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104775</xdr:rowOff>
    </xdr:from>
    <xdr:to>
      <xdr:col>13</xdr:col>
      <xdr:colOff>361950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0099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15</xdr:row>
      <xdr:rowOff>38100</xdr:rowOff>
    </xdr:from>
    <xdr:to>
      <xdr:col>13</xdr:col>
      <xdr:colOff>266700</xdr:colOff>
      <xdr:row>19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371725"/>
          <a:ext cx="2219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127</xdr:row>
      <xdr:rowOff>38100</xdr:rowOff>
    </xdr:from>
    <xdr:to>
      <xdr:col>7</xdr:col>
      <xdr:colOff>266700</xdr:colOff>
      <xdr:row>131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06121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60"/>
  <sheetViews>
    <sheetView tabSelected="1" zoomScale="85" zoomScaleNormal="85" workbookViewId="0" topLeftCell="A1">
      <selection activeCell="F4" sqref="F4"/>
    </sheetView>
  </sheetViews>
  <sheetFormatPr defaultColWidth="9.140625" defaultRowHeight="12.75"/>
  <cols>
    <col min="1" max="1" width="3.28125" style="10" customWidth="1"/>
    <col min="2" max="2" width="7.57421875" style="10" customWidth="1"/>
    <col min="3" max="3" width="17.00390625" style="10" customWidth="1"/>
    <col min="4" max="4" width="12.421875" style="10" customWidth="1"/>
    <col min="5" max="5" width="8.28125" style="10" customWidth="1"/>
    <col min="6" max="6" width="13.28125" style="10" customWidth="1"/>
    <col min="7" max="7" width="10.140625" style="10" customWidth="1"/>
    <col min="8" max="8" width="12.140625" style="10" customWidth="1"/>
    <col min="9" max="9" width="4.7109375" style="10" customWidth="1"/>
    <col min="10" max="10" width="5.8515625" style="10" customWidth="1"/>
    <col min="11" max="11" width="11.421875" style="10" customWidth="1"/>
    <col min="12" max="13" width="9.7109375" style="10" customWidth="1"/>
    <col min="14" max="14" width="11.00390625" style="10" customWidth="1"/>
    <col min="15" max="15" width="11.28125" style="10" customWidth="1"/>
    <col min="16" max="16" width="12.8515625" style="10" customWidth="1"/>
    <col min="17" max="16384" width="9.7109375" style="10" customWidth="1"/>
  </cols>
  <sheetData>
    <row r="1" ht="14.25" customHeight="1"/>
    <row r="2" spans="2:11" ht="15.75">
      <c r="B2" s="11" t="s">
        <v>254</v>
      </c>
      <c r="G2" s="11" t="s">
        <v>270</v>
      </c>
      <c r="H2" s="124" t="s">
        <v>309</v>
      </c>
      <c r="K2" s="11"/>
    </row>
    <row r="3" spans="2:28" ht="15.75">
      <c r="B3" s="33"/>
      <c r="H3" s="36"/>
      <c r="K3" s="11"/>
      <c r="AA3" s="5" t="s">
        <v>6</v>
      </c>
      <c r="AB3" s="5" t="s">
        <v>82</v>
      </c>
    </row>
    <row r="4" spans="1:28" ht="12.75" customHeight="1">
      <c r="A4" s="12"/>
      <c r="B4" s="11" t="s">
        <v>76</v>
      </c>
      <c r="C4" s="38"/>
      <c r="E4" s="38"/>
      <c r="F4" s="125" t="s">
        <v>17</v>
      </c>
      <c r="H4" s="36"/>
      <c r="I4" s="38"/>
      <c r="K4" s="11"/>
      <c r="AA4" s="110"/>
      <c r="AB4" s="50"/>
    </row>
    <row r="5" spans="2:28" s="38" customFormat="1" ht="15.75">
      <c r="B5" s="13" t="s">
        <v>111</v>
      </c>
      <c r="D5" s="10"/>
      <c r="F5" s="41">
        <v>1988</v>
      </c>
      <c r="G5" s="112">
        <v>2009</v>
      </c>
      <c r="H5" s="113">
        <f>+G5-F5</f>
        <v>21</v>
      </c>
      <c r="K5" s="11" t="s">
        <v>58</v>
      </c>
      <c r="O5" s="39" t="s">
        <v>55</v>
      </c>
      <c r="P5" s="40" t="s">
        <v>56</v>
      </c>
      <c r="Q5" s="40"/>
      <c r="R5" s="40" t="s">
        <v>81</v>
      </c>
      <c r="AA5" s="110" t="s">
        <v>2</v>
      </c>
      <c r="AB5" s="50">
        <v>17</v>
      </c>
    </row>
    <row r="6" spans="2:31" ht="12.75">
      <c r="B6" s="13" t="s">
        <v>8</v>
      </c>
      <c r="D6" s="10" t="s">
        <v>6</v>
      </c>
      <c r="F6" s="20">
        <v>5</v>
      </c>
      <c r="G6" s="59">
        <f>IF(AND(F6&gt;0,F6&lt;16),0,100)</f>
        <v>0</v>
      </c>
      <c r="J6" s="36" t="s">
        <v>40</v>
      </c>
      <c r="K6" s="13" t="s">
        <v>54</v>
      </c>
      <c r="O6" s="37">
        <f>+F27</f>
        <v>580.9166666666666</v>
      </c>
      <c r="P6" s="37">
        <f>+F23</f>
        <v>6971</v>
      </c>
      <c r="Q6" s="27" t="s">
        <v>79</v>
      </c>
      <c r="R6" s="10" t="s">
        <v>80</v>
      </c>
      <c r="AA6" s="110" t="s">
        <v>3</v>
      </c>
      <c r="AB6" s="50">
        <v>17</v>
      </c>
      <c r="AD6" s="10" t="s">
        <v>73</v>
      </c>
      <c r="AE6" s="34" t="s">
        <v>70</v>
      </c>
    </row>
    <row r="7" spans="4:31" ht="12.75">
      <c r="D7" s="10" t="s">
        <v>7</v>
      </c>
      <c r="F7" s="19">
        <v>1</v>
      </c>
      <c r="G7" s="45" t="str">
        <f>IF(AND(F7&gt;-1,F7&lt;I7+1)," ",V7)</f>
        <v> </v>
      </c>
      <c r="H7" s="10" t="s">
        <v>57</v>
      </c>
      <c r="I7" s="10">
        <f>VLOOKUP(F6,salaristabellen,20,FALSE)</f>
        <v>12</v>
      </c>
      <c r="J7" s="36" t="s">
        <v>41</v>
      </c>
      <c r="K7" s="13" t="s">
        <v>28</v>
      </c>
      <c r="O7" s="30">
        <f>IF($F$23/$F$9&lt;tabellen!F33,0,($F$23-tabellen!F33*$F$9)/12)*tabellen!$D33</f>
        <v>47.68066666666667</v>
      </c>
      <c r="P7" s="30">
        <f>IF($F$23/$F$9&lt;tabellen!F33,0,(+$F$23-tabellen!F33*$F$9))*tabellen!$D33</f>
        <v>572.168</v>
      </c>
      <c r="Q7" s="28">
        <f aca="true" t="shared" si="0" ref="Q7:Q15">+P7/P$6</f>
        <v>0.0820783244871611</v>
      </c>
      <c r="R7" s="46">
        <f aca="true" t="shared" si="1" ref="R7:R15">+P7/(12*F$10)</f>
        <v>0.09908700471044611</v>
      </c>
      <c r="S7" s="46"/>
      <c r="T7" s="46"/>
      <c r="U7" s="46"/>
      <c r="V7" s="44" t="s">
        <v>59</v>
      </c>
      <c r="AA7" s="110" t="s">
        <v>4</v>
      </c>
      <c r="AB7" s="50">
        <v>17</v>
      </c>
      <c r="AD7" s="10" t="s">
        <v>74</v>
      </c>
      <c r="AE7" s="34" t="s">
        <v>77</v>
      </c>
    </row>
    <row r="8" spans="4:30" ht="12.75">
      <c r="D8" s="10" t="s">
        <v>9</v>
      </c>
      <c r="F8" s="31">
        <f>VLOOKUP(F6,salaristabellen,F7+1,FALSE)</f>
        <v>1604</v>
      </c>
      <c r="J8" s="36" t="s">
        <v>42</v>
      </c>
      <c r="K8" s="13" t="s">
        <v>258</v>
      </c>
      <c r="O8" s="30">
        <f>IF($F$23/$F$9&lt;tabellen!F34,0,(+$F$23-tabellen!F34*$F$9)/12)*tabellen!$D34</f>
        <v>0.40025</v>
      </c>
      <c r="P8" s="30">
        <f>IF($F$23/$F$9&lt;tabellen!F34,0,(+$F$23-tabellen!F34*$F$9))*tabellen!$D34</f>
        <v>4.803</v>
      </c>
      <c r="Q8" s="28">
        <f t="shared" si="0"/>
        <v>0.0006889972744226079</v>
      </c>
      <c r="R8" s="46">
        <f t="shared" si="1"/>
        <v>0.0008317747298420615</v>
      </c>
      <c r="AA8" s="110" t="s">
        <v>5</v>
      </c>
      <c r="AB8" s="50">
        <v>17</v>
      </c>
      <c r="AD8" s="10" t="s">
        <v>75</v>
      </c>
    </row>
    <row r="9" spans="2:28" ht="12.75">
      <c r="B9" s="13" t="s">
        <v>10</v>
      </c>
      <c r="F9" s="21">
        <v>0.3</v>
      </c>
      <c r="J9" s="36" t="s">
        <v>43</v>
      </c>
      <c r="K9" s="13" t="s">
        <v>31</v>
      </c>
      <c r="L9" s="10" t="s">
        <v>33</v>
      </c>
      <c r="O9" s="30">
        <f>$F$23/12*tabellen!$D35</f>
        <v>9.294666666666666</v>
      </c>
      <c r="P9" s="30">
        <f>$F$23*tabellen!$D35</f>
        <v>111.536</v>
      </c>
      <c r="Q9" s="28">
        <f t="shared" si="0"/>
        <v>0.016</v>
      </c>
      <c r="R9" s="46">
        <f t="shared" si="1"/>
        <v>0.019315599889165976</v>
      </c>
      <c r="AA9" s="111">
        <v>1</v>
      </c>
      <c r="AB9" s="50">
        <v>7</v>
      </c>
    </row>
    <row r="10" spans="4:28" ht="12.75">
      <c r="D10" s="10" t="s">
        <v>11</v>
      </c>
      <c r="F10" s="31">
        <f>+F8*F9</f>
        <v>481.2</v>
      </c>
      <c r="J10" s="36" t="s">
        <v>44</v>
      </c>
      <c r="K10" s="13" t="s">
        <v>262</v>
      </c>
      <c r="O10" s="30">
        <f>IF(H5&lt;55,IF($F$32&gt;tabellen!$H$37/12,tabellen!$H$37/12,$F$32)*(tabellen!D36+tabellen!$D37+tabellen!$D38-tabellen!E38),IF($F$32&gt;tabellen!$H$37/12,tabellen!$H$37/12,$F$32)*(tabellen!$D38))</f>
        <v>35.1757454</v>
      </c>
      <c r="P10" s="30">
        <f>IF(H5&lt;55,IF($H$32&gt;tabellen!$H$37,tabellen!$H$37,$H$32)*(tabellen!D36+tabellen!$D37+tabellen!$D38-tabellen!E38),IF($H$32&gt;tabellen!$H$37,tabellen!$H$37,$H$32)*(tabellen!$D38))</f>
        <v>422.1089448000001</v>
      </c>
      <c r="Q10" s="28">
        <f t="shared" si="0"/>
        <v>0.06055213668053365</v>
      </c>
      <c r="R10" s="46">
        <f t="shared" si="1"/>
        <v>0.07310005278470492</v>
      </c>
      <c r="AA10" s="111">
        <v>2</v>
      </c>
      <c r="AB10" s="50">
        <v>8</v>
      </c>
    </row>
    <row r="11" spans="2:28" ht="12.75">
      <c r="B11" s="13" t="s">
        <v>24</v>
      </c>
      <c r="J11" s="36" t="s">
        <v>45</v>
      </c>
      <c r="K11" s="13" t="s">
        <v>91</v>
      </c>
      <c r="O11" s="30">
        <f>+F33</f>
        <v>38.4</v>
      </c>
      <c r="P11" s="30">
        <f>+H33</f>
        <v>460.85</v>
      </c>
      <c r="Q11" s="28">
        <f t="shared" si="0"/>
        <v>0.06610959690144887</v>
      </c>
      <c r="R11" s="46">
        <f t="shared" si="1"/>
        <v>0.07980915766140206</v>
      </c>
      <c r="AA11" s="111">
        <v>3</v>
      </c>
      <c r="AB11" s="50">
        <v>9</v>
      </c>
    </row>
    <row r="12" spans="2:28" ht="12.75">
      <c r="B12" s="13"/>
      <c r="C12" s="34" t="s">
        <v>38</v>
      </c>
      <c r="D12" s="19" t="s">
        <v>2</v>
      </c>
      <c r="E12" s="20" t="s">
        <v>77</v>
      </c>
      <c r="F12" s="31">
        <f>ROUND(IF(E12="j",VLOOKUP(D12,uitlooptoeslag,2,FALSE))*IF(F9&gt;1,1,F9),2)</f>
        <v>0</v>
      </c>
      <c r="J12" s="36" t="s">
        <v>46</v>
      </c>
      <c r="K12" s="13" t="s">
        <v>49</v>
      </c>
      <c r="O12" s="30">
        <f>IF($F$32&gt;tabellen!$H$41*$F$9/12,tabellen!$H$41*$F$9/12,$F$32)*tabellen!$D41</f>
        <v>6.233676399999999</v>
      </c>
      <c r="P12" s="30">
        <f>IF($H$32&gt;tabellen!$H$41*$F$9,tabellen!$H$41*$F$9,$H$32)*tabellen!$D41</f>
        <v>74.8041168</v>
      </c>
      <c r="Q12" s="28">
        <f t="shared" si="0"/>
        <v>0.010730758399081912</v>
      </c>
      <c r="R12" s="46">
        <f t="shared" si="1"/>
        <v>0.01295443973399834</v>
      </c>
      <c r="AA12" s="111">
        <v>4</v>
      </c>
      <c r="AB12" s="50">
        <v>11</v>
      </c>
    </row>
    <row r="13" spans="3:28" ht="12.75">
      <c r="C13" s="34" t="s">
        <v>25</v>
      </c>
      <c r="E13" s="27">
        <v>0.08</v>
      </c>
      <c r="F13" s="30">
        <f>ROUND(IF((F$10+F$12)*E13&lt;F9*tabellen!E59,F9*tabellen!E59,(F$10+F$12)*E13),2)</f>
        <v>41.28</v>
      </c>
      <c r="J13" s="36" t="s">
        <v>47</v>
      </c>
      <c r="K13" s="13" t="s">
        <v>267</v>
      </c>
      <c r="L13" s="13"/>
      <c r="O13" s="30">
        <f>+$F$32*tabellen!$D42</f>
        <v>0</v>
      </c>
      <c r="P13" s="30">
        <f>+$H$32*tabellen!$D42</f>
        <v>0</v>
      </c>
      <c r="Q13" s="28">
        <f t="shared" si="0"/>
        <v>0</v>
      </c>
      <c r="R13" s="46">
        <f t="shared" si="1"/>
        <v>0</v>
      </c>
      <c r="AA13" s="111">
        <v>5</v>
      </c>
      <c r="AB13" s="50">
        <v>12</v>
      </c>
    </row>
    <row r="14" spans="3:28" ht="12.75">
      <c r="C14" s="34" t="s">
        <v>86</v>
      </c>
      <c r="E14" s="28">
        <f>+tabellen!E60+IF(F5&lt;1950,0,tabellen!D56)</f>
        <v>0.07400000000000001</v>
      </c>
      <c r="F14" s="30">
        <f>ROUND(+(F$10+F$12)*E14,2)</f>
        <v>35.61</v>
      </c>
      <c r="J14" s="36" t="s">
        <v>48</v>
      </c>
      <c r="K14" s="13" t="s">
        <v>268</v>
      </c>
      <c r="L14" s="13"/>
      <c r="O14" s="30">
        <f>+$F$32*tabellen!$D43</f>
        <v>0</v>
      </c>
      <c r="P14" s="30">
        <f>+$H$32*tabellen!$D43</f>
        <v>0</v>
      </c>
      <c r="Q14" s="28">
        <f t="shared" si="0"/>
        <v>0</v>
      </c>
      <c r="R14" s="46">
        <f t="shared" si="1"/>
        <v>0</v>
      </c>
      <c r="AA14" s="111">
        <v>6</v>
      </c>
      <c r="AB14" s="50">
        <v>11</v>
      </c>
    </row>
    <row r="15" spans="3:28" ht="12.75">
      <c r="C15" s="34" t="s">
        <v>121</v>
      </c>
      <c r="E15" s="28"/>
      <c r="F15" s="30">
        <f>+tabellen!D54*F9</f>
        <v>9.578999999999999</v>
      </c>
      <c r="J15" s="36" t="s">
        <v>70</v>
      </c>
      <c r="K15" s="13" t="s">
        <v>263</v>
      </c>
      <c r="O15" s="30">
        <f>+G22/12</f>
        <v>11.03671900556101</v>
      </c>
      <c r="P15" s="30">
        <f>+G22</f>
        <v>132.4406280667321</v>
      </c>
      <c r="Q15" s="28">
        <f t="shared" si="0"/>
        <v>0.018998799034103012</v>
      </c>
      <c r="R15" s="46">
        <f t="shared" si="1"/>
        <v>0.022935825032337924</v>
      </c>
      <c r="AA15" s="111">
        <v>7</v>
      </c>
      <c r="AB15" s="50">
        <v>12</v>
      </c>
    </row>
    <row r="16" spans="3:28" ht="12.75">
      <c r="C16" s="34" t="s">
        <v>119</v>
      </c>
      <c r="D16" s="58">
        <f>IF(G6=100,0,F6)</f>
        <v>5</v>
      </c>
      <c r="E16" s="28"/>
      <c r="F16" s="30">
        <f>VLOOKUP(D16,eindejaarsuitkering_OOP,2,TRUE)*F9/12</f>
        <v>24.252</v>
      </c>
      <c r="J16" s="36" t="s">
        <v>92</v>
      </c>
      <c r="K16" s="13" t="s">
        <v>26</v>
      </c>
      <c r="O16" s="30">
        <f>SUM(O6:O15)</f>
        <v>729.138390805561</v>
      </c>
      <c r="P16" s="30">
        <f>SUM(P6:P15)</f>
        <v>8749.710689666732</v>
      </c>
      <c r="Q16" s="28">
        <f>+P16/P$6-1</f>
        <v>0.2551586127767511</v>
      </c>
      <c r="R16" s="46">
        <f>+P16/(12*F$10)-1</f>
        <v>0.5152588476147708</v>
      </c>
      <c r="S16" s="28"/>
      <c r="AA16" s="111">
        <v>8</v>
      </c>
      <c r="AB16" s="50">
        <v>13</v>
      </c>
    </row>
    <row r="17" spans="2:28" ht="12.75">
      <c r="B17" s="13" t="s">
        <v>26</v>
      </c>
      <c r="F17" s="30">
        <f>+F10+SUM(F12:F16)</f>
        <v>591.9209999999999</v>
      </c>
      <c r="J17"/>
      <c r="K17" s="13" t="s">
        <v>50</v>
      </c>
      <c r="O17" s="37">
        <f>+O16</f>
        <v>729.138390805561</v>
      </c>
      <c r="P17" s="37">
        <f>+P16</f>
        <v>8749.710689666732</v>
      </c>
      <c r="Q17" s="28">
        <f>+P17/P$6-1</f>
        <v>0.2551586127767511</v>
      </c>
      <c r="R17" s="46">
        <f>+P17/(12*F$10)-1</f>
        <v>0.5152588476147708</v>
      </c>
      <c r="AA17" s="111">
        <v>9</v>
      </c>
      <c r="AB17" s="50">
        <v>10</v>
      </c>
    </row>
    <row r="18" spans="2:28" ht="12.75">
      <c r="B18" s="13" t="s">
        <v>27</v>
      </c>
      <c r="F18" s="30">
        <f>+F17*12</f>
        <v>7103.052</v>
      </c>
      <c r="J18" s="36"/>
      <c r="K18" s="13" t="s">
        <v>78</v>
      </c>
      <c r="O18" s="28">
        <f>+(O17/O6-1)</f>
        <v>0.25515144020466685</v>
      </c>
      <c r="P18" s="28">
        <f>+(P17/P6-1)</f>
        <v>0.2551586127767511</v>
      </c>
      <c r="Q18" s="28"/>
      <c r="R18" s="46"/>
      <c r="AA18" s="111">
        <v>10</v>
      </c>
      <c r="AB18" s="50">
        <v>13</v>
      </c>
    </row>
    <row r="19" spans="2:28" ht="12.75" customHeight="1">
      <c r="B19" s="13" t="s">
        <v>72</v>
      </c>
      <c r="D19" s="19" t="s">
        <v>73</v>
      </c>
      <c r="E19" s="20" t="s">
        <v>77</v>
      </c>
      <c r="F19" s="31">
        <f>ROUND(IF(E19="j",VLOOKUP(D19,bindingstoelage,2,FALSE))*IF(F9&gt;1,1,F9),2)</f>
        <v>0</v>
      </c>
      <c r="J19" s="40"/>
      <c r="K19" s="13"/>
      <c r="O19" s="28"/>
      <c r="P19" s="28"/>
      <c r="Q19" s="28"/>
      <c r="R19" s="46"/>
      <c r="AA19" s="111">
        <v>11</v>
      </c>
      <c r="AB19" s="50">
        <v>17</v>
      </c>
    </row>
    <row r="20" spans="2:28" ht="15.75">
      <c r="B20" s="13" t="s">
        <v>26</v>
      </c>
      <c r="F20" s="31">
        <f>ROUND(SUM(F18:F19),0)</f>
        <v>7103</v>
      </c>
      <c r="J20" s="16"/>
      <c r="K20" s="11" t="s">
        <v>51</v>
      </c>
      <c r="L20" s="11"/>
      <c r="M20" s="11"/>
      <c r="N20" s="11"/>
      <c r="O20" s="43">
        <f>+O17/F10-1</f>
        <v>0.515250188706486</v>
      </c>
      <c r="P20" s="43">
        <f>+P17/(F10*12)-1</f>
        <v>0.5152588476147708</v>
      </c>
      <c r="Q20" s="28"/>
      <c r="R20" s="46"/>
      <c r="AA20" s="111">
        <v>12</v>
      </c>
      <c r="AB20" s="50">
        <v>16</v>
      </c>
    </row>
    <row r="21" spans="1:28" s="38" customFormat="1" ht="15">
      <c r="A21" s="10"/>
      <c r="B21" s="13" t="s">
        <v>53</v>
      </c>
      <c r="C21" s="10"/>
      <c r="D21" s="10"/>
      <c r="E21" s="28">
        <v>0.019</v>
      </c>
      <c r="F21" s="31">
        <f>+(F20/(1+1.9%))*E21</f>
        <v>132.4406280667321</v>
      </c>
      <c r="G21" s="10"/>
      <c r="H21" s="10"/>
      <c r="J21" s="10"/>
      <c r="K21" s="10"/>
      <c r="L21" s="10"/>
      <c r="M21" s="10"/>
      <c r="N21" s="10"/>
      <c r="O21" s="10"/>
      <c r="P21" s="10"/>
      <c r="Q21" s="10"/>
      <c r="R21" s="10"/>
      <c r="AA21" s="111">
        <v>13</v>
      </c>
      <c r="AB21" s="50">
        <v>13</v>
      </c>
    </row>
    <row r="22" spans="2:28" ht="12.75">
      <c r="B22" s="13" t="s">
        <v>52</v>
      </c>
      <c r="F22" s="31">
        <v>791.85</v>
      </c>
      <c r="G22" s="106">
        <f>IF(F22&gt;F21,F21,F22)</f>
        <v>132.4406280667321</v>
      </c>
      <c r="K22"/>
      <c r="AA22" s="111">
        <v>14</v>
      </c>
      <c r="AB22" s="50">
        <v>11</v>
      </c>
    </row>
    <row r="23" spans="1:28" ht="15.75">
      <c r="A23" s="38"/>
      <c r="B23" s="11" t="s">
        <v>54</v>
      </c>
      <c r="C23" s="38"/>
      <c r="D23" s="38"/>
      <c r="E23" s="38"/>
      <c r="F23" s="42">
        <f>ROUND(F20-IF(F22&gt;F21,F21,F22),0)</f>
        <v>6971</v>
      </c>
      <c r="G23" s="38"/>
      <c r="H23" s="38"/>
      <c r="AA23" s="111">
        <v>15</v>
      </c>
      <c r="AB23" s="50">
        <v>12</v>
      </c>
    </row>
    <row r="24" spans="2:28" ht="12.75">
      <c r="B24"/>
      <c r="C24"/>
      <c r="D24"/>
      <c r="E24"/>
      <c r="F24"/>
      <c r="G24"/>
      <c r="H24"/>
      <c r="I24"/>
      <c r="J24"/>
      <c r="AA24" s="111">
        <v>16</v>
      </c>
      <c r="AB24" s="50">
        <v>12</v>
      </c>
    </row>
    <row r="25" spans="1:28" ht="15">
      <c r="A25" s="38"/>
      <c r="B25" s="13"/>
      <c r="F25" s="18"/>
      <c r="AA25" s="111">
        <v>17</v>
      </c>
      <c r="AB25" s="50">
        <v>12</v>
      </c>
    </row>
    <row r="26" spans="2:28" ht="15.75" thickBot="1">
      <c r="B26" s="12" t="s">
        <v>308</v>
      </c>
      <c r="F26" s="35" t="s">
        <v>55</v>
      </c>
      <c r="H26" s="13" t="s">
        <v>56</v>
      </c>
      <c r="AA26" s="111" t="s">
        <v>303</v>
      </c>
      <c r="AB26" s="50">
        <v>9</v>
      </c>
    </row>
    <row r="27" spans="1:28" ht="13.5" thickTop="1">
      <c r="A27" s="36" t="s">
        <v>40</v>
      </c>
      <c r="B27" s="13" t="s">
        <v>54</v>
      </c>
      <c r="F27" s="37">
        <f>+F23/12</f>
        <v>580.9166666666666</v>
      </c>
      <c r="H27" s="37">
        <f>+F23</f>
        <v>6971</v>
      </c>
      <c r="L27" s="91"/>
      <c r="M27" s="75"/>
      <c r="N27" s="75"/>
      <c r="O27" s="75"/>
      <c r="P27" s="92"/>
      <c r="AA27" s="111" t="s">
        <v>304</v>
      </c>
      <c r="AB27" s="50">
        <v>8</v>
      </c>
    </row>
    <row r="28" spans="1:28" ht="12.75">
      <c r="A28" s="36" t="s">
        <v>41</v>
      </c>
      <c r="B28" s="13" t="s">
        <v>28</v>
      </c>
      <c r="E28" s="30">
        <f>IF($F$23/$F$9&lt;tabellen!F33,0,(+$F$23-tabellen!F33*F9)/12*tabellen!$E33)</f>
        <v>21.263</v>
      </c>
      <c r="G28" s="30">
        <f>IF($F$23/$F$9&lt;tabellen!F33,0,(+$F$23-tabellen!F33*F9)*tabellen!$E33)</f>
        <v>255.156</v>
      </c>
      <c r="L28" s="67"/>
      <c r="M28" s="66"/>
      <c r="N28" s="66"/>
      <c r="O28" s="68"/>
      <c r="P28" s="94"/>
      <c r="Z28" s="8"/>
      <c r="AA28" s="111" t="s">
        <v>305</v>
      </c>
      <c r="AB28" s="50">
        <v>7</v>
      </c>
    </row>
    <row r="29" spans="1:28" ht="15">
      <c r="A29" s="36" t="s">
        <v>42</v>
      </c>
      <c r="B29" s="13" t="s">
        <v>258</v>
      </c>
      <c r="E29" s="30">
        <f>IF($F$23/$F$9&lt;tabellen!F34,0,(+$F$23-tabellen!F34*$F$9)/12*tabellen!$E34)</f>
        <v>0.13341666666666666</v>
      </c>
      <c r="G29" s="30">
        <f>IF($F$23/$F$9&lt;tabellen!F34,0,(+$F$23-tabellen!F34*$F$9)*tabellen!$E34)</f>
        <v>1.601</v>
      </c>
      <c r="I29" s="18"/>
      <c r="J29" s="18"/>
      <c r="L29" s="105" t="s">
        <v>134</v>
      </c>
      <c r="M29" s="66"/>
      <c r="N29" s="66"/>
      <c r="O29" s="66"/>
      <c r="P29" s="94"/>
      <c r="AA29" s="111" t="s">
        <v>253</v>
      </c>
      <c r="AB29" s="50">
        <v>1</v>
      </c>
    </row>
    <row r="30" spans="1:28" ht="12.75">
      <c r="A30" s="36" t="s">
        <v>43</v>
      </c>
      <c r="B30" s="13" t="s">
        <v>31</v>
      </c>
      <c r="C30" s="10" t="s">
        <v>33</v>
      </c>
      <c r="E30" s="30">
        <f>$F$23/12*tabellen!$E35</f>
        <v>13.942</v>
      </c>
      <c r="G30" s="30">
        <f>$F$23*tabellen!$E35</f>
        <v>167.304</v>
      </c>
      <c r="L30" s="67"/>
      <c r="M30" s="66"/>
      <c r="N30" s="66"/>
      <c r="O30" s="66"/>
      <c r="P30" s="94"/>
      <c r="S30" s="8"/>
      <c r="T30" s="8"/>
      <c r="U30" s="8"/>
      <c r="V30" s="8"/>
      <c r="W30" s="8"/>
      <c r="X30" s="8"/>
      <c r="Y30" s="8"/>
      <c r="Z30" s="8"/>
      <c r="AA30"/>
      <c r="AB30"/>
    </row>
    <row r="31" spans="1:28" ht="12.75">
      <c r="A31" s="36" t="s">
        <v>44</v>
      </c>
      <c r="B31" s="13" t="s">
        <v>37</v>
      </c>
      <c r="E31" s="30">
        <f>SUM(E28:E30)</f>
        <v>35.33841666666667</v>
      </c>
      <c r="F31" s="18"/>
      <c r="G31" s="30">
        <f>SUM(G28:G30)</f>
        <v>424.06100000000004</v>
      </c>
      <c r="H31" s="18"/>
      <c r="L31" s="67"/>
      <c r="M31" s="66"/>
      <c r="N31" s="107" t="s">
        <v>248</v>
      </c>
      <c r="O31" s="66"/>
      <c r="P31" s="94"/>
      <c r="AA31"/>
      <c r="AB31"/>
    </row>
    <row r="32" spans="1:28" ht="12.75">
      <c r="A32" s="36" t="s">
        <v>45</v>
      </c>
      <c r="B32" s="13" t="s">
        <v>90</v>
      </c>
      <c r="F32" s="30">
        <f>+F20/12-E31</f>
        <v>556.5782499999999</v>
      </c>
      <c r="G32" s="18"/>
      <c r="H32" s="30">
        <f>+F20-G31</f>
        <v>6678.939</v>
      </c>
      <c r="L32" s="67"/>
      <c r="M32" s="66"/>
      <c r="N32" s="107" t="s">
        <v>249</v>
      </c>
      <c r="O32" s="66"/>
      <c r="P32" s="94"/>
      <c r="AA32"/>
      <c r="AB32"/>
    </row>
    <row r="33" spans="1:28" ht="12.75">
      <c r="A33" s="36" t="s">
        <v>46</v>
      </c>
      <c r="B33" s="13" t="s">
        <v>91</v>
      </c>
      <c r="F33" s="30">
        <f>+F36</f>
        <v>38.4</v>
      </c>
      <c r="G33" s="37"/>
      <c r="H33" s="30">
        <f>+H36</f>
        <v>460.85</v>
      </c>
      <c r="I33" s="123">
        <f>IF($H$32&lt;tabellen!$F$39,0,IF($H$32&gt;tabellen!$H$39,tabellen!$H$39,$H$32)-tabellen!$F$39)*tabellen!$E39</f>
        <v>0</v>
      </c>
      <c r="L33" s="67"/>
      <c r="M33" s="66"/>
      <c r="N33" s="107" t="s">
        <v>250</v>
      </c>
      <c r="O33" s="66"/>
      <c r="P33" s="94"/>
      <c r="AA33"/>
      <c r="AB33"/>
    </row>
    <row r="34" spans="1:28" ht="12.75">
      <c r="A34" s="36" t="s">
        <v>47</v>
      </c>
      <c r="B34" s="13" t="s">
        <v>94</v>
      </c>
      <c r="F34" s="37">
        <f>+F32+F33</f>
        <v>594.9782499999999</v>
      </c>
      <c r="H34" s="37">
        <f>+H32+H33</f>
        <v>7139.789000000001</v>
      </c>
      <c r="L34" s="69"/>
      <c r="M34" s="66"/>
      <c r="N34" s="107" t="s">
        <v>251</v>
      </c>
      <c r="O34" s="66"/>
      <c r="P34" s="94"/>
      <c r="Z34" s="8"/>
      <c r="AA34"/>
      <c r="AB34"/>
    </row>
    <row r="35" spans="1:28" ht="12.75">
      <c r="A35" s="36" t="s">
        <v>48</v>
      </c>
      <c r="B35" s="13" t="s">
        <v>95</v>
      </c>
      <c r="F35" s="30">
        <f>+F51</f>
        <v>118.61266062582085</v>
      </c>
      <c r="H35" s="30">
        <f>+H51</f>
        <v>1423.3519275098502</v>
      </c>
      <c r="L35" s="67"/>
      <c r="M35" s="66"/>
      <c r="N35" s="108" t="s">
        <v>252</v>
      </c>
      <c r="O35" s="66"/>
      <c r="P35" s="94"/>
      <c r="T35" s="9"/>
      <c r="U35" s="15"/>
      <c r="V35" s="32"/>
      <c r="W35" s="32"/>
      <c r="AA35"/>
      <c r="AB35"/>
    </row>
    <row r="36" spans="1:28" ht="13.5" thickBot="1">
      <c r="A36" s="36" t="s">
        <v>70</v>
      </c>
      <c r="B36" s="13" t="s">
        <v>96</v>
      </c>
      <c r="F36" s="10">
        <f>ROUND(IF(F32&gt;tabellen!I40,tabellen!I40,F32)*tabellen!E40,2)</f>
        <v>38.4</v>
      </c>
      <c r="H36" s="10">
        <f>ROUND(IF(H32&gt;tabellen!H40,tabellen!H40,H32)*tabellen!E40,2)</f>
        <v>460.85</v>
      </c>
      <c r="L36" s="99"/>
      <c r="M36" s="65"/>
      <c r="N36" s="109"/>
      <c r="O36" s="65"/>
      <c r="P36" s="101"/>
      <c r="T36" s="9"/>
      <c r="U36" s="15"/>
      <c r="V36" s="32"/>
      <c r="W36" s="32"/>
      <c r="AA36"/>
      <c r="AB36"/>
    </row>
    <row r="37" spans="1:28" ht="13.5" thickTop="1">
      <c r="A37" s="36" t="s">
        <v>92</v>
      </c>
      <c r="B37" s="13" t="s">
        <v>261</v>
      </c>
      <c r="F37" s="55">
        <f>ROUND(IF(H5&lt;55,IF($F$32&gt;tabellen!$H$36/12,tabellen!$H$36/12,$F$32)*tabellen!E37,IF($F$32&gt;tabellen!$H$36/12,tabellen!$H$36/12,$F$32)*tabellen!E37),2)</f>
        <v>0</v>
      </c>
      <c r="H37" s="55">
        <f>ROUND(IF(H5&lt;55,IF($H$32&gt;tabellen!$H$36,tabellen!$H$36,$H$32)*tabellen!E37,IF($H$32&gt;tabellen!$H$36,tabellen!$H$36,$H$32)*tabellen!E37),2)</f>
        <v>0</v>
      </c>
      <c r="T37" s="9"/>
      <c r="U37" s="15"/>
      <c r="V37" s="32"/>
      <c r="W37" s="32"/>
      <c r="AA37"/>
      <c r="AB37"/>
    </row>
    <row r="38" spans="1:28" ht="12.75">
      <c r="A38" s="36" t="s">
        <v>93</v>
      </c>
      <c r="B38" s="13" t="s">
        <v>97</v>
      </c>
      <c r="F38" s="37">
        <f>+F34-F35-F36-F37</f>
        <v>437.96558937417905</v>
      </c>
      <c r="H38" s="37">
        <f>+H34-H35-H36-H37</f>
        <v>5255.587072490151</v>
      </c>
      <c r="R38" s="14"/>
      <c r="T38" s="9"/>
      <c r="U38" s="15"/>
      <c r="V38" s="32"/>
      <c r="W38" s="32"/>
      <c r="AA38"/>
      <c r="AB38"/>
    </row>
    <row r="39" spans="1:28" ht="12.75">
      <c r="A39" s="36"/>
      <c r="R39" s="14"/>
      <c r="S39" s="14"/>
      <c r="T39" s="9"/>
      <c r="U39" s="15"/>
      <c r="V39" s="32"/>
      <c r="W39" s="32"/>
      <c r="AA39"/>
      <c r="AB39"/>
    </row>
    <row r="40" spans="1:28" ht="12.75">
      <c r="A40" s="36"/>
      <c r="S40" s="14"/>
      <c r="T40" s="9"/>
      <c r="U40" s="15"/>
      <c r="V40" s="32"/>
      <c r="W40" s="32"/>
      <c r="AA40"/>
      <c r="AB40"/>
    </row>
    <row r="41" spans="1:37" ht="12.75">
      <c r="A41" s="36"/>
      <c r="AA41"/>
      <c r="AB41"/>
      <c r="AK41" s="15"/>
    </row>
    <row r="42" spans="2:37" ht="12.75">
      <c r="B42" s="10" t="s">
        <v>109</v>
      </c>
      <c r="L42"/>
      <c r="M42"/>
      <c r="N42"/>
      <c r="AA42"/>
      <c r="AB42"/>
      <c r="AK42" s="8"/>
    </row>
    <row r="43" spans="2:37" ht="12.75">
      <c r="B43" s="10" t="s">
        <v>110</v>
      </c>
      <c r="F43" s="30">
        <f>+F34</f>
        <v>594.9782499999999</v>
      </c>
      <c r="H43" s="30">
        <f>+H34</f>
        <v>7139.789000000001</v>
      </c>
      <c r="L43"/>
      <c r="M43"/>
      <c r="N43"/>
      <c r="AA43"/>
      <c r="AB43"/>
      <c r="AK43" s="8"/>
    </row>
    <row r="44" spans="2:38" ht="12.75">
      <c r="B44" s="10" t="s">
        <v>104</v>
      </c>
      <c r="F44" s="30">
        <f>+tabellen!C78/12</f>
        <v>167.25</v>
      </c>
      <c r="H44" s="30">
        <f>+tabellen!C78</f>
        <v>2007</v>
      </c>
      <c r="L44"/>
      <c r="M44"/>
      <c r="N44"/>
      <c r="AA44"/>
      <c r="AB44"/>
      <c r="AK44" s="8"/>
      <c r="AL44" s="15"/>
    </row>
    <row r="45" spans="2:38" ht="12.75">
      <c r="B45" s="10" t="s">
        <v>105</v>
      </c>
      <c r="F45" s="30">
        <f>IF(VLOOKUP(F5,arbeidskorting,2,TRUE)*H43&gt;VLOOKUP(F5,arbeidskorting,3,TRUE),VLOOKUP(F5,arbeidskorting,3,TRUE),VLOOKUP(F5,arbeidskorting,2,TRUE)*H43)/12</f>
        <v>73.66477300750002</v>
      </c>
      <c r="H45" s="30">
        <f>IF(VLOOKUP(F5,arbeidskorting,2,TRUE)*H43&gt;VLOOKUP(F5,arbeidskorting,3,TRUE),VLOOKUP(F5,arbeidskorting,3,TRUE),VLOOKUP(F5,arbeidskorting,2,TRUE)*H43)</f>
        <v>883.9772760900001</v>
      </c>
      <c r="L45"/>
      <c r="M45"/>
      <c r="N45"/>
      <c r="R45" s="14"/>
      <c r="S45" s="14"/>
      <c r="AA45"/>
      <c r="AB45"/>
      <c r="AK45" s="8"/>
      <c r="AL45" s="15"/>
    </row>
    <row r="46" spans="6:37" ht="12.75">
      <c r="F46" s="30">
        <f>+F43-F44-F45</f>
        <v>354.0634769924999</v>
      </c>
      <c r="H46" s="30">
        <f>+H43-H44-H45</f>
        <v>4248.81172391</v>
      </c>
      <c r="L46"/>
      <c r="M46"/>
      <c r="N46"/>
      <c r="R46" s="14"/>
      <c r="S46" s="14"/>
      <c r="AA46"/>
      <c r="AB46"/>
      <c r="AK46" s="8"/>
    </row>
    <row r="47" spans="2:37" ht="12.75">
      <c r="B47" s="10" t="s">
        <v>112</v>
      </c>
      <c r="C47" s="30">
        <f>IF(H46&gt;tabellen!C72,tabellen!C72,H46)</f>
        <v>4248.81172391</v>
      </c>
      <c r="D47" s="28">
        <f>+tabellen!D72</f>
        <v>0.335</v>
      </c>
      <c r="E47" s="30">
        <f>+C47*D47/12</f>
        <v>118.61266062582085</v>
      </c>
      <c r="G47" s="30">
        <f>+C47*D47</f>
        <v>1423.3519275098502</v>
      </c>
      <c r="R47" s="14"/>
      <c r="S47" s="14"/>
      <c r="AA47"/>
      <c r="AB47"/>
      <c r="AK47" s="9"/>
    </row>
    <row r="48" spans="2:37" ht="12.75">
      <c r="B48" s="10" t="s">
        <v>113</v>
      </c>
      <c r="C48" s="30">
        <f>IF((IF(H46&gt;tabellen!C73,tabellen!C73,H46)-tabellen!C72)&lt;0,0,IF(H46&gt;tabellen!C73,tabellen!C73,H46)-tabellen!C72)</f>
        <v>0</v>
      </c>
      <c r="D48" s="28">
        <f>+tabellen!D73</f>
        <v>0.42</v>
      </c>
      <c r="E48" s="30">
        <f>+C48*D48/12</f>
        <v>0</v>
      </c>
      <c r="G48" s="30">
        <f>+C48*D48</f>
        <v>0</v>
      </c>
      <c r="R48" s="14"/>
      <c r="AA48"/>
      <c r="AB48"/>
      <c r="AK48" s="9"/>
    </row>
    <row r="49" spans="2:37" ht="12.75">
      <c r="B49" s="10" t="s">
        <v>114</v>
      </c>
      <c r="C49" s="30">
        <f>IF((IF(H46&gt;tabellen!C74,tabellen!C74,H46)-tabellen!C73)&lt;0,0,IF(H46&gt;tabellen!C74,tabellen!C74,H46)-tabellen!C73)</f>
        <v>0</v>
      </c>
      <c r="D49" s="27">
        <f>+tabellen!D74</f>
        <v>0.42</v>
      </c>
      <c r="E49" s="30">
        <f>+C49*D49/12</f>
        <v>0</v>
      </c>
      <c r="G49" s="30">
        <f>+C49*D49</f>
        <v>0</v>
      </c>
      <c r="H49" s="16"/>
      <c r="S49" s="14"/>
      <c r="AA49"/>
      <c r="AB49"/>
      <c r="AK49" s="9"/>
    </row>
    <row r="50" spans="2:7" ht="12.75">
      <c r="B50" s="10" t="s">
        <v>115</v>
      </c>
      <c r="C50" s="30">
        <f>IF((IF(H46&gt;tabellen!C75,tabellen!C75,H46)-tabellen!C74)&lt;0,0,IF(H46&gt;tabellen!C75,tabellen!C75,H46)-tabellen!C74)</f>
        <v>0</v>
      </c>
      <c r="D50" s="27">
        <f>+tabellen!D75</f>
        <v>0.52</v>
      </c>
      <c r="E50" s="30">
        <f>+C50*D50/12</f>
        <v>0</v>
      </c>
      <c r="G50" s="30">
        <f>+C50*D50</f>
        <v>0</v>
      </c>
    </row>
    <row r="51" spans="5:8" ht="12.75">
      <c r="E51" s="34" t="s">
        <v>116</v>
      </c>
      <c r="F51" s="30">
        <f>SUM(E47:E50)</f>
        <v>118.61266062582085</v>
      </c>
      <c r="H51" s="30">
        <f>SUM(G47:G50)</f>
        <v>1423.3519275098502</v>
      </c>
    </row>
    <row r="52" spans="6:8" ht="12.75">
      <c r="F52" s="30"/>
      <c r="H52" s="30"/>
    </row>
    <row r="53" spans="7:8" ht="12.75">
      <c r="G53" s="16"/>
      <c r="H53" s="16"/>
    </row>
    <row r="107" ht="12.75">
      <c r="K107" s="10">
        <v>0</v>
      </c>
    </row>
    <row r="108" ht="12.75">
      <c r="K108" s="10">
        <v>1</v>
      </c>
    </row>
    <row r="109" ht="12.75">
      <c r="K109" s="10">
        <v>2</v>
      </c>
    </row>
    <row r="110" ht="12.75">
      <c r="K110" s="10">
        <v>3</v>
      </c>
    </row>
    <row r="111" ht="12.75">
      <c r="K111" s="10">
        <v>4</v>
      </c>
    </row>
    <row r="112" ht="12.75">
      <c r="K112" s="10">
        <v>5</v>
      </c>
    </row>
    <row r="113" ht="12.75">
      <c r="K113" s="10">
        <v>6</v>
      </c>
    </row>
    <row r="114" ht="12.75">
      <c r="K114" s="10">
        <v>7</v>
      </c>
    </row>
    <row r="115" ht="12.75">
      <c r="K115" s="10">
        <v>8</v>
      </c>
    </row>
    <row r="116" ht="12.75">
      <c r="K116" s="10">
        <v>9</v>
      </c>
    </row>
    <row r="117" ht="12.75">
      <c r="K117" s="10">
        <v>10</v>
      </c>
    </row>
    <row r="118" ht="12.75">
      <c r="K118" s="10">
        <v>11</v>
      </c>
    </row>
    <row r="119" ht="12.75">
      <c r="K119" s="10">
        <v>12</v>
      </c>
    </row>
    <row r="120" ht="12.75">
      <c r="K120" s="10">
        <v>13</v>
      </c>
    </row>
    <row r="121" ht="12.75">
      <c r="K121" s="10">
        <v>14</v>
      </c>
    </row>
    <row r="122" ht="12.75">
      <c r="K122" s="10">
        <v>15</v>
      </c>
    </row>
    <row r="123" ht="12.75">
      <c r="K123" s="10">
        <v>16</v>
      </c>
    </row>
    <row r="124" ht="12.75">
      <c r="K124" s="10">
        <v>17</v>
      </c>
    </row>
    <row r="125" ht="12.75">
      <c r="K125" s="10">
        <v>18</v>
      </c>
    </row>
    <row r="126" ht="12.75">
      <c r="K126" s="10">
        <v>19</v>
      </c>
    </row>
    <row r="131" ht="12.75">
      <c r="I131" s="10" t="s">
        <v>15</v>
      </c>
    </row>
    <row r="132" ht="12.75">
      <c r="I132" s="17" t="e">
        <f aca="true" t="shared" si="2" ref="I132:I151">+F138-G138</f>
        <v>#REF!</v>
      </c>
    </row>
    <row r="133" ht="12.75">
      <c r="I133" s="17" t="e">
        <f t="shared" si="2"/>
        <v>#REF!</v>
      </c>
    </row>
    <row r="134" ht="12.75">
      <c r="I134" s="17" t="e">
        <f t="shared" si="2"/>
        <v>#REF!</v>
      </c>
    </row>
    <row r="135" ht="12.75">
      <c r="I135" s="17" t="e">
        <f t="shared" si="2"/>
        <v>#REF!</v>
      </c>
    </row>
    <row r="136" ht="12.75">
      <c r="I136" s="17" t="e">
        <f t="shared" si="2"/>
        <v>#REF!</v>
      </c>
    </row>
    <row r="137" spans="2:9" ht="12.75">
      <c r="B137" s="10" t="s">
        <v>6</v>
      </c>
      <c r="I137" s="17" t="e">
        <f t="shared" si="2"/>
        <v>#REF!</v>
      </c>
    </row>
    <row r="138" spans="2:9" ht="12.75">
      <c r="B138" s="10">
        <f>+$F$6</f>
        <v>5</v>
      </c>
      <c r="C138" s="10" t="s">
        <v>14</v>
      </c>
      <c r="D138" s="10" t="s">
        <v>13</v>
      </c>
      <c r="F138" s="17" t="e">
        <f>IF(C139&gt;$I$7,VLOOKUP($B138,salaristabellen,$I$7+1,FALSE),VLOOKUP($B138,salaristabellen,C139+1,FALSE))*12*(1+#REF!)</f>
        <v>#REF!</v>
      </c>
      <c r="G138" s="17" t="e">
        <f>IF(D139&gt;$I$7,VLOOKUP($B138,salaristabellen,$I$7+1,FALSE),VLOOKUP($B138,salaristabellen,D139+1,FALSE))*12*(1+#REF!)</f>
        <v>#REF!</v>
      </c>
      <c r="I138" s="17" t="e">
        <f t="shared" si="2"/>
        <v>#REF!</v>
      </c>
    </row>
    <row r="139" spans="2:9" ht="12.75">
      <c r="B139" s="10">
        <f aca="true" t="shared" si="3" ref="B139:B157">+$F$6</f>
        <v>5</v>
      </c>
      <c r="C139" s="10" t="e">
        <f>+$F$7+#REF!+K107</f>
        <v>#REF!</v>
      </c>
      <c r="D139" s="10">
        <f>+$F$7+K107</f>
        <v>1</v>
      </c>
      <c r="F139" s="17" t="e">
        <f>IF(C140&gt;$I$7,VLOOKUP($B139,salaristabellen,$I$7+1,FALSE),VLOOKUP($B139,salaristabellen,C140+1,FALSE))*12*(1+#REF!)</f>
        <v>#REF!</v>
      </c>
      <c r="G139" s="17" t="e">
        <f>IF(D140&gt;$I$7,VLOOKUP($B139,salaristabellen,$I$7+1,FALSE),VLOOKUP($B139,salaristabellen,D140+1,FALSE))*12*(1+#REF!)</f>
        <v>#REF!</v>
      </c>
      <c r="I139" s="17" t="e">
        <f t="shared" si="2"/>
        <v>#REF!</v>
      </c>
    </row>
    <row r="140" spans="2:9" ht="12.75">
      <c r="B140" s="10">
        <f t="shared" si="3"/>
        <v>5</v>
      </c>
      <c r="C140" s="10" t="e">
        <f>+$F$7+#REF!+K108</f>
        <v>#REF!</v>
      </c>
      <c r="D140" s="10">
        <f aca="true" t="shared" si="4" ref="D140:D158">+$F$7+K108</f>
        <v>2</v>
      </c>
      <c r="F140" s="17" t="e">
        <f>IF(C141&gt;$I$7,VLOOKUP($B140,salaristabellen,$I$7+1,FALSE),VLOOKUP($B140,salaristabellen,C141+1,FALSE))*12*(1+#REF!)</f>
        <v>#REF!</v>
      </c>
      <c r="G140" s="17" t="e">
        <f>IF(D141&gt;$I$7,VLOOKUP($B140,salaristabellen,$I$7+1,FALSE),VLOOKUP($B140,salaristabellen,D141+1,FALSE))*12*(1+#REF!)</f>
        <v>#REF!</v>
      </c>
      <c r="I140" s="17" t="e">
        <f t="shared" si="2"/>
        <v>#REF!</v>
      </c>
    </row>
    <row r="141" spans="2:9" ht="12.75">
      <c r="B141" s="10">
        <f t="shared" si="3"/>
        <v>5</v>
      </c>
      <c r="C141" s="10" t="e">
        <f>+$F$7+#REF!+K109</f>
        <v>#REF!</v>
      </c>
      <c r="D141" s="10">
        <f t="shared" si="4"/>
        <v>3</v>
      </c>
      <c r="F141" s="17" t="e">
        <f>IF(C142&gt;$I$7,VLOOKUP($B141,salaristabellen,$I$7+1,FALSE),VLOOKUP($B141,salaristabellen,C142+1,FALSE))*12*(1+#REF!)</f>
        <v>#REF!</v>
      </c>
      <c r="G141" s="17" t="e">
        <f>IF(D142&gt;$I$7,VLOOKUP($B141,salaristabellen,$I$7+1,FALSE),VLOOKUP($B141,salaristabellen,D142+1,FALSE))*12*(1+#REF!)</f>
        <v>#REF!</v>
      </c>
      <c r="I141" s="17" t="e">
        <f t="shared" si="2"/>
        <v>#REF!</v>
      </c>
    </row>
    <row r="142" spans="2:9" ht="12.75">
      <c r="B142" s="10">
        <f t="shared" si="3"/>
        <v>5</v>
      </c>
      <c r="C142" s="10" t="e">
        <f>+$F$7+#REF!+K110</f>
        <v>#REF!</v>
      </c>
      <c r="D142" s="10">
        <f t="shared" si="4"/>
        <v>4</v>
      </c>
      <c r="F142" s="17" t="e">
        <f>IF(C143&gt;$I$7,VLOOKUP($B142,salaristabellen,$I$7+1,FALSE),VLOOKUP($B142,salaristabellen,C143+1,FALSE))*12*(1+#REF!)</f>
        <v>#REF!</v>
      </c>
      <c r="G142" s="17" t="e">
        <f>IF(D143&gt;$I$7,VLOOKUP($B142,salaristabellen,$I$7+1,FALSE),VLOOKUP($B142,salaristabellen,D143+1,FALSE))*12*(1+#REF!)</f>
        <v>#REF!</v>
      </c>
      <c r="I142" s="17" t="e">
        <f t="shared" si="2"/>
        <v>#REF!</v>
      </c>
    </row>
    <row r="143" spans="2:9" ht="12.75">
      <c r="B143" s="10">
        <f t="shared" si="3"/>
        <v>5</v>
      </c>
      <c r="C143" s="10" t="e">
        <f>+$F$7+#REF!+K111</f>
        <v>#REF!</v>
      </c>
      <c r="D143" s="10">
        <f t="shared" si="4"/>
        <v>5</v>
      </c>
      <c r="F143" s="17" t="e">
        <f>IF(C144&gt;$I$7,VLOOKUP($B143,salaristabellen,$I$7+1,FALSE),VLOOKUP($B143,salaristabellen,C144+1,FALSE))*12*(1+#REF!)</f>
        <v>#REF!</v>
      </c>
      <c r="G143" s="17" t="e">
        <f>IF(D144&gt;$I$7,VLOOKUP($B143,salaristabellen,$I$7+1,FALSE),VLOOKUP($B143,salaristabellen,D144+1,FALSE))*12*(1+#REF!)</f>
        <v>#REF!</v>
      </c>
      <c r="I143" s="17" t="e">
        <f t="shared" si="2"/>
        <v>#REF!</v>
      </c>
    </row>
    <row r="144" spans="2:9" ht="12.75">
      <c r="B144" s="10">
        <f t="shared" si="3"/>
        <v>5</v>
      </c>
      <c r="C144" s="10" t="e">
        <f>+$F$7+#REF!+K112</f>
        <v>#REF!</v>
      </c>
      <c r="D144" s="10">
        <f t="shared" si="4"/>
        <v>6</v>
      </c>
      <c r="F144" s="17" t="e">
        <f>IF(C145&gt;$I$7,VLOOKUP($B144,salaristabellen,$I$7+1,FALSE),VLOOKUP($B144,salaristabellen,C145+1,FALSE))*12*(1+#REF!)</f>
        <v>#REF!</v>
      </c>
      <c r="G144" s="17" t="e">
        <f>IF(D145&gt;$I$7,VLOOKUP($B144,salaristabellen,$I$7+1,FALSE),VLOOKUP($B144,salaristabellen,D145+1,FALSE))*12*(1+#REF!)</f>
        <v>#REF!</v>
      </c>
      <c r="I144" s="17" t="e">
        <f t="shared" si="2"/>
        <v>#REF!</v>
      </c>
    </row>
    <row r="145" spans="2:9" ht="12.75">
      <c r="B145" s="10">
        <f t="shared" si="3"/>
        <v>5</v>
      </c>
      <c r="C145" s="10" t="e">
        <f>+$F$7+#REF!+K113</f>
        <v>#REF!</v>
      </c>
      <c r="D145" s="10">
        <f t="shared" si="4"/>
        <v>7</v>
      </c>
      <c r="F145" s="17" t="e">
        <f>IF(C146&gt;$I$7,VLOOKUP($B145,salaristabellen,$I$7+1,FALSE),VLOOKUP($B145,salaristabellen,C146+1,FALSE))*12*(1+#REF!)</f>
        <v>#REF!</v>
      </c>
      <c r="G145" s="17" t="e">
        <f>IF(D146&gt;$I$7,VLOOKUP($B145,salaristabellen,$I$7+1,FALSE),VLOOKUP($B145,salaristabellen,D146+1,FALSE))*12*(1+#REF!)</f>
        <v>#REF!</v>
      </c>
      <c r="I145" s="17" t="e">
        <f t="shared" si="2"/>
        <v>#REF!</v>
      </c>
    </row>
    <row r="146" spans="2:9" ht="12.75">
      <c r="B146" s="10">
        <f t="shared" si="3"/>
        <v>5</v>
      </c>
      <c r="C146" s="10" t="e">
        <f>+$F$7+#REF!+K114</f>
        <v>#REF!</v>
      </c>
      <c r="D146" s="10">
        <f t="shared" si="4"/>
        <v>8</v>
      </c>
      <c r="F146" s="17" t="e">
        <f>IF(C147&gt;$I$7,VLOOKUP($B146,salaristabellen,$I$7+1,FALSE),VLOOKUP($B146,salaristabellen,C147+1,FALSE))*12*(1+#REF!)</f>
        <v>#REF!</v>
      </c>
      <c r="G146" s="17" t="e">
        <f>IF(D147&gt;$I$7,VLOOKUP($B146,salaristabellen,$I$7+1,FALSE),VLOOKUP($B146,salaristabellen,D147+1,FALSE))*12*(1+#REF!)</f>
        <v>#REF!</v>
      </c>
      <c r="I146" s="17" t="e">
        <f t="shared" si="2"/>
        <v>#REF!</v>
      </c>
    </row>
    <row r="147" spans="2:9" ht="12.75">
      <c r="B147" s="10">
        <f t="shared" si="3"/>
        <v>5</v>
      </c>
      <c r="C147" s="10" t="e">
        <f>+$F$7+#REF!+K115</f>
        <v>#REF!</v>
      </c>
      <c r="D147" s="10">
        <f t="shared" si="4"/>
        <v>9</v>
      </c>
      <c r="F147" s="17" t="e">
        <f>IF(C148&gt;$I$7,VLOOKUP($B147,salaristabellen,$I$7+1,FALSE),VLOOKUP($B147,salaristabellen,C148+1,FALSE))*12*(1+#REF!)</f>
        <v>#REF!</v>
      </c>
      <c r="G147" s="17" t="e">
        <f>IF(D148&gt;$I$7,VLOOKUP($B147,salaristabellen,$I$7+1,FALSE),VLOOKUP($B147,salaristabellen,D148+1,FALSE))*12*(1+#REF!)</f>
        <v>#REF!</v>
      </c>
      <c r="I147" s="17" t="e">
        <f t="shared" si="2"/>
        <v>#REF!</v>
      </c>
    </row>
    <row r="148" spans="2:9" ht="12.75">
      <c r="B148" s="10">
        <f t="shared" si="3"/>
        <v>5</v>
      </c>
      <c r="C148" s="10" t="e">
        <f>+$F$7+#REF!+K116</f>
        <v>#REF!</v>
      </c>
      <c r="D148" s="10">
        <f t="shared" si="4"/>
        <v>10</v>
      </c>
      <c r="F148" s="17" t="e">
        <f>IF(C149&gt;$I$7,VLOOKUP($B148,salaristabellen,$I$7+1,FALSE),VLOOKUP($B148,salaristabellen,C149+1,FALSE))*12*(1+#REF!)</f>
        <v>#REF!</v>
      </c>
      <c r="G148" s="17" t="e">
        <f>IF(D149&gt;$I$7,VLOOKUP($B148,salaristabellen,$I$7+1,FALSE),VLOOKUP($B148,salaristabellen,D149+1,FALSE))*12*(1+#REF!)</f>
        <v>#REF!</v>
      </c>
      <c r="I148" s="17" t="e">
        <f t="shared" si="2"/>
        <v>#REF!</v>
      </c>
    </row>
    <row r="149" spans="2:9" ht="12.75">
      <c r="B149" s="10">
        <f t="shared" si="3"/>
        <v>5</v>
      </c>
      <c r="C149" s="10" t="e">
        <f>+$F$7+#REF!+K117</f>
        <v>#REF!</v>
      </c>
      <c r="D149" s="10">
        <f t="shared" si="4"/>
        <v>11</v>
      </c>
      <c r="F149" s="17" t="e">
        <f>IF(C150&gt;$I$7,VLOOKUP($B149,salaristabellen,$I$7+1,FALSE),VLOOKUP($B149,salaristabellen,C150+1,FALSE))*12*(1+#REF!)</f>
        <v>#REF!</v>
      </c>
      <c r="G149" s="17" t="e">
        <f>IF(D150&gt;$I$7,VLOOKUP($B149,salaristabellen,$I$7+1,FALSE),VLOOKUP($B149,salaristabellen,D150+1,FALSE))*12*(1+#REF!)</f>
        <v>#REF!</v>
      </c>
      <c r="I149" s="17" t="e">
        <f t="shared" si="2"/>
        <v>#REF!</v>
      </c>
    </row>
    <row r="150" spans="2:9" ht="12.75">
      <c r="B150" s="10">
        <f t="shared" si="3"/>
        <v>5</v>
      </c>
      <c r="C150" s="10" t="e">
        <f>+$F$7+#REF!+K118</f>
        <v>#REF!</v>
      </c>
      <c r="D150" s="10">
        <f t="shared" si="4"/>
        <v>12</v>
      </c>
      <c r="F150" s="17" t="e">
        <f>IF(C151&gt;$I$7,VLOOKUP($B150,salaristabellen,$I$7+1,FALSE),VLOOKUP($B150,salaristabellen,C151+1,FALSE))*12*(1+#REF!)</f>
        <v>#REF!</v>
      </c>
      <c r="G150" s="17" t="e">
        <f>IF(D151&gt;$I$7,VLOOKUP($B150,salaristabellen,$I$7+1,FALSE),VLOOKUP($B150,salaristabellen,D151+1,FALSE))*12*(1+#REF!)</f>
        <v>#REF!</v>
      </c>
      <c r="I150" s="17" t="e">
        <f t="shared" si="2"/>
        <v>#REF!</v>
      </c>
    </row>
    <row r="151" spans="2:9" ht="12.75">
      <c r="B151" s="10">
        <f t="shared" si="3"/>
        <v>5</v>
      </c>
      <c r="C151" s="10" t="e">
        <f>+$F$7+#REF!+K119</f>
        <v>#REF!</v>
      </c>
      <c r="D151" s="10">
        <f t="shared" si="4"/>
        <v>13</v>
      </c>
      <c r="F151" s="17" t="e">
        <f>IF(C152&gt;$I$7,VLOOKUP($B151,salaristabellen,$I$7+1,FALSE),VLOOKUP($B151,salaristabellen,C152+1,FALSE))*12*(1+#REF!)</f>
        <v>#REF!</v>
      </c>
      <c r="G151" s="17" t="e">
        <f>IF(D152&gt;$I$7,VLOOKUP($B151,salaristabellen,$I$7+1,FALSE),VLOOKUP($B151,salaristabellen,D152+1,FALSE))*12*(1+#REF!)</f>
        <v>#REF!</v>
      </c>
      <c r="I151" s="17" t="e">
        <f t="shared" si="2"/>
        <v>#REF!</v>
      </c>
    </row>
    <row r="152" spans="2:7" ht="12.75">
      <c r="B152" s="10">
        <f t="shared" si="3"/>
        <v>5</v>
      </c>
      <c r="C152" s="10" t="e">
        <f>+$F$7+#REF!+K120</f>
        <v>#REF!</v>
      </c>
      <c r="D152" s="10">
        <f t="shared" si="4"/>
        <v>14</v>
      </c>
      <c r="F152" s="17" t="e">
        <f>IF(C153&gt;$I$7,VLOOKUP($B152,salaristabellen,$I$7+1,FALSE),VLOOKUP($B152,salaristabellen,C153+1,FALSE))*12*(1+#REF!)</f>
        <v>#REF!</v>
      </c>
      <c r="G152" s="17" t="e">
        <f>IF(D153&gt;$I$7,VLOOKUP($B152,salaristabellen,$I$7+1,FALSE),VLOOKUP($B152,salaristabellen,D153+1,FALSE))*12*(1+#REF!)</f>
        <v>#REF!</v>
      </c>
    </row>
    <row r="153" spans="2:9" ht="12.75">
      <c r="B153" s="10">
        <f t="shared" si="3"/>
        <v>5</v>
      </c>
      <c r="C153" s="10" t="e">
        <f>+$F$7+#REF!+K121</f>
        <v>#REF!</v>
      </c>
      <c r="D153" s="10">
        <f t="shared" si="4"/>
        <v>15</v>
      </c>
      <c r="F153" s="17" t="e">
        <f>IF(C154&gt;$I$7,VLOOKUP($B153,salaristabellen,$I$7+1,FALSE),VLOOKUP($B153,salaristabellen,C154+1,FALSE))*12*(1+#REF!)</f>
        <v>#REF!</v>
      </c>
      <c r="G153" s="17" t="e">
        <f>IF(D154&gt;$I$7,VLOOKUP($B153,salaristabellen,$I$7+1,FALSE),VLOOKUP($B153,salaristabellen,D154+1,FALSE))*12*(1+#REF!)</f>
        <v>#REF!</v>
      </c>
      <c r="I153" s="17" t="e">
        <f>SUM(I132:I151)</f>
        <v>#REF!</v>
      </c>
    </row>
    <row r="154" spans="2:9" ht="12.75">
      <c r="B154" s="10">
        <f t="shared" si="3"/>
        <v>5</v>
      </c>
      <c r="C154" s="10" t="e">
        <f>+$F$7+#REF!+K122</f>
        <v>#REF!</v>
      </c>
      <c r="D154" s="10">
        <f t="shared" si="4"/>
        <v>16</v>
      </c>
      <c r="F154" s="17" t="e">
        <f>IF(C155&gt;$I$7,VLOOKUP($B154,salaristabellen,$I$7+1,FALSE),VLOOKUP($B154,salaristabellen,C155+1,FALSE))*12*(1+#REF!)</f>
        <v>#REF!</v>
      </c>
      <c r="G154" s="17" t="e">
        <f>IF(D155&gt;$I$7,VLOOKUP($B154,salaristabellen,$I$7+1,FALSE),VLOOKUP($B154,salaristabellen,D155+1,FALSE))*12*(1+#REF!)</f>
        <v>#REF!</v>
      </c>
      <c r="I154" s="17">
        <f>IF(F53=0,0,+I153/F53)</f>
        <v>0</v>
      </c>
    </row>
    <row r="155" spans="2:7" ht="12.75">
      <c r="B155" s="10">
        <f t="shared" si="3"/>
        <v>5</v>
      </c>
      <c r="C155" s="10" t="e">
        <f>+$F$7+#REF!+K123</f>
        <v>#REF!</v>
      </c>
      <c r="D155" s="10">
        <f t="shared" si="4"/>
        <v>17</v>
      </c>
      <c r="F155" s="17" t="e">
        <f>IF(C156&gt;$I$7,VLOOKUP($B155,salaristabellen,$I$7+1,FALSE),VLOOKUP($B155,salaristabellen,C156+1,FALSE))*12*(1+#REF!)</f>
        <v>#REF!</v>
      </c>
      <c r="G155" s="17" t="e">
        <f>IF(D156&gt;$I$7,VLOOKUP($B155,salaristabellen,$I$7+1,FALSE),VLOOKUP($B155,salaristabellen,D156+1,FALSE))*12*(1+#REF!)</f>
        <v>#REF!</v>
      </c>
    </row>
    <row r="156" spans="2:7" ht="12.75">
      <c r="B156" s="10">
        <f t="shared" si="3"/>
        <v>5</v>
      </c>
      <c r="C156" s="10" t="e">
        <f>+$F$7+#REF!+K124</f>
        <v>#REF!</v>
      </c>
      <c r="D156" s="10">
        <f t="shared" si="4"/>
        <v>18</v>
      </c>
      <c r="F156" s="17" t="e">
        <f>IF(C157&gt;$I$7,VLOOKUP($B156,salaristabellen,$I$7+1,FALSE),VLOOKUP($B156,salaristabellen,C157+1,FALSE))*12*(1+#REF!)</f>
        <v>#REF!</v>
      </c>
      <c r="G156" s="17" t="e">
        <f>IF(D157&gt;$I$7,VLOOKUP($B156,salaristabellen,$I$7+1,FALSE),VLOOKUP($B156,salaristabellen,D157+1,FALSE))*12*(1+#REF!)</f>
        <v>#REF!</v>
      </c>
    </row>
    <row r="157" spans="2:7" ht="12.75">
      <c r="B157" s="10">
        <f t="shared" si="3"/>
        <v>5</v>
      </c>
      <c r="C157" s="10" t="e">
        <f>+$F$7+#REF!+K125</f>
        <v>#REF!</v>
      </c>
      <c r="D157" s="10">
        <f t="shared" si="4"/>
        <v>19</v>
      </c>
      <c r="F157" s="17" t="e">
        <f>IF(C158&gt;$I$7,VLOOKUP($B157,salaristabellen,$I$7+1,FALSE),VLOOKUP($B157,salaristabellen,C158+1,FALSE))*12*(1+#REF!)</f>
        <v>#REF!</v>
      </c>
      <c r="G157" s="17" t="e">
        <f>IF(D158&gt;$I$7,VLOOKUP($B157,salaristabellen,$I$7+1,FALSE),VLOOKUP($B157,salaristabellen,D158+1,FALSE))*12*(1+#REF!)</f>
        <v>#REF!</v>
      </c>
    </row>
    <row r="158" spans="3:4" ht="12.75">
      <c r="C158" s="10" t="e">
        <f>+$F$7+#REF!+K126</f>
        <v>#REF!</v>
      </c>
      <c r="D158" s="10">
        <f t="shared" si="4"/>
        <v>20</v>
      </c>
    </row>
    <row r="160" ht="12.75">
      <c r="G160" s="10" t="s">
        <v>16</v>
      </c>
    </row>
  </sheetData>
  <sheetProtection password="DE55" sheet="1" objects="1" scenarios="1"/>
  <dataValidations count="4">
    <dataValidation type="list" allowBlank="1" showInputMessage="1" showErrorMessage="1" sqref="D19">
      <formula1>$AD$6:$AD$8</formula1>
    </dataValidation>
    <dataValidation type="list" allowBlank="1" showInputMessage="1" showErrorMessage="1" sqref="D12">
      <formula1>$AA$5:$AA$7</formula1>
    </dataValidation>
    <dataValidation type="list" allowBlank="1" showInputMessage="1" showErrorMessage="1" sqref="E12 E19">
      <formula1>$AE$6:$AE$7</formula1>
    </dataValidation>
    <dataValidation type="list" allowBlank="1" showInputMessage="1" showErrorMessage="1" sqref="F6">
      <formula1>$AA$5:$AA$29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9" scale="73" r:id="rId4"/>
  <headerFooter alignWithMargins="0">
    <oddHeader>&amp;L&amp;"Arial,Vet"&amp;A&amp;C&amp;"Arial,Vet"&amp;D&amp;R&amp;"Arial,Vet"&amp;F</oddHeader>
    <oddFooter>&amp;L&amp;"Arial,Vet"&amp;8gemaakt door keizer, vos/abb&amp;R&amp;"Arial,Vet"&amp;P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5"/>
  <sheetViews>
    <sheetView zoomScale="85" zoomScaleNormal="85" workbookViewId="0" topLeftCell="A1">
      <selection activeCell="G4" sqref="G4:I4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0.28125" style="0" customWidth="1"/>
    <col min="4" max="4" width="10.140625" style="0" bestFit="1" customWidth="1"/>
    <col min="5" max="5" width="5.28125" style="0" customWidth="1"/>
    <col min="6" max="6" width="10.421875" style="0" bestFit="1" customWidth="1"/>
    <col min="7" max="7" width="12.00390625" style="0" bestFit="1" customWidth="1"/>
    <col min="8" max="8" width="12.7109375" style="0" customWidth="1"/>
    <col min="9" max="9" width="15.57421875" style="0" bestFit="1" customWidth="1"/>
    <col min="10" max="10" width="4.8515625" style="0" customWidth="1"/>
    <col min="11" max="11" width="14.8515625" style="0" customWidth="1"/>
    <col min="12" max="12" width="14.140625" style="0" bestFit="1" customWidth="1"/>
    <col min="13" max="13" width="2.28125" style="0" customWidth="1"/>
  </cols>
  <sheetData>
    <row r="1" ht="9.75" customHeight="1"/>
    <row r="2" ht="15.75">
      <c r="B2" s="60" t="s">
        <v>129</v>
      </c>
    </row>
    <row r="3" spans="24:28" s="25" customFormat="1" ht="9.75" customHeight="1">
      <c r="X3" s="61" t="s">
        <v>130</v>
      </c>
      <c r="AA3" s="5" t="s">
        <v>6</v>
      </c>
      <c r="AB3"/>
    </row>
    <row r="4" spans="2:28" s="25" customFormat="1" ht="12.75" customHeight="1">
      <c r="B4" s="25" t="s">
        <v>131</v>
      </c>
      <c r="G4" s="137" t="s">
        <v>132</v>
      </c>
      <c r="H4" s="138"/>
      <c r="I4" s="138"/>
      <c r="X4" s="61" t="s">
        <v>133</v>
      </c>
      <c r="AA4" s="110" t="s">
        <v>2</v>
      </c>
      <c r="AB4"/>
    </row>
    <row r="5" spans="2:27" ht="12.75" customHeight="1">
      <c r="B5" t="s">
        <v>8</v>
      </c>
      <c r="D5" t="s">
        <v>6</v>
      </c>
      <c r="G5" s="62" t="s">
        <v>2</v>
      </c>
      <c r="AA5" s="110" t="s">
        <v>3</v>
      </c>
    </row>
    <row r="6" spans="4:27" ht="12.75" customHeight="1">
      <c r="D6" t="s">
        <v>7</v>
      </c>
      <c r="G6" s="20">
        <v>9</v>
      </c>
      <c r="H6" s="63"/>
      <c r="AA6" s="110" t="s">
        <v>4</v>
      </c>
    </row>
    <row r="7" spans="4:27" ht="12.75" customHeight="1" thickBot="1">
      <c r="D7" t="s">
        <v>9</v>
      </c>
      <c r="G7" s="64">
        <f>VLOOKUP(G5,salaristabellen,G6+1,FALSE)</f>
        <v>2955</v>
      </c>
      <c r="I7" s="65"/>
      <c r="J7" s="65"/>
      <c r="K7" s="65"/>
      <c r="L7" s="65"/>
      <c r="M7" s="66"/>
      <c r="N7" s="66"/>
      <c r="AA7" s="110" t="s">
        <v>5</v>
      </c>
    </row>
    <row r="8" spans="2:27" ht="12.75" customHeight="1" thickTop="1">
      <c r="B8" t="s">
        <v>10</v>
      </c>
      <c r="G8" s="21">
        <v>1</v>
      </c>
      <c r="I8" s="67"/>
      <c r="J8" s="66"/>
      <c r="K8" s="66"/>
      <c r="L8" s="68"/>
      <c r="M8" s="67"/>
      <c r="N8" s="66"/>
      <c r="AA8" s="111">
        <v>1</v>
      </c>
    </row>
    <row r="9" spans="4:27" ht="12.75" customHeight="1">
      <c r="D9" t="s">
        <v>11</v>
      </c>
      <c r="G9" s="64">
        <f>+G7*G8</f>
        <v>2955</v>
      </c>
      <c r="I9" s="69" t="s">
        <v>134</v>
      </c>
      <c r="J9" s="66"/>
      <c r="K9" s="66"/>
      <c r="L9" s="66"/>
      <c r="M9" s="67"/>
      <c r="N9" s="66"/>
      <c r="AA9" s="111">
        <v>2</v>
      </c>
    </row>
    <row r="10" spans="7:27" ht="12.75" customHeight="1">
      <c r="G10" s="64"/>
      <c r="I10" s="67"/>
      <c r="J10" s="26"/>
      <c r="K10" s="26"/>
      <c r="L10" s="26"/>
      <c r="M10" s="67"/>
      <c r="N10" s="66"/>
      <c r="AA10" s="111">
        <v>3</v>
      </c>
    </row>
    <row r="11" spans="2:27" ht="12.75" customHeight="1">
      <c r="B11" t="s">
        <v>135</v>
      </c>
      <c r="G11" s="70" t="s">
        <v>130</v>
      </c>
      <c r="I11" s="67"/>
      <c r="J11" s="26"/>
      <c r="K11" s="107" t="s">
        <v>248</v>
      </c>
      <c r="L11" s="26"/>
      <c r="M11" s="67"/>
      <c r="N11" s="66"/>
      <c r="AA11" s="111">
        <v>4</v>
      </c>
    </row>
    <row r="12" spans="2:27" ht="12.75" customHeight="1">
      <c r="B12" s="71" t="s">
        <v>136</v>
      </c>
      <c r="G12" s="63" t="s">
        <v>137</v>
      </c>
      <c r="H12" s="63" t="s">
        <v>138</v>
      </c>
      <c r="I12" s="67"/>
      <c r="J12" s="26"/>
      <c r="K12" s="107" t="s">
        <v>249</v>
      </c>
      <c r="L12" s="26"/>
      <c r="M12" s="67"/>
      <c r="N12" s="66"/>
      <c r="AA12" s="111">
        <v>5</v>
      </c>
    </row>
    <row r="13" spans="4:27" ht="12.75" customHeight="1">
      <c r="D13" s="71" t="s">
        <v>139</v>
      </c>
      <c r="G13">
        <f>ROUND(415*G8,0)</f>
        <v>415</v>
      </c>
      <c r="H13" s="103">
        <f>ROUND(233*G8,0)</f>
        <v>233</v>
      </c>
      <c r="I13" s="67"/>
      <c r="J13" s="26"/>
      <c r="K13" s="107" t="s">
        <v>250</v>
      </c>
      <c r="L13" s="26"/>
      <c r="M13" s="67"/>
      <c r="N13" s="66"/>
      <c r="AA13" s="111">
        <v>6</v>
      </c>
    </row>
    <row r="14" spans="2:27" ht="12.75" customHeight="1">
      <c r="B14" s="71"/>
      <c r="D14" t="s">
        <v>140</v>
      </c>
      <c r="G14" s="19">
        <v>415</v>
      </c>
      <c r="H14" s="104">
        <v>233</v>
      </c>
      <c r="I14" s="69"/>
      <c r="J14" s="26"/>
      <c r="K14" s="107" t="s">
        <v>251</v>
      </c>
      <c r="L14" s="26"/>
      <c r="M14" s="67"/>
      <c r="N14" s="66"/>
      <c r="AA14" s="111">
        <v>7</v>
      </c>
    </row>
    <row r="15" spans="4:27" ht="12.75" customHeight="1">
      <c r="D15" t="s">
        <v>141</v>
      </c>
      <c r="G15" s="72">
        <f>+G14/G13</f>
        <v>1</v>
      </c>
      <c r="H15" s="72">
        <f>+H14/H13</f>
        <v>1</v>
      </c>
      <c r="I15" s="67"/>
      <c r="J15" s="26"/>
      <c r="K15" s="108" t="s">
        <v>252</v>
      </c>
      <c r="L15" s="26"/>
      <c r="M15" s="67"/>
      <c r="N15" s="66"/>
      <c r="AA15" s="111">
        <v>8</v>
      </c>
    </row>
    <row r="16" spans="2:27" ht="12.75" customHeight="1" thickBot="1">
      <c r="B16" t="s">
        <v>142</v>
      </c>
      <c r="G16" s="19">
        <v>6</v>
      </c>
      <c r="H16" s="73" t="str">
        <f>IF(G16&lt;2.999,"moet minimaal 3 gehele maanden zijn"," ")</f>
        <v> </v>
      </c>
      <c r="I16" s="67"/>
      <c r="J16" s="26"/>
      <c r="K16" s="26"/>
      <c r="L16" s="26"/>
      <c r="M16" s="67"/>
      <c r="N16" s="66"/>
      <c r="AA16" s="111">
        <v>9</v>
      </c>
    </row>
    <row r="17" spans="2:27" ht="12.75" customHeight="1" thickTop="1">
      <c r="B17" s="74" t="s">
        <v>143</v>
      </c>
      <c r="I17" s="75"/>
      <c r="J17" s="75"/>
      <c r="K17" s="75"/>
      <c r="L17" s="75"/>
      <c r="M17" s="66"/>
      <c r="N17" s="66"/>
      <c r="AA17" s="111">
        <v>10</v>
      </c>
    </row>
    <row r="18" spans="2:27" ht="12.75" customHeight="1">
      <c r="B18" s="1" t="s">
        <v>283</v>
      </c>
      <c r="G18" s="122">
        <f>ROUND(IF(G11="ja",+(H14/H13),G14/G13)*(3/G16)*G8,4)</f>
        <v>0.5</v>
      </c>
      <c r="I18" s="66"/>
      <c r="J18" s="66"/>
      <c r="K18" s="66"/>
      <c r="L18" s="66"/>
      <c r="M18" s="66"/>
      <c r="N18" s="66"/>
      <c r="AA18" s="111">
        <v>11</v>
      </c>
    </row>
    <row r="19" spans="2:27" ht="12.75" customHeight="1">
      <c r="B19" s="1" t="s">
        <v>144</v>
      </c>
      <c r="G19" s="72">
        <f>+(IF(G11="ja",H14,G14))/ROUND((IF(G11="ja",233,415)*G8),0)*1.35/G16</f>
        <v>0.225</v>
      </c>
      <c r="I19" s="121">
        <f>G19*G9</f>
        <v>664.875</v>
      </c>
      <c r="J19" s="66"/>
      <c r="K19" s="66"/>
      <c r="L19" s="66"/>
      <c r="M19" s="66"/>
      <c r="N19" s="66"/>
      <c r="AA19" s="111">
        <v>12</v>
      </c>
    </row>
    <row r="20" spans="2:27" ht="12.75" customHeight="1">
      <c r="B20" s="1" t="s">
        <v>145</v>
      </c>
      <c r="G20" s="72">
        <f>3/G16-G19</f>
        <v>0.275</v>
      </c>
      <c r="I20" s="76">
        <f>+G20*G9</f>
        <v>812.6250000000001</v>
      </c>
      <c r="J20" s="77"/>
      <c r="K20" s="77"/>
      <c r="AA20" s="111">
        <v>13</v>
      </c>
    </row>
    <row r="21" spans="2:27" ht="12.75" customHeight="1">
      <c r="B21" s="1" t="s">
        <v>146</v>
      </c>
      <c r="G21" s="72">
        <f>1-1/0.45*G19</f>
        <v>0.5</v>
      </c>
      <c r="I21" s="76">
        <f>+G21*G9</f>
        <v>1477.5</v>
      </c>
      <c r="AA21" s="111">
        <v>14</v>
      </c>
    </row>
    <row r="22" spans="2:27" ht="12.75" customHeight="1">
      <c r="B22" s="1" t="s">
        <v>147</v>
      </c>
      <c r="G22" s="72">
        <f>+G20+G21</f>
        <v>0.775</v>
      </c>
      <c r="I22" s="76">
        <f>SUM(I20:I21)</f>
        <v>2290.125</v>
      </c>
      <c r="AA22" s="111">
        <v>15</v>
      </c>
    </row>
    <row r="23" spans="2:27" ht="12.75" customHeight="1">
      <c r="B23" s="1" t="s">
        <v>148</v>
      </c>
      <c r="I23" s="76">
        <f>+I20*G16</f>
        <v>4875.750000000001</v>
      </c>
      <c r="AA23" s="111">
        <v>16</v>
      </c>
    </row>
    <row r="24" spans="2:27" ht="12.75" customHeight="1">
      <c r="B24" s="1" t="s">
        <v>149</v>
      </c>
      <c r="G24" s="78">
        <v>0.49</v>
      </c>
      <c r="I24" s="76">
        <f>+I23*(1+G24)</f>
        <v>7264.867500000001</v>
      </c>
      <c r="J24" s="77"/>
      <c r="K24" s="76">
        <f>+I24/G$16</f>
        <v>1210.8112500000002</v>
      </c>
      <c r="L24" t="s">
        <v>55</v>
      </c>
      <c r="AA24" s="111">
        <v>17</v>
      </c>
    </row>
    <row r="25" spans="9:27" ht="12.75" customHeight="1">
      <c r="I25" s="77"/>
      <c r="AA25" s="9"/>
    </row>
    <row r="26" spans="2:27" ht="18" customHeight="1">
      <c r="B26" s="60" t="s">
        <v>150</v>
      </c>
      <c r="C26" s="80"/>
      <c r="D26" s="80"/>
      <c r="E26" s="80"/>
      <c r="F26" s="80"/>
      <c r="G26" s="80"/>
      <c r="H26" s="80"/>
      <c r="I26" s="81">
        <f>+I24</f>
        <v>7264.867500000001</v>
      </c>
      <c r="J26" s="81"/>
      <c r="K26" s="81">
        <f>+I26/G$16</f>
        <v>1210.8112500000002</v>
      </c>
      <c r="L26" s="80"/>
      <c r="AA26" s="9"/>
    </row>
    <row r="27" spans="2:27" ht="12.75" customHeight="1">
      <c r="B27" s="60"/>
      <c r="C27" s="80"/>
      <c r="D27" s="80"/>
      <c r="E27" s="80"/>
      <c r="F27" s="80"/>
      <c r="G27" s="80"/>
      <c r="H27" s="80"/>
      <c r="I27" s="81"/>
      <c r="J27" s="81"/>
      <c r="K27" s="81"/>
      <c r="L27" s="80"/>
      <c r="AA27" s="120"/>
    </row>
    <row r="28" spans="1:28" s="118" customFormat="1" ht="12.75" customHeight="1">
      <c r="A28" s="116"/>
      <c r="B28" s="117" t="s">
        <v>302</v>
      </c>
      <c r="I28" s="119"/>
      <c r="J28" s="119"/>
      <c r="K28" s="119"/>
      <c r="AB28"/>
    </row>
    <row r="29" spans="2:27" s="118" customFormat="1" ht="12.75" customHeight="1">
      <c r="B29" s="134">
        <v>3.99</v>
      </c>
      <c r="C29" s="119" t="s">
        <v>301</v>
      </c>
      <c r="D29" s="119"/>
      <c r="E29" s="119"/>
      <c r="U29" s="120"/>
      <c r="V29"/>
      <c r="AA29" s="120"/>
    </row>
    <row r="30" spans="2:28" s="118" customFormat="1" ht="12.75" customHeight="1">
      <c r="B30" s="1" t="s">
        <v>271</v>
      </c>
      <c r="I30" s="119"/>
      <c r="J30" s="119"/>
      <c r="K30" s="119"/>
      <c r="AA30" s="120"/>
      <c r="AB30"/>
    </row>
    <row r="31" spans="2:28" s="118" customFormat="1" ht="12.75" customHeight="1">
      <c r="B31" s="117" t="s">
        <v>272</v>
      </c>
      <c r="D31" s="135">
        <v>195</v>
      </c>
      <c r="F31" s="117" t="s">
        <v>273</v>
      </c>
      <c r="I31" s="119"/>
      <c r="J31" s="119"/>
      <c r="K31" s="119"/>
      <c r="AA31" s="9"/>
      <c r="AB31"/>
    </row>
    <row r="32" spans="2:28" s="80" customFormat="1" ht="15.75">
      <c r="B32" s="60"/>
      <c r="I32" s="81"/>
      <c r="J32" s="81"/>
      <c r="K32" s="81"/>
      <c r="M32"/>
      <c r="AA32" s="9"/>
      <c r="AB32"/>
    </row>
    <row r="33" spans="2:27" ht="15.75">
      <c r="B33" s="60" t="s">
        <v>151</v>
      </c>
      <c r="C33" s="60"/>
      <c r="G33" s="1" t="s">
        <v>152</v>
      </c>
      <c r="H33" s="139" t="s">
        <v>255</v>
      </c>
      <c r="I33" s="138"/>
      <c r="J33" s="138"/>
      <c r="AA33" s="63"/>
    </row>
    <row r="34" spans="1:27" ht="12.75">
      <c r="A34" s="49"/>
      <c r="B34" s="1" t="s">
        <v>153</v>
      </c>
      <c r="C34" s="1"/>
      <c r="AA34" s="9"/>
    </row>
    <row r="35" spans="2:27" ht="12.75">
      <c r="B35" s="1" t="s">
        <v>154</v>
      </c>
      <c r="C35" s="1"/>
      <c r="G35" s="22">
        <v>600</v>
      </c>
      <c r="I35" t="s">
        <v>155</v>
      </c>
      <c r="AA35" s="9"/>
    </row>
    <row r="36" spans="2:9" ht="12.75">
      <c r="B36" s="1" t="s">
        <v>156</v>
      </c>
      <c r="C36" s="1"/>
      <c r="G36" s="23">
        <v>0.75</v>
      </c>
      <c r="I36" t="s">
        <v>155</v>
      </c>
    </row>
    <row r="37" spans="2:13" ht="15">
      <c r="B37" s="1"/>
      <c r="C37" s="1"/>
      <c r="D37" s="1"/>
      <c r="E37" s="49" t="s">
        <v>157</v>
      </c>
      <c r="M37" s="80"/>
    </row>
    <row r="38" spans="2:9" ht="12.75">
      <c r="B38" s="1" t="s">
        <v>158</v>
      </c>
      <c r="C38" s="1"/>
      <c r="D38" s="82">
        <v>20</v>
      </c>
      <c r="E38" s="82">
        <v>40</v>
      </c>
      <c r="G38" s="79">
        <v>0.375</v>
      </c>
      <c r="I38" t="s">
        <v>159</v>
      </c>
    </row>
    <row r="39" spans="2:9" ht="12.75">
      <c r="B39" s="1" t="s">
        <v>160</v>
      </c>
      <c r="C39" s="1"/>
      <c r="G39" s="19">
        <v>1.8</v>
      </c>
      <c r="I39" t="s">
        <v>161</v>
      </c>
    </row>
    <row r="40" spans="2:7" ht="12.75">
      <c r="B40" s="1" t="s">
        <v>162</v>
      </c>
      <c r="C40" s="1"/>
      <c r="G40" s="83">
        <f>ROUND(G35*G36*G38*G39,0)</f>
        <v>304</v>
      </c>
    </row>
    <row r="41" spans="2:9" ht="12.75">
      <c r="B41" s="1" t="s">
        <v>163</v>
      </c>
      <c r="C41" s="1"/>
      <c r="G41" s="79">
        <v>1</v>
      </c>
      <c r="I41" t="s">
        <v>164</v>
      </c>
    </row>
    <row r="42" spans="2:7" ht="12.75">
      <c r="B42" s="1" t="s">
        <v>165</v>
      </c>
      <c r="C42" s="1"/>
      <c r="G42" s="83">
        <f>ROUND(G40*G41/(E38-D38),0)</f>
        <v>15</v>
      </c>
    </row>
    <row r="43" spans="2:9" ht="12.75">
      <c r="B43" s="1" t="s">
        <v>166</v>
      </c>
      <c r="C43" s="1"/>
      <c r="G43" s="84">
        <v>7050</v>
      </c>
      <c r="I43" t="s">
        <v>164</v>
      </c>
    </row>
    <row r="44" spans="2:9" ht="12.75">
      <c r="B44" s="1" t="s">
        <v>167</v>
      </c>
      <c r="C44" s="1"/>
      <c r="G44" s="85">
        <f>+G42*G43</f>
        <v>105750</v>
      </c>
      <c r="I44" t="s">
        <v>168</v>
      </c>
    </row>
    <row r="45" spans="2:3" ht="9.75" customHeight="1">
      <c r="B45" s="1"/>
      <c r="C45" s="1"/>
    </row>
    <row r="54" ht="9.75" customHeight="1"/>
    <row r="62" ht="9" customHeight="1"/>
    <row r="70" ht="9" customHeight="1"/>
    <row r="78" ht="9.75" customHeight="1"/>
    <row r="86" ht="9.75" customHeight="1"/>
    <row r="94" ht="9" customHeight="1"/>
    <row r="102" ht="9.75" customHeight="1"/>
  </sheetData>
  <sheetProtection password="DE55" sheet="1" objects="1" scenarios="1"/>
  <mergeCells count="2">
    <mergeCell ref="G4:I4"/>
    <mergeCell ref="H33:J33"/>
  </mergeCells>
  <dataValidations count="2">
    <dataValidation type="list" allowBlank="1" showInputMessage="1" showErrorMessage="1" sqref="G5">
      <formula1>$AA$4:$AA$24</formula1>
    </dataValidation>
    <dataValidation type="list" allowBlank="1" showInputMessage="1" showErrorMessage="1" sqref="G11">
      <formula1>$X$3:$X$4</formula1>
    </dataValidation>
  </dataValidations>
  <printOptions gridLines="1"/>
  <pageMargins left="0.75" right="0.75" top="1" bottom="1" header="0.5" footer="0.5"/>
  <pageSetup horizontalDpi="600" verticalDpi="600" orientation="landscape" paperSize="9" scale="90" r:id="rId4"/>
  <headerFooter alignWithMargins="0">
    <oddHeader>&amp;L&amp;"Arial,Vet"&amp;A&amp;C&amp;"Arial,Vet"&amp;D&amp;R&amp;"Arial,Vet"&amp;F</oddHeader>
    <oddFooter>&amp;L&amp;"Arial,Vet"&amp;9gemaakt door keizer, vos/abb&amp;R&amp;"Arial,Vet"&amp;P</oddFooter>
  </headerFooter>
  <rowBreaks count="1" manualBreakCount="1">
    <brk id="32" min="1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U104"/>
  <sheetViews>
    <sheetView workbookViewId="0" topLeftCell="A1">
      <selection activeCell="G6" sqref="G6:H6"/>
    </sheetView>
  </sheetViews>
  <sheetFormatPr defaultColWidth="9.140625" defaultRowHeight="12.75"/>
  <cols>
    <col min="1" max="1" width="1.7109375" style="10" customWidth="1"/>
    <col min="2" max="2" width="4.57421875" style="10" customWidth="1"/>
    <col min="3" max="5" width="9.7109375" style="10" customWidth="1"/>
    <col min="6" max="6" width="9.00390625" style="10" customWidth="1"/>
    <col min="7" max="7" width="13.7109375" style="10" customWidth="1"/>
    <col min="8" max="8" width="14.421875" style="10" customWidth="1"/>
    <col min="9" max="9" width="14.00390625" style="10" customWidth="1"/>
    <col min="10" max="10" width="4.8515625" style="10" customWidth="1"/>
    <col min="11" max="11" width="10.7109375" style="10" customWidth="1"/>
    <col min="12" max="12" width="5.00390625" style="10" customWidth="1"/>
    <col min="13" max="13" width="5.7109375" style="10" customWidth="1"/>
    <col min="14" max="26" width="9.7109375" style="10" customWidth="1"/>
    <col min="27" max="27" width="9.7109375" style="0" customWidth="1"/>
    <col min="28" max="16384" width="9.7109375" style="10" customWidth="1"/>
  </cols>
  <sheetData>
    <row r="1" ht="4.5" customHeight="1"/>
    <row r="2" ht="7.5" customHeight="1"/>
    <row r="3" spans="3:47" ht="15.75">
      <c r="C3" s="11" t="s">
        <v>169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3:47" ht="12.75">
      <c r="C4" s="13" t="s">
        <v>170</v>
      </c>
      <c r="Z4" s="9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3:47" ht="9" customHeight="1">
      <c r="C5" s="12"/>
      <c r="Z5" s="9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3:47" ht="12.75">
      <c r="C6" s="13" t="s">
        <v>131</v>
      </c>
      <c r="D6" s="14"/>
      <c r="E6" s="14"/>
      <c r="G6" s="140" t="s">
        <v>17</v>
      </c>
      <c r="H6" s="140"/>
      <c r="Z6" s="5" t="s">
        <v>6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3:47" ht="12.75">
      <c r="C7" s="13" t="s">
        <v>171</v>
      </c>
      <c r="D7" s="14"/>
      <c r="E7" s="14"/>
      <c r="G7"/>
      <c r="H7"/>
      <c r="Z7" s="110" t="s">
        <v>2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5:47" ht="12.75">
      <c r="E8" s="10" t="s">
        <v>6</v>
      </c>
      <c r="G8" s="86" t="s">
        <v>2</v>
      </c>
      <c r="Z8" s="110" t="s">
        <v>3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5:47" ht="12.75">
      <c r="E9" s="10" t="s">
        <v>7</v>
      </c>
      <c r="G9" s="19">
        <v>16</v>
      </c>
      <c r="I9" s="10" t="s">
        <v>172</v>
      </c>
      <c r="J9" s="10">
        <f>VLOOKUP(G$8,salaristabellen,20,FALSE)</f>
        <v>17</v>
      </c>
      <c r="Z9" s="110" t="s">
        <v>4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5:47" ht="12.75">
      <c r="E10" s="10" t="s">
        <v>9</v>
      </c>
      <c r="G10" s="87">
        <f>VLOOKUP(G8,salaristabellen,G9+1,FALSE)</f>
        <v>3616</v>
      </c>
      <c r="I10"/>
      <c r="J10"/>
      <c r="Z10" s="110" t="s">
        <v>5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3:47" ht="12.75">
      <c r="C11" s="13" t="s">
        <v>10</v>
      </c>
      <c r="G11" s="21">
        <v>1</v>
      </c>
      <c r="Z11" s="111">
        <v>1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5:47" ht="12.75">
      <c r="E12" s="10" t="s">
        <v>11</v>
      </c>
      <c r="G12" s="87">
        <f>ROUND(+G10*G11,2)</f>
        <v>3616</v>
      </c>
      <c r="Z12" s="111">
        <v>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3:47" ht="12.75">
      <c r="C13" s="13" t="s">
        <v>173</v>
      </c>
      <c r="G13" s="19">
        <v>48</v>
      </c>
      <c r="Z13" s="111">
        <v>3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3:47" ht="12.75">
      <c r="C14" s="10" t="s">
        <v>174</v>
      </c>
      <c r="G14" s="19">
        <v>65</v>
      </c>
      <c r="Z14" s="111">
        <v>4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7:47" ht="12.75">
      <c r="G15" s="88"/>
      <c r="Z15" s="111">
        <v>5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3:47" ht="12.75">
      <c r="C16" s="13" t="s">
        <v>175</v>
      </c>
      <c r="Y16" s="8"/>
      <c r="Z16" s="111">
        <v>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4:47" ht="12.75">
      <c r="D17"/>
      <c r="E17" t="s">
        <v>6</v>
      </c>
      <c r="F17"/>
      <c r="G17" s="86" t="s">
        <v>3</v>
      </c>
      <c r="I17" s="10" t="s">
        <v>172</v>
      </c>
      <c r="J17" s="10">
        <f>VLOOKUP(G17,salaristabellen,20,FALSE)</f>
        <v>17</v>
      </c>
      <c r="Y17" s="89"/>
      <c r="Z17" s="111">
        <v>7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4:47" ht="12.75">
      <c r="D18"/>
      <c r="E18" t="s">
        <v>7</v>
      </c>
      <c r="F18"/>
      <c r="G18" s="19">
        <v>11</v>
      </c>
      <c r="I18"/>
      <c r="J18"/>
      <c r="Z18" s="111">
        <v>8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4:47" ht="13.5" thickBot="1">
      <c r="D19"/>
      <c r="E19" t="s">
        <v>9</v>
      </c>
      <c r="F19"/>
      <c r="G19" s="16">
        <f>VLOOKUP(G17,salaristabellen,G18+1,FALSE)</f>
        <v>3640</v>
      </c>
      <c r="Z19" s="111">
        <v>9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3:47" ht="13.5" thickTop="1">
      <c r="C20" s="13" t="s">
        <v>176</v>
      </c>
      <c r="D20"/>
      <c r="E20"/>
      <c r="F20"/>
      <c r="G20" s="90" t="s">
        <v>133</v>
      </c>
      <c r="I20" s="91"/>
      <c r="J20" s="75"/>
      <c r="K20" s="75"/>
      <c r="L20" s="75"/>
      <c r="M20" s="75"/>
      <c r="N20" s="92"/>
      <c r="Z20" s="111">
        <v>10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4:47" ht="12.75">
      <c r="D21"/>
      <c r="E21" t="s">
        <v>177</v>
      </c>
      <c r="F21"/>
      <c r="G21" s="93">
        <v>1</v>
      </c>
      <c r="I21" s="67"/>
      <c r="J21" s="66"/>
      <c r="K21" s="66"/>
      <c r="L21" s="68"/>
      <c r="M21" s="66"/>
      <c r="N21" s="94"/>
      <c r="Z21" s="111">
        <v>11</v>
      </c>
      <c r="AC21" t="s">
        <v>130</v>
      </c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3:47" ht="12.75">
      <c r="C22" s="13"/>
      <c r="D22"/>
      <c r="E22" s="10" t="s">
        <v>11</v>
      </c>
      <c r="F22"/>
      <c r="G22" s="87">
        <f>ROUND(IF(G20="ja",G19*G21,G19*G11),2)</f>
        <v>3640</v>
      </c>
      <c r="I22" s="69" t="s">
        <v>134</v>
      </c>
      <c r="J22" s="66"/>
      <c r="K22" s="66"/>
      <c r="L22" s="66"/>
      <c r="M22" s="66"/>
      <c r="N22" s="94"/>
      <c r="Z22" s="111">
        <v>12</v>
      </c>
      <c r="AC22" t="s">
        <v>133</v>
      </c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9:26" ht="12.75">
      <c r="I23" s="67"/>
      <c r="J23" s="26"/>
      <c r="K23" s="26"/>
      <c r="L23" s="26"/>
      <c r="M23" s="66"/>
      <c r="N23" s="94"/>
      <c r="Z23" s="111">
        <v>13</v>
      </c>
    </row>
    <row r="24" spans="3:26" ht="12.75">
      <c r="C24" s="13" t="s">
        <v>178</v>
      </c>
      <c r="G24" s="95">
        <f>+G22-G12</f>
        <v>24</v>
      </c>
      <c r="H24" s="14"/>
      <c r="I24" s="67"/>
      <c r="J24" s="26"/>
      <c r="K24" s="107" t="s">
        <v>248</v>
      </c>
      <c r="L24" s="26"/>
      <c r="M24" s="66"/>
      <c r="N24" s="94"/>
      <c r="Z24" s="111">
        <v>14</v>
      </c>
    </row>
    <row r="25" spans="3:26" ht="12.75">
      <c r="C25" s="13" t="s">
        <v>179</v>
      </c>
      <c r="G25" s="96">
        <v>0.49</v>
      </c>
      <c r="H25" s="14"/>
      <c r="I25" s="67"/>
      <c r="J25" s="26"/>
      <c r="K25" s="107" t="s">
        <v>249</v>
      </c>
      <c r="L25" s="26"/>
      <c r="M25" s="66"/>
      <c r="N25" s="94"/>
      <c r="Z25" s="111">
        <v>15</v>
      </c>
    </row>
    <row r="26" spans="3:26" ht="12.75">
      <c r="C26" s="13" t="s">
        <v>180</v>
      </c>
      <c r="G26" s="97">
        <f>+G24*12*(1+G25)</f>
        <v>429.12</v>
      </c>
      <c r="I26" s="67"/>
      <c r="J26" s="26"/>
      <c r="K26" s="107" t="s">
        <v>250</v>
      </c>
      <c r="L26" s="26"/>
      <c r="M26" s="66"/>
      <c r="N26" s="94"/>
      <c r="Z26" s="111">
        <v>16</v>
      </c>
    </row>
    <row r="27" spans="3:26" ht="12.75">
      <c r="C27" s="13" t="s">
        <v>181</v>
      </c>
      <c r="G27" s="10">
        <f>+G14-G13</f>
        <v>17</v>
      </c>
      <c r="I27" s="69"/>
      <c r="J27" s="26"/>
      <c r="K27" s="107" t="s">
        <v>251</v>
      </c>
      <c r="L27" s="26"/>
      <c r="M27" s="66"/>
      <c r="N27" s="94"/>
      <c r="Z27" s="111">
        <v>17</v>
      </c>
    </row>
    <row r="28" spans="3:26" ht="12.75">
      <c r="C28" s="13" t="s">
        <v>182</v>
      </c>
      <c r="G28" s="98">
        <f>IF(G20="nee",K104*G11,K104*G21)</f>
        <v>8616.056470588237</v>
      </c>
      <c r="H28" s="16"/>
      <c r="I28" s="67"/>
      <c r="J28" s="26"/>
      <c r="K28" s="108" t="s">
        <v>252</v>
      </c>
      <c r="L28" s="26"/>
      <c r="M28" s="66"/>
      <c r="N28" s="94"/>
      <c r="Z28" s="111"/>
    </row>
    <row r="29" spans="3:26" ht="13.5" thickBot="1">
      <c r="C29" s="13" t="s">
        <v>183</v>
      </c>
      <c r="G29" s="98">
        <f>+K103*G11</f>
        <v>146472.96000000002</v>
      </c>
      <c r="I29" s="67"/>
      <c r="J29" s="26"/>
      <c r="K29" s="26"/>
      <c r="L29" s="26"/>
      <c r="M29" s="66"/>
      <c r="N29" s="94"/>
      <c r="Z29" s="9"/>
    </row>
    <row r="30" spans="9:26" ht="13.5" thickTop="1">
      <c r="I30" s="75"/>
      <c r="J30" s="75"/>
      <c r="K30" s="75"/>
      <c r="L30" s="75"/>
      <c r="M30" s="75"/>
      <c r="N30" s="75"/>
      <c r="Z30" s="9"/>
    </row>
    <row r="31" spans="9:26" ht="12.75">
      <c r="I31" s="66"/>
      <c r="J31" s="66"/>
      <c r="K31" s="66"/>
      <c r="L31" s="66"/>
      <c r="M31" s="66"/>
      <c r="N31" s="66"/>
      <c r="Z31" s="9"/>
    </row>
    <row r="32" ht="12.75" hidden="1">
      <c r="Z32" s="9"/>
    </row>
    <row r="33" spans="13:26" ht="12.75" hidden="1">
      <c r="M33" s="18"/>
      <c r="Z33" s="9"/>
    </row>
    <row r="34" spans="13:26" ht="12.75" hidden="1">
      <c r="M34" s="18"/>
      <c r="Z34" s="9"/>
    </row>
    <row r="35" spans="13:26" ht="12.75" hidden="1">
      <c r="M35" s="18"/>
      <c r="Z35" s="9"/>
    </row>
    <row r="36" spans="13:26" ht="12.75" hidden="1">
      <c r="M36" s="18"/>
      <c r="Z36" s="9"/>
    </row>
    <row r="37" spans="13:26" ht="12.75" hidden="1">
      <c r="M37" s="18"/>
      <c r="Z37" s="9"/>
    </row>
    <row r="38" spans="12:26" ht="12.75" hidden="1">
      <c r="L38" s="18"/>
      <c r="Z38" s="9"/>
    </row>
    <row r="39" spans="12:26" ht="12.75" hidden="1">
      <c r="L39" s="18"/>
      <c r="Z39" s="9"/>
    </row>
    <row r="40" spans="12:26" ht="12.75" hidden="1">
      <c r="L40" s="18"/>
      <c r="Z40" s="9"/>
    </row>
    <row r="41" spans="12:26" ht="12.75" hidden="1">
      <c r="L41" s="18"/>
      <c r="Z41" s="9"/>
    </row>
    <row r="42" spans="12:26" ht="12.75" hidden="1">
      <c r="L42" s="18"/>
      <c r="Z42" s="9"/>
    </row>
    <row r="43" spans="12:26" ht="12.75" hidden="1">
      <c r="L43" s="18"/>
      <c r="Z43" s="63"/>
    </row>
    <row r="44" spans="12:26" ht="12.75" hidden="1">
      <c r="L44" s="18"/>
      <c r="Z44" s="63"/>
    </row>
    <row r="45" spans="12:26" ht="12.75" hidden="1">
      <c r="L45" s="18"/>
      <c r="Z45" s="63"/>
    </row>
    <row r="46" ht="12.75" hidden="1">
      <c r="L46" s="18"/>
    </row>
    <row r="47" ht="12.75" hidden="1">
      <c r="L47" s="18"/>
    </row>
    <row r="48" ht="12.75" hidden="1">
      <c r="L48" s="18"/>
    </row>
    <row r="49" ht="12.75" hidden="1">
      <c r="L49" s="18"/>
    </row>
    <row r="50" ht="12.75" hidden="1">
      <c r="L50" s="18"/>
    </row>
    <row r="51" ht="12.75">
      <c r="L51" s="18"/>
    </row>
    <row r="53" spans="2:11" ht="12.75">
      <c r="B53" s="10" t="s">
        <v>184</v>
      </c>
      <c r="E53" s="10" t="s">
        <v>185</v>
      </c>
      <c r="K53" s="10" t="s">
        <v>15</v>
      </c>
    </row>
    <row r="54" spans="2:13" ht="12.75">
      <c r="B54" s="10" t="str">
        <f aca="true" t="shared" si="0" ref="B54:B99">+$G$17</f>
        <v>LC</v>
      </c>
      <c r="C54" s="10">
        <f>+$G$18+M54</f>
        <v>11</v>
      </c>
      <c r="E54" s="10" t="str">
        <f aca="true" t="shared" si="1" ref="E54:E99">+$G$8</f>
        <v>LB</v>
      </c>
      <c r="F54" s="10">
        <f>+$G$9+M54</f>
        <v>16</v>
      </c>
      <c r="H54" s="17">
        <f aca="true" t="shared" si="2" ref="H54:H99">IF(M54+1&gt;$G$27,0,IF(C54&gt;$J$17,VLOOKUP($B54,salaristabellen,$J$17+1,FALSE),VLOOKUP($B54,salaristabellen,C54+1,FALSE))*12*(1+G$25))</f>
        <v>65083.2</v>
      </c>
      <c r="I54" s="17">
        <f aca="true" t="shared" si="3" ref="I54:I99">IF(M54+1&gt;$G$27,0,IF(F54&gt;$J$9,VLOOKUP($E54,salaristabellen,$J$9+1,FALSE),VLOOKUP($E54,salaristabellen,F54+1,FALSE))*12*(1+G$25))</f>
        <v>64654.08</v>
      </c>
      <c r="K54" s="17">
        <f>+H54-I54</f>
        <v>429.11999999999534</v>
      </c>
      <c r="M54" s="10">
        <v>0</v>
      </c>
    </row>
    <row r="55" spans="2:13" ht="12.75">
      <c r="B55" s="10" t="str">
        <f t="shared" si="0"/>
        <v>LC</v>
      </c>
      <c r="C55" s="10">
        <f aca="true" t="shared" si="4" ref="C55:C99">+$G$18+M55</f>
        <v>12</v>
      </c>
      <c r="E55" s="10" t="str">
        <f t="shared" si="1"/>
        <v>LB</v>
      </c>
      <c r="F55" s="10">
        <f aca="true" t="shared" si="5" ref="F55:F99">+$G$9+M55</f>
        <v>17</v>
      </c>
      <c r="H55" s="17">
        <f t="shared" si="2"/>
        <v>67246.68</v>
      </c>
      <c r="I55" s="17">
        <f t="shared" si="3"/>
        <v>66853.31999999999</v>
      </c>
      <c r="K55" s="17">
        <f aca="true" t="shared" si="6" ref="K55:K99">+H55-I55</f>
        <v>393.3600000000006</v>
      </c>
      <c r="M55" s="10">
        <v>1</v>
      </c>
    </row>
    <row r="56" spans="2:13" ht="12.75">
      <c r="B56" s="10" t="str">
        <f t="shared" si="0"/>
        <v>LC</v>
      </c>
      <c r="C56" s="10">
        <f t="shared" si="4"/>
        <v>13</v>
      </c>
      <c r="E56" s="10" t="str">
        <f t="shared" si="1"/>
        <v>LB</v>
      </c>
      <c r="F56" s="10">
        <f t="shared" si="5"/>
        <v>18</v>
      </c>
      <c r="H56" s="17">
        <f t="shared" si="2"/>
        <v>69410.16</v>
      </c>
      <c r="I56" s="17">
        <f t="shared" si="3"/>
        <v>66853.31999999999</v>
      </c>
      <c r="K56" s="17">
        <f t="shared" si="6"/>
        <v>2556.840000000011</v>
      </c>
      <c r="M56" s="10">
        <v>2</v>
      </c>
    </row>
    <row r="57" spans="2:13" ht="12.75">
      <c r="B57" s="10" t="str">
        <f t="shared" si="0"/>
        <v>LC</v>
      </c>
      <c r="C57" s="10">
        <f t="shared" si="4"/>
        <v>14</v>
      </c>
      <c r="E57" s="10" t="str">
        <f t="shared" si="1"/>
        <v>LB</v>
      </c>
      <c r="F57" s="10">
        <f t="shared" si="5"/>
        <v>19</v>
      </c>
      <c r="H57" s="17">
        <f t="shared" si="2"/>
        <v>71591.52</v>
      </c>
      <c r="I57" s="17">
        <f t="shared" si="3"/>
        <v>66853.31999999999</v>
      </c>
      <c r="K57" s="17">
        <f t="shared" si="6"/>
        <v>4738.200000000012</v>
      </c>
      <c r="M57" s="10">
        <v>3</v>
      </c>
    </row>
    <row r="58" spans="2:13" ht="12.75">
      <c r="B58" s="10" t="str">
        <f t="shared" si="0"/>
        <v>LC</v>
      </c>
      <c r="C58" s="10">
        <f t="shared" si="4"/>
        <v>15</v>
      </c>
      <c r="E58" s="10" t="str">
        <f t="shared" si="1"/>
        <v>LB</v>
      </c>
      <c r="F58" s="10">
        <f t="shared" si="5"/>
        <v>20</v>
      </c>
      <c r="H58" s="17">
        <f t="shared" si="2"/>
        <v>73772.88</v>
      </c>
      <c r="I58" s="17">
        <f t="shared" si="3"/>
        <v>66853.31999999999</v>
      </c>
      <c r="K58" s="17">
        <f t="shared" si="6"/>
        <v>6919.560000000012</v>
      </c>
      <c r="M58" s="10">
        <v>4</v>
      </c>
    </row>
    <row r="59" spans="2:13" ht="12.75">
      <c r="B59" s="10" t="str">
        <f t="shared" si="0"/>
        <v>LC</v>
      </c>
      <c r="C59" s="10">
        <f t="shared" si="4"/>
        <v>16</v>
      </c>
      <c r="E59" s="10" t="str">
        <f t="shared" si="1"/>
        <v>LB</v>
      </c>
      <c r="F59" s="10">
        <f t="shared" si="5"/>
        <v>21</v>
      </c>
      <c r="H59" s="17">
        <f t="shared" si="2"/>
        <v>75954.24</v>
      </c>
      <c r="I59" s="17">
        <f t="shared" si="3"/>
        <v>66853.31999999999</v>
      </c>
      <c r="K59" s="17">
        <f t="shared" si="6"/>
        <v>9100.920000000013</v>
      </c>
      <c r="M59" s="10">
        <v>5</v>
      </c>
    </row>
    <row r="60" spans="2:13" ht="12.75">
      <c r="B60" s="10" t="str">
        <f t="shared" si="0"/>
        <v>LC</v>
      </c>
      <c r="C60" s="10">
        <f t="shared" si="4"/>
        <v>17</v>
      </c>
      <c r="E60" s="10" t="str">
        <f t="shared" si="1"/>
        <v>LB</v>
      </c>
      <c r="F60" s="10">
        <f t="shared" si="5"/>
        <v>22</v>
      </c>
      <c r="H60" s="17">
        <f t="shared" si="2"/>
        <v>77974.68</v>
      </c>
      <c r="I60" s="17">
        <f t="shared" si="3"/>
        <v>66853.31999999999</v>
      </c>
      <c r="K60" s="17">
        <f t="shared" si="6"/>
        <v>11121.36</v>
      </c>
      <c r="M60" s="10">
        <v>6</v>
      </c>
    </row>
    <row r="61" spans="2:13" ht="12.75">
      <c r="B61" s="10" t="str">
        <f t="shared" si="0"/>
        <v>LC</v>
      </c>
      <c r="C61" s="10">
        <f t="shared" si="4"/>
        <v>18</v>
      </c>
      <c r="E61" s="10" t="str">
        <f t="shared" si="1"/>
        <v>LB</v>
      </c>
      <c r="F61" s="10">
        <f t="shared" si="5"/>
        <v>23</v>
      </c>
      <c r="H61" s="17">
        <f t="shared" si="2"/>
        <v>77974.68</v>
      </c>
      <c r="I61" s="17">
        <f t="shared" si="3"/>
        <v>66853.31999999999</v>
      </c>
      <c r="K61" s="17">
        <f t="shared" si="6"/>
        <v>11121.36</v>
      </c>
      <c r="M61" s="10">
        <v>7</v>
      </c>
    </row>
    <row r="62" spans="2:13" ht="12.75">
      <c r="B62" s="10" t="str">
        <f t="shared" si="0"/>
        <v>LC</v>
      </c>
      <c r="C62" s="10">
        <f t="shared" si="4"/>
        <v>19</v>
      </c>
      <c r="E62" s="10" t="str">
        <f t="shared" si="1"/>
        <v>LB</v>
      </c>
      <c r="F62" s="10">
        <f t="shared" si="5"/>
        <v>24</v>
      </c>
      <c r="H62" s="17">
        <f t="shared" si="2"/>
        <v>77974.68</v>
      </c>
      <c r="I62" s="17">
        <f t="shared" si="3"/>
        <v>66853.31999999999</v>
      </c>
      <c r="K62" s="17">
        <f t="shared" si="6"/>
        <v>11121.36</v>
      </c>
      <c r="M62" s="10">
        <v>8</v>
      </c>
    </row>
    <row r="63" spans="2:13" ht="12.75">
      <c r="B63" s="10" t="str">
        <f t="shared" si="0"/>
        <v>LC</v>
      </c>
      <c r="C63" s="10">
        <f t="shared" si="4"/>
        <v>20</v>
      </c>
      <c r="E63" s="10" t="str">
        <f t="shared" si="1"/>
        <v>LB</v>
      </c>
      <c r="F63" s="10">
        <f t="shared" si="5"/>
        <v>25</v>
      </c>
      <c r="H63" s="17">
        <f t="shared" si="2"/>
        <v>77974.68</v>
      </c>
      <c r="I63" s="17">
        <f t="shared" si="3"/>
        <v>66853.31999999999</v>
      </c>
      <c r="K63" s="17">
        <f t="shared" si="6"/>
        <v>11121.36</v>
      </c>
      <c r="M63" s="10">
        <v>9</v>
      </c>
    </row>
    <row r="64" spans="2:13" ht="12.75">
      <c r="B64" s="10" t="str">
        <f t="shared" si="0"/>
        <v>LC</v>
      </c>
      <c r="C64" s="10">
        <f t="shared" si="4"/>
        <v>21</v>
      </c>
      <c r="E64" s="10" t="str">
        <f t="shared" si="1"/>
        <v>LB</v>
      </c>
      <c r="F64" s="10">
        <f t="shared" si="5"/>
        <v>26</v>
      </c>
      <c r="H64" s="17">
        <f t="shared" si="2"/>
        <v>77974.68</v>
      </c>
      <c r="I64" s="17">
        <f t="shared" si="3"/>
        <v>66853.31999999999</v>
      </c>
      <c r="K64" s="17">
        <f t="shared" si="6"/>
        <v>11121.36</v>
      </c>
      <c r="M64" s="10">
        <v>10</v>
      </c>
    </row>
    <row r="65" spans="2:13" ht="12.75">
      <c r="B65" s="10" t="str">
        <f t="shared" si="0"/>
        <v>LC</v>
      </c>
      <c r="C65" s="10">
        <f t="shared" si="4"/>
        <v>22</v>
      </c>
      <c r="E65" s="10" t="str">
        <f t="shared" si="1"/>
        <v>LB</v>
      </c>
      <c r="F65" s="10">
        <f t="shared" si="5"/>
        <v>27</v>
      </c>
      <c r="H65" s="17">
        <f t="shared" si="2"/>
        <v>77974.68</v>
      </c>
      <c r="I65" s="17">
        <f t="shared" si="3"/>
        <v>66853.31999999999</v>
      </c>
      <c r="K65" s="17">
        <f t="shared" si="6"/>
        <v>11121.36</v>
      </c>
      <c r="M65" s="10">
        <v>11</v>
      </c>
    </row>
    <row r="66" spans="2:13" ht="12.75">
      <c r="B66" s="10" t="str">
        <f t="shared" si="0"/>
        <v>LC</v>
      </c>
      <c r="C66" s="10">
        <f t="shared" si="4"/>
        <v>23</v>
      </c>
      <c r="E66" s="10" t="str">
        <f t="shared" si="1"/>
        <v>LB</v>
      </c>
      <c r="F66" s="10">
        <f t="shared" si="5"/>
        <v>28</v>
      </c>
      <c r="H66" s="17">
        <f t="shared" si="2"/>
        <v>77974.68</v>
      </c>
      <c r="I66" s="17">
        <f t="shared" si="3"/>
        <v>66853.31999999999</v>
      </c>
      <c r="K66" s="17">
        <f t="shared" si="6"/>
        <v>11121.36</v>
      </c>
      <c r="M66" s="10">
        <v>12</v>
      </c>
    </row>
    <row r="67" spans="2:13" ht="12.75">
      <c r="B67" s="10" t="str">
        <f t="shared" si="0"/>
        <v>LC</v>
      </c>
      <c r="C67" s="10">
        <f t="shared" si="4"/>
        <v>24</v>
      </c>
      <c r="E67" s="10" t="str">
        <f t="shared" si="1"/>
        <v>LB</v>
      </c>
      <c r="F67" s="10">
        <f t="shared" si="5"/>
        <v>29</v>
      </c>
      <c r="H67" s="17">
        <f t="shared" si="2"/>
        <v>77974.68</v>
      </c>
      <c r="I67" s="17">
        <f t="shared" si="3"/>
        <v>66853.31999999999</v>
      </c>
      <c r="K67" s="17">
        <f t="shared" si="6"/>
        <v>11121.36</v>
      </c>
      <c r="M67" s="10">
        <v>13</v>
      </c>
    </row>
    <row r="68" spans="2:13" ht="12.75">
      <c r="B68" s="10" t="str">
        <f t="shared" si="0"/>
        <v>LC</v>
      </c>
      <c r="C68" s="10">
        <f t="shared" si="4"/>
        <v>25</v>
      </c>
      <c r="E68" s="10" t="str">
        <f t="shared" si="1"/>
        <v>LB</v>
      </c>
      <c r="F68" s="10">
        <f t="shared" si="5"/>
        <v>30</v>
      </c>
      <c r="H68" s="17">
        <f t="shared" si="2"/>
        <v>77974.68</v>
      </c>
      <c r="I68" s="17">
        <f t="shared" si="3"/>
        <v>66853.31999999999</v>
      </c>
      <c r="K68" s="17">
        <f t="shared" si="6"/>
        <v>11121.36</v>
      </c>
      <c r="M68" s="10">
        <v>14</v>
      </c>
    </row>
    <row r="69" spans="2:13" ht="12.75">
      <c r="B69" s="10" t="str">
        <f t="shared" si="0"/>
        <v>LC</v>
      </c>
      <c r="C69" s="10">
        <f t="shared" si="4"/>
        <v>26</v>
      </c>
      <c r="E69" s="10" t="str">
        <f t="shared" si="1"/>
        <v>LB</v>
      </c>
      <c r="F69" s="10">
        <f t="shared" si="5"/>
        <v>31</v>
      </c>
      <c r="H69" s="17">
        <f t="shared" si="2"/>
        <v>77974.68</v>
      </c>
      <c r="I69" s="17">
        <f t="shared" si="3"/>
        <v>66853.31999999999</v>
      </c>
      <c r="K69" s="17">
        <f t="shared" si="6"/>
        <v>11121.36</v>
      </c>
      <c r="M69" s="10">
        <v>15</v>
      </c>
    </row>
    <row r="70" spans="2:13" ht="12.75">
      <c r="B70" s="10" t="str">
        <f t="shared" si="0"/>
        <v>LC</v>
      </c>
      <c r="C70" s="10">
        <f t="shared" si="4"/>
        <v>27</v>
      </c>
      <c r="E70" s="10" t="str">
        <f t="shared" si="1"/>
        <v>LB</v>
      </c>
      <c r="F70" s="10">
        <f t="shared" si="5"/>
        <v>32</v>
      </c>
      <c r="H70" s="17">
        <f t="shared" si="2"/>
        <v>77974.68</v>
      </c>
      <c r="I70" s="17">
        <f t="shared" si="3"/>
        <v>66853.31999999999</v>
      </c>
      <c r="K70" s="17">
        <f t="shared" si="6"/>
        <v>11121.36</v>
      </c>
      <c r="M70" s="10">
        <v>16</v>
      </c>
    </row>
    <row r="71" spans="2:13" ht="12.75">
      <c r="B71" s="10" t="str">
        <f t="shared" si="0"/>
        <v>LC</v>
      </c>
      <c r="C71" s="10">
        <f t="shared" si="4"/>
        <v>28</v>
      </c>
      <c r="E71" s="10" t="str">
        <f t="shared" si="1"/>
        <v>LB</v>
      </c>
      <c r="F71" s="10">
        <f t="shared" si="5"/>
        <v>33</v>
      </c>
      <c r="H71" s="17">
        <f t="shared" si="2"/>
        <v>0</v>
      </c>
      <c r="I71" s="17">
        <f t="shared" si="3"/>
        <v>0</v>
      </c>
      <c r="K71" s="17">
        <f t="shared" si="6"/>
        <v>0</v>
      </c>
      <c r="M71" s="10">
        <v>17</v>
      </c>
    </row>
    <row r="72" spans="2:13" ht="12.75">
      <c r="B72" s="10" t="str">
        <f t="shared" si="0"/>
        <v>LC</v>
      </c>
      <c r="C72" s="10">
        <f t="shared" si="4"/>
        <v>29</v>
      </c>
      <c r="E72" s="10" t="str">
        <f t="shared" si="1"/>
        <v>LB</v>
      </c>
      <c r="F72" s="10">
        <f t="shared" si="5"/>
        <v>34</v>
      </c>
      <c r="H72" s="17">
        <f t="shared" si="2"/>
        <v>0</v>
      </c>
      <c r="I72" s="17">
        <f t="shared" si="3"/>
        <v>0</v>
      </c>
      <c r="K72" s="17">
        <f t="shared" si="6"/>
        <v>0</v>
      </c>
      <c r="M72" s="10">
        <v>18</v>
      </c>
    </row>
    <row r="73" spans="2:13" ht="12.75">
      <c r="B73" s="10" t="str">
        <f t="shared" si="0"/>
        <v>LC</v>
      </c>
      <c r="C73" s="10">
        <f t="shared" si="4"/>
        <v>30</v>
      </c>
      <c r="E73" s="10" t="str">
        <f t="shared" si="1"/>
        <v>LB</v>
      </c>
      <c r="F73" s="10">
        <f t="shared" si="5"/>
        <v>35</v>
      </c>
      <c r="H73" s="17">
        <f t="shared" si="2"/>
        <v>0</v>
      </c>
      <c r="I73" s="17">
        <f t="shared" si="3"/>
        <v>0</v>
      </c>
      <c r="K73" s="17">
        <f t="shared" si="6"/>
        <v>0</v>
      </c>
      <c r="M73" s="10">
        <v>19</v>
      </c>
    </row>
    <row r="74" spans="2:13" ht="12.75">
      <c r="B74" s="10" t="str">
        <f t="shared" si="0"/>
        <v>LC</v>
      </c>
      <c r="C74" s="10">
        <f t="shared" si="4"/>
        <v>31</v>
      </c>
      <c r="E74" s="10" t="str">
        <f t="shared" si="1"/>
        <v>LB</v>
      </c>
      <c r="F74" s="10">
        <f t="shared" si="5"/>
        <v>36</v>
      </c>
      <c r="H74" s="17">
        <f t="shared" si="2"/>
        <v>0</v>
      </c>
      <c r="I74" s="17">
        <f t="shared" si="3"/>
        <v>0</v>
      </c>
      <c r="K74" s="17">
        <f t="shared" si="6"/>
        <v>0</v>
      </c>
      <c r="M74" s="10">
        <v>20</v>
      </c>
    </row>
    <row r="75" spans="2:13" ht="12.75">
      <c r="B75" s="10" t="str">
        <f t="shared" si="0"/>
        <v>LC</v>
      </c>
      <c r="C75" s="10">
        <f t="shared" si="4"/>
        <v>32</v>
      </c>
      <c r="E75" s="10" t="str">
        <f t="shared" si="1"/>
        <v>LB</v>
      </c>
      <c r="F75" s="10">
        <f t="shared" si="5"/>
        <v>37</v>
      </c>
      <c r="H75" s="17">
        <f t="shared" si="2"/>
        <v>0</v>
      </c>
      <c r="I75" s="17">
        <f t="shared" si="3"/>
        <v>0</v>
      </c>
      <c r="K75" s="17">
        <f t="shared" si="6"/>
        <v>0</v>
      </c>
      <c r="M75" s="10">
        <v>21</v>
      </c>
    </row>
    <row r="76" spans="2:13" ht="12.75">
      <c r="B76" s="10" t="str">
        <f t="shared" si="0"/>
        <v>LC</v>
      </c>
      <c r="C76" s="10">
        <f t="shared" si="4"/>
        <v>33</v>
      </c>
      <c r="E76" s="10" t="str">
        <f t="shared" si="1"/>
        <v>LB</v>
      </c>
      <c r="F76" s="10">
        <f t="shared" si="5"/>
        <v>38</v>
      </c>
      <c r="H76" s="17">
        <f t="shared" si="2"/>
        <v>0</v>
      </c>
      <c r="I76" s="17">
        <f t="shared" si="3"/>
        <v>0</v>
      </c>
      <c r="K76" s="17">
        <f t="shared" si="6"/>
        <v>0</v>
      </c>
      <c r="M76" s="10">
        <v>22</v>
      </c>
    </row>
    <row r="77" spans="2:13" ht="12.75">
      <c r="B77" s="10" t="str">
        <f t="shared" si="0"/>
        <v>LC</v>
      </c>
      <c r="C77" s="10">
        <f t="shared" si="4"/>
        <v>34</v>
      </c>
      <c r="E77" s="10" t="str">
        <f t="shared" si="1"/>
        <v>LB</v>
      </c>
      <c r="F77" s="10">
        <f t="shared" si="5"/>
        <v>39</v>
      </c>
      <c r="H77" s="17">
        <f t="shared" si="2"/>
        <v>0</v>
      </c>
      <c r="I77" s="17">
        <f t="shared" si="3"/>
        <v>0</v>
      </c>
      <c r="K77" s="17">
        <f t="shared" si="6"/>
        <v>0</v>
      </c>
      <c r="M77" s="10">
        <v>23</v>
      </c>
    </row>
    <row r="78" spans="2:13" ht="12.75">
      <c r="B78" s="10" t="str">
        <f t="shared" si="0"/>
        <v>LC</v>
      </c>
      <c r="C78" s="10">
        <f t="shared" si="4"/>
        <v>35</v>
      </c>
      <c r="E78" s="10" t="str">
        <f t="shared" si="1"/>
        <v>LB</v>
      </c>
      <c r="F78" s="10">
        <f t="shared" si="5"/>
        <v>40</v>
      </c>
      <c r="H78" s="17">
        <f t="shared" si="2"/>
        <v>0</v>
      </c>
      <c r="I78" s="17">
        <f t="shared" si="3"/>
        <v>0</v>
      </c>
      <c r="K78" s="17">
        <f t="shared" si="6"/>
        <v>0</v>
      </c>
      <c r="M78" s="10">
        <v>24</v>
      </c>
    </row>
    <row r="79" spans="2:13" ht="12.75">
      <c r="B79" s="10" t="str">
        <f t="shared" si="0"/>
        <v>LC</v>
      </c>
      <c r="C79" s="10">
        <f t="shared" si="4"/>
        <v>36</v>
      </c>
      <c r="E79" s="10" t="str">
        <f t="shared" si="1"/>
        <v>LB</v>
      </c>
      <c r="F79" s="10">
        <f t="shared" si="5"/>
        <v>41</v>
      </c>
      <c r="H79" s="17">
        <f t="shared" si="2"/>
        <v>0</v>
      </c>
      <c r="I79" s="17">
        <f t="shared" si="3"/>
        <v>0</v>
      </c>
      <c r="K79" s="17">
        <f t="shared" si="6"/>
        <v>0</v>
      </c>
      <c r="M79" s="10">
        <v>25</v>
      </c>
    </row>
    <row r="80" spans="2:13" ht="12.75">
      <c r="B80" s="10" t="str">
        <f t="shared" si="0"/>
        <v>LC</v>
      </c>
      <c r="C80" s="10">
        <f t="shared" si="4"/>
        <v>37</v>
      </c>
      <c r="E80" s="10" t="str">
        <f t="shared" si="1"/>
        <v>LB</v>
      </c>
      <c r="F80" s="10">
        <f t="shared" si="5"/>
        <v>42</v>
      </c>
      <c r="H80" s="17">
        <f t="shared" si="2"/>
        <v>0</v>
      </c>
      <c r="I80" s="17">
        <f t="shared" si="3"/>
        <v>0</v>
      </c>
      <c r="K80" s="17">
        <f t="shared" si="6"/>
        <v>0</v>
      </c>
      <c r="M80" s="10">
        <v>26</v>
      </c>
    </row>
    <row r="81" spans="2:13" ht="12.75">
      <c r="B81" s="10" t="str">
        <f t="shared" si="0"/>
        <v>LC</v>
      </c>
      <c r="C81" s="10">
        <f t="shared" si="4"/>
        <v>38</v>
      </c>
      <c r="E81" s="10" t="str">
        <f t="shared" si="1"/>
        <v>LB</v>
      </c>
      <c r="F81" s="10">
        <f t="shared" si="5"/>
        <v>43</v>
      </c>
      <c r="H81" s="17">
        <f t="shared" si="2"/>
        <v>0</v>
      </c>
      <c r="I81" s="17">
        <f t="shared" si="3"/>
        <v>0</v>
      </c>
      <c r="K81" s="17">
        <f t="shared" si="6"/>
        <v>0</v>
      </c>
      <c r="M81" s="10">
        <v>27</v>
      </c>
    </row>
    <row r="82" spans="2:13" ht="12.75">
      <c r="B82" s="10" t="str">
        <f t="shared" si="0"/>
        <v>LC</v>
      </c>
      <c r="C82" s="10">
        <f t="shared" si="4"/>
        <v>39</v>
      </c>
      <c r="E82" s="10" t="str">
        <f t="shared" si="1"/>
        <v>LB</v>
      </c>
      <c r="F82" s="10">
        <f t="shared" si="5"/>
        <v>44</v>
      </c>
      <c r="H82" s="17">
        <f t="shared" si="2"/>
        <v>0</v>
      </c>
      <c r="I82" s="17">
        <f t="shared" si="3"/>
        <v>0</v>
      </c>
      <c r="K82" s="17">
        <f t="shared" si="6"/>
        <v>0</v>
      </c>
      <c r="M82" s="10">
        <v>28</v>
      </c>
    </row>
    <row r="83" spans="2:13" ht="12.75">
      <c r="B83" s="10" t="str">
        <f t="shared" si="0"/>
        <v>LC</v>
      </c>
      <c r="C83" s="10">
        <f t="shared" si="4"/>
        <v>40</v>
      </c>
      <c r="E83" s="10" t="str">
        <f t="shared" si="1"/>
        <v>LB</v>
      </c>
      <c r="F83" s="10">
        <f t="shared" si="5"/>
        <v>45</v>
      </c>
      <c r="H83" s="17">
        <f t="shared" si="2"/>
        <v>0</v>
      </c>
      <c r="I83" s="17">
        <f t="shared" si="3"/>
        <v>0</v>
      </c>
      <c r="K83" s="17">
        <f t="shared" si="6"/>
        <v>0</v>
      </c>
      <c r="M83" s="10">
        <v>29</v>
      </c>
    </row>
    <row r="84" spans="2:13" ht="12.75">
      <c r="B84" s="10" t="str">
        <f t="shared" si="0"/>
        <v>LC</v>
      </c>
      <c r="C84" s="10">
        <f t="shared" si="4"/>
        <v>41</v>
      </c>
      <c r="E84" s="10" t="str">
        <f t="shared" si="1"/>
        <v>LB</v>
      </c>
      <c r="F84" s="10">
        <f t="shared" si="5"/>
        <v>46</v>
      </c>
      <c r="H84" s="17">
        <f t="shared" si="2"/>
        <v>0</v>
      </c>
      <c r="I84" s="17">
        <f t="shared" si="3"/>
        <v>0</v>
      </c>
      <c r="K84" s="17">
        <f t="shared" si="6"/>
        <v>0</v>
      </c>
      <c r="M84" s="10">
        <v>30</v>
      </c>
    </row>
    <row r="85" spans="2:13" ht="12.75">
      <c r="B85" s="10" t="str">
        <f t="shared" si="0"/>
        <v>LC</v>
      </c>
      <c r="C85" s="10">
        <f t="shared" si="4"/>
        <v>42</v>
      </c>
      <c r="E85" s="10" t="str">
        <f t="shared" si="1"/>
        <v>LB</v>
      </c>
      <c r="F85" s="10">
        <f t="shared" si="5"/>
        <v>47</v>
      </c>
      <c r="H85" s="17">
        <f t="shared" si="2"/>
        <v>0</v>
      </c>
      <c r="I85" s="17">
        <f t="shared" si="3"/>
        <v>0</v>
      </c>
      <c r="K85" s="17">
        <f t="shared" si="6"/>
        <v>0</v>
      </c>
      <c r="M85" s="10">
        <v>31</v>
      </c>
    </row>
    <row r="86" spans="2:13" ht="12.75">
      <c r="B86" s="10" t="str">
        <f t="shared" si="0"/>
        <v>LC</v>
      </c>
      <c r="C86" s="10">
        <f t="shared" si="4"/>
        <v>43</v>
      </c>
      <c r="E86" s="10" t="str">
        <f t="shared" si="1"/>
        <v>LB</v>
      </c>
      <c r="F86" s="10">
        <f t="shared" si="5"/>
        <v>48</v>
      </c>
      <c r="H86" s="17">
        <f t="shared" si="2"/>
        <v>0</v>
      </c>
      <c r="I86" s="17">
        <f t="shared" si="3"/>
        <v>0</v>
      </c>
      <c r="K86" s="17">
        <f t="shared" si="6"/>
        <v>0</v>
      </c>
      <c r="M86" s="10">
        <v>32</v>
      </c>
    </row>
    <row r="87" spans="2:13" ht="12.75">
      <c r="B87" s="10" t="str">
        <f t="shared" si="0"/>
        <v>LC</v>
      </c>
      <c r="C87" s="10">
        <f t="shared" si="4"/>
        <v>44</v>
      </c>
      <c r="E87" s="10" t="str">
        <f t="shared" si="1"/>
        <v>LB</v>
      </c>
      <c r="F87" s="10">
        <f t="shared" si="5"/>
        <v>49</v>
      </c>
      <c r="H87" s="17">
        <f t="shared" si="2"/>
        <v>0</v>
      </c>
      <c r="I87" s="17">
        <f t="shared" si="3"/>
        <v>0</v>
      </c>
      <c r="K87" s="17">
        <f t="shared" si="6"/>
        <v>0</v>
      </c>
      <c r="M87" s="10">
        <v>33</v>
      </c>
    </row>
    <row r="88" spans="2:13" ht="12.75">
      <c r="B88" s="10" t="str">
        <f t="shared" si="0"/>
        <v>LC</v>
      </c>
      <c r="C88" s="10">
        <f t="shared" si="4"/>
        <v>45</v>
      </c>
      <c r="E88" s="10" t="str">
        <f t="shared" si="1"/>
        <v>LB</v>
      </c>
      <c r="F88" s="10">
        <f t="shared" si="5"/>
        <v>50</v>
      </c>
      <c r="H88" s="17">
        <f t="shared" si="2"/>
        <v>0</v>
      </c>
      <c r="I88" s="17">
        <f t="shared" si="3"/>
        <v>0</v>
      </c>
      <c r="K88" s="17">
        <f t="shared" si="6"/>
        <v>0</v>
      </c>
      <c r="M88" s="10">
        <v>34</v>
      </c>
    </row>
    <row r="89" spans="2:13" ht="12.75">
      <c r="B89" s="10" t="str">
        <f t="shared" si="0"/>
        <v>LC</v>
      </c>
      <c r="C89" s="10">
        <f t="shared" si="4"/>
        <v>46</v>
      </c>
      <c r="E89" s="10" t="str">
        <f t="shared" si="1"/>
        <v>LB</v>
      </c>
      <c r="F89" s="10">
        <f t="shared" si="5"/>
        <v>51</v>
      </c>
      <c r="H89" s="17">
        <f t="shared" si="2"/>
        <v>0</v>
      </c>
      <c r="I89" s="17">
        <f t="shared" si="3"/>
        <v>0</v>
      </c>
      <c r="K89" s="17">
        <f t="shared" si="6"/>
        <v>0</v>
      </c>
      <c r="M89" s="10">
        <v>35</v>
      </c>
    </row>
    <row r="90" spans="2:13" ht="12.75">
      <c r="B90" s="10" t="str">
        <f t="shared" si="0"/>
        <v>LC</v>
      </c>
      <c r="C90" s="10">
        <f t="shared" si="4"/>
        <v>47</v>
      </c>
      <c r="E90" s="10" t="str">
        <f t="shared" si="1"/>
        <v>LB</v>
      </c>
      <c r="F90" s="10">
        <f t="shared" si="5"/>
        <v>52</v>
      </c>
      <c r="H90" s="17">
        <f t="shared" si="2"/>
        <v>0</v>
      </c>
      <c r="I90" s="17">
        <f t="shared" si="3"/>
        <v>0</v>
      </c>
      <c r="K90" s="17">
        <f t="shared" si="6"/>
        <v>0</v>
      </c>
      <c r="M90" s="10">
        <v>36</v>
      </c>
    </row>
    <row r="91" spans="2:13" ht="12.75">
      <c r="B91" s="10" t="str">
        <f t="shared" si="0"/>
        <v>LC</v>
      </c>
      <c r="C91" s="10">
        <f t="shared" si="4"/>
        <v>48</v>
      </c>
      <c r="E91" s="10" t="str">
        <f t="shared" si="1"/>
        <v>LB</v>
      </c>
      <c r="F91" s="10">
        <f t="shared" si="5"/>
        <v>53</v>
      </c>
      <c r="H91" s="17">
        <f t="shared" si="2"/>
        <v>0</v>
      </c>
      <c r="I91" s="17">
        <f t="shared" si="3"/>
        <v>0</v>
      </c>
      <c r="K91" s="17">
        <f t="shared" si="6"/>
        <v>0</v>
      </c>
      <c r="M91" s="10">
        <v>37</v>
      </c>
    </row>
    <row r="92" spans="2:13" ht="12.75">
      <c r="B92" s="10" t="str">
        <f t="shared" si="0"/>
        <v>LC</v>
      </c>
      <c r="C92" s="10">
        <f t="shared" si="4"/>
        <v>49</v>
      </c>
      <c r="E92" s="10" t="str">
        <f t="shared" si="1"/>
        <v>LB</v>
      </c>
      <c r="F92" s="10">
        <f t="shared" si="5"/>
        <v>54</v>
      </c>
      <c r="H92" s="17">
        <f t="shared" si="2"/>
        <v>0</v>
      </c>
      <c r="I92" s="17">
        <f t="shared" si="3"/>
        <v>0</v>
      </c>
      <c r="K92" s="17">
        <f t="shared" si="6"/>
        <v>0</v>
      </c>
      <c r="M92" s="10">
        <v>38</v>
      </c>
    </row>
    <row r="93" spans="2:13" ht="12.75">
      <c r="B93" s="10" t="str">
        <f t="shared" si="0"/>
        <v>LC</v>
      </c>
      <c r="C93" s="10">
        <f t="shared" si="4"/>
        <v>50</v>
      </c>
      <c r="E93" s="10" t="str">
        <f t="shared" si="1"/>
        <v>LB</v>
      </c>
      <c r="F93" s="10">
        <f t="shared" si="5"/>
        <v>55</v>
      </c>
      <c r="H93" s="17">
        <f t="shared" si="2"/>
        <v>0</v>
      </c>
      <c r="I93" s="17">
        <f t="shared" si="3"/>
        <v>0</v>
      </c>
      <c r="K93" s="17">
        <f t="shared" si="6"/>
        <v>0</v>
      </c>
      <c r="M93" s="10">
        <v>39</v>
      </c>
    </row>
    <row r="94" spans="2:13" ht="12.75">
      <c r="B94" s="10" t="str">
        <f t="shared" si="0"/>
        <v>LC</v>
      </c>
      <c r="C94" s="10">
        <f t="shared" si="4"/>
        <v>51</v>
      </c>
      <c r="E94" s="10" t="str">
        <f t="shared" si="1"/>
        <v>LB</v>
      </c>
      <c r="F94" s="10">
        <f t="shared" si="5"/>
        <v>56</v>
      </c>
      <c r="H94" s="17">
        <f t="shared" si="2"/>
        <v>0</v>
      </c>
      <c r="I94" s="17">
        <f t="shared" si="3"/>
        <v>0</v>
      </c>
      <c r="K94" s="17">
        <f t="shared" si="6"/>
        <v>0</v>
      </c>
      <c r="M94" s="10">
        <v>40</v>
      </c>
    </row>
    <row r="95" spans="2:13" ht="12.75">
      <c r="B95" s="10" t="str">
        <f t="shared" si="0"/>
        <v>LC</v>
      </c>
      <c r="C95" s="10">
        <f t="shared" si="4"/>
        <v>52</v>
      </c>
      <c r="E95" s="10" t="str">
        <f t="shared" si="1"/>
        <v>LB</v>
      </c>
      <c r="F95" s="10">
        <f t="shared" si="5"/>
        <v>57</v>
      </c>
      <c r="H95" s="17">
        <f t="shared" si="2"/>
        <v>0</v>
      </c>
      <c r="I95" s="17">
        <f t="shared" si="3"/>
        <v>0</v>
      </c>
      <c r="K95" s="17">
        <f t="shared" si="6"/>
        <v>0</v>
      </c>
      <c r="M95" s="10">
        <v>41</v>
      </c>
    </row>
    <row r="96" spans="2:13" ht="12.75">
      <c r="B96" s="10" t="str">
        <f t="shared" si="0"/>
        <v>LC</v>
      </c>
      <c r="C96" s="10">
        <f t="shared" si="4"/>
        <v>53</v>
      </c>
      <c r="E96" s="10" t="str">
        <f t="shared" si="1"/>
        <v>LB</v>
      </c>
      <c r="F96" s="10">
        <f t="shared" si="5"/>
        <v>58</v>
      </c>
      <c r="H96" s="17">
        <f t="shared" si="2"/>
        <v>0</v>
      </c>
      <c r="I96" s="17">
        <f t="shared" si="3"/>
        <v>0</v>
      </c>
      <c r="K96" s="17">
        <f t="shared" si="6"/>
        <v>0</v>
      </c>
      <c r="M96" s="10">
        <v>42</v>
      </c>
    </row>
    <row r="97" spans="2:13" ht="12.75">
      <c r="B97" s="10" t="str">
        <f t="shared" si="0"/>
        <v>LC</v>
      </c>
      <c r="C97" s="10">
        <f t="shared" si="4"/>
        <v>54</v>
      </c>
      <c r="E97" s="10" t="str">
        <f t="shared" si="1"/>
        <v>LB</v>
      </c>
      <c r="F97" s="10">
        <f t="shared" si="5"/>
        <v>59</v>
      </c>
      <c r="H97" s="17">
        <f t="shared" si="2"/>
        <v>0</v>
      </c>
      <c r="I97" s="17">
        <f t="shared" si="3"/>
        <v>0</v>
      </c>
      <c r="K97" s="17">
        <f t="shared" si="6"/>
        <v>0</v>
      </c>
      <c r="M97" s="10">
        <v>43</v>
      </c>
    </row>
    <row r="98" spans="2:13" ht="12.75">
      <c r="B98" s="10" t="str">
        <f t="shared" si="0"/>
        <v>LC</v>
      </c>
      <c r="C98" s="10">
        <f t="shared" si="4"/>
        <v>55</v>
      </c>
      <c r="E98" s="10" t="str">
        <f t="shared" si="1"/>
        <v>LB</v>
      </c>
      <c r="F98" s="10">
        <f t="shared" si="5"/>
        <v>60</v>
      </c>
      <c r="H98" s="17">
        <f t="shared" si="2"/>
        <v>0</v>
      </c>
      <c r="I98" s="17">
        <f t="shared" si="3"/>
        <v>0</v>
      </c>
      <c r="K98" s="17">
        <f t="shared" si="6"/>
        <v>0</v>
      </c>
      <c r="M98" s="10">
        <v>44</v>
      </c>
    </row>
    <row r="99" spans="2:13" ht="12.75">
      <c r="B99" s="10" t="str">
        <f t="shared" si="0"/>
        <v>LC</v>
      </c>
      <c r="C99" s="10">
        <f t="shared" si="4"/>
        <v>56</v>
      </c>
      <c r="E99" s="10" t="str">
        <f t="shared" si="1"/>
        <v>LB</v>
      </c>
      <c r="F99" s="10">
        <f t="shared" si="5"/>
        <v>61</v>
      </c>
      <c r="H99" s="17">
        <f t="shared" si="2"/>
        <v>0</v>
      </c>
      <c r="I99" s="17">
        <f t="shared" si="3"/>
        <v>0</v>
      </c>
      <c r="K99" s="17">
        <f t="shared" si="6"/>
        <v>0</v>
      </c>
      <c r="M99" s="10">
        <v>45</v>
      </c>
    </row>
    <row r="100" spans="8:11" ht="12.75">
      <c r="H100" s="17"/>
      <c r="I100" s="17"/>
      <c r="K100" s="17"/>
    </row>
    <row r="101" spans="8:11" ht="12.75">
      <c r="H101" s="17"/>
      <c r="I101" s="17"/>
      <c r="K101" s="17"/>
    </row>
    <row r="103" ht="12.75">
      <c r="K103" s="17">
        <f>SUM(K54:K99)</f>
        <v>146472.96000000002</v>
      </c>
    </row>
    <row r="104" spans="9:11" ht="12.75">
      <c r="I104" s="10" t="s">
        <v>16</v>
      </c>
      <c r="K104" s="17">
        <f>IF(G27=0,0,+K103/G27)</f>
        <v>8616.056470588237</v>
      </c>
    </row>
  </sheetData>
  <sheetProtection password="DE55" sheet="1" objects="1" scenarios="1"/>
  <mergeCells count="1">
    <mergeCell ref="G6:H6"/>
  </mergeCells>
  <dataValidations count="2">
    <dataValidation type="list" allowBlank="1" showInputMessage="1" showErrorMessage="1" sqref="G20">
      <formula1>$AC$21:$AC$22</formula1>
    </dataValidation>
    <dataValidation type="list" allowBlank="1" showInputMessage="1" showErrorMessage="1" sqref="G17 G8">
      <formula1>$Z$7:$Z$28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&amp;L&amp;"Arial,Vet"&amp;A&amp;C&amp;"Arial,Vet"&amp;D&amp;R&amp;"Arial,Vet"&amp;F</oddHeader>
    <oddFooter>&amp;L&amp;"Arial,Vet"&amp;9gemaakt door keizer, vos/abb&amp;R&amp;"Arial,Vet"&amp;P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85"/>
  <sheetViews>
    <sheetView zoomScale="90" zoomScaleNormal="90" workbookViewId="0" topLeftCell="A1">
      <selection activeCell="G5" sqref="G5:H5"/>
    </sheetView>
  </sheetViews>
  <sheetFormatPr defaultColWidth="9.140625" defaultRowHeight="12.75"/>
  <cols>
    <col min="1" max="1" width="1.7109375" style="10" customWidth="1"/>
    <col min="2" max="2" width="3.140625" style="10" customWidth="1"/>
    <col min="3" max="5" width="9.7109375" style="10" customWidth="1"/>
    <col min="6" max="6" width="11.57421875" style="10" customWidth="1"/>
    <col min="7" max="7" width="12.7109375" style="10" customWidth="1"/>
    <col min="8" max="8" width="11.00390625" style="10" customWidth="1"/>
    <col min="9" max="9" width="14.421875" style="10" customWidth="1"/>
    <col min="10" max="14" width="9.7109375" style="10" customWidth="1"/>
    <col min="15" max="15" width="2.28125" style="10" customWidth="1"/>
    <col min="16" max="16384" width="9.7109375" style="10" customWidth="1"/>
  </cols>
  <sheetData>
    <row r="1" ht="7.5" customHeight="1"/>
    <row r="2" ht="15.75">
      <c r="C2" s="11" t="s">
        <v>186</v>
      </c>
    </row>
    <row r="3" spans="3:28" ht="8.25" customHeight="1">
      <c r="C3" s="11"/>
      <c r="AB3" s="9"/>
    </row>
    <row r="4" spans="2:28" ht="15">
      <c r="B4" s="12"/>
      <c r="C4" s="12" t="s">
        <v>187</v>
      </c>
      <c r="AB4" s="9"/>
    </row>
    <row r="5" spans="3:28" ht="12.75">
      <c r="C5" s="13" t="s">
        <v>188</v>
      </c>
      <c r="D5" s="14"/>
      <c r="E5" s="14"/>
      <c r="G5" s="140" t="s">
        <v>17</v>
      </c>
      <c r="H5" s="140"/>
      <c r="S5" s="34" t="s">
        <v>130</v>
      </c>
      <c r="AB5" s="5" t="s">
        <v>6</v>
      </c>
    </row>
    <row r="6" spans="3:28" ht="12.75">
      <c r="C6" s="13" t="s">
        <v>8</v>
      </c>
      <c r="E6" s="10" t="s">
        <v>6</v>
      </c>
      <c r="G6" s="20" t="s">
        <v>2</v>
      </c>
      <c r="S6" s="34" t="s">
        <v>133</v>
      </c>
      <c r="AB6" s="110" t="s">
        <v>2</v>
      </c>
    </row>
    <row r="7" spans="5:28" ht="12.75">
      <c r="E7" s="10" t="s">
        <v>7</v>
      </c>
      <c r="G7" s="19">
        <v>8</v>
      </c>
      <c r="I7" s="10" t="s">
        <v>172</v>
      </c>
      <c r="J7" s="10">
        <f>VLOOKUP(G6,salaristabellen,20,FALSE)</f>
        <v>17</v>
      </c>
      <c r="AB7" s="110" t="s">
        <v>3</v>
      </c>
    </row>
    <row r="8" spans="5:28" ht="12.75">
      <c r="E8" s="10" t="s">
        <v>9</v>
      </c>
      <c r="G8" s="136">
        <f>VLOOKUP(G6,salaristabellen,G7+1,FALSE)</f>
        <v>2883</v>
      </c>
      <c r="AB8" s="110" t="s">
        <v>4</v>
      </c>
    </row>
    <row r="9" spans="3:28" ht="12.75">
      <c r="C9" s="13" t="s">
        <v>10</v>
      </c>
      <c r="G9" s="21">
        <v>1</v>
      </c>
      <c r="AB9" s="110" t="s">
        <v>5</v>
      </c>
    </row>
    <row r="10" spans="5:28" ht="12.75">
      <c r="E10" s="10" t="s">
        <v>11</v>
      </c>
      <c r="G10" s="136">
        <f>+G8*G9</f>
        <v>2883</v>
      </c>
      <c r="AB10" s="111">
        <v>1</v>
      </c>
    </row>
    <row r="11" ht="9" customHeight="1">
      <c r="AB11" s="111">
        <v>2</v>
      </c>
    </row>
    <row r="12" spans="3:28" ht="12.75">
      <c r="C12" s="13" t="s">
        <v>189</v>
      </c>
      <c r="AB12" s="111">
        <v>3</v>
      </c>
    </row>
    <row r="13" spans="4:28" ht="12.75">
      <c r="D13" s="10" t="s">
        <v>190</v>
      </c>
      <c r="G13" s="20" t="s">
        <v>130</v>
      </c>
      <c r="AB13" s="111">
        <v>4</v>
      </c>
    </row>
    <row r="14" spans="4:28" ht="12.75">
      <c r="D14" s="10" t="s">
        <v>191</v>
      </c>
      <c r="G14" s="20" t="s">
        <v>133</v>
      </c>
      <c r="AB14" s="111">
        <v>5</v>
      </c>
    </row>
    <row r="15" spans="4:28" ht="13.5" thickBot="1">
      <c r="D15" s="10" t="s">
        <v>192</v>
      </c>
      <c r="G15" s="20" t="s">
        <v>133</v>
      </c>
      <c r="AB15" s="111">
        <v>6</v>
      </c>
    </row>
    <row r="16" spans="4:28" ht="13.5" thickTop="1">
      <c r="D16" s="10" t="s">
        <v>193</v>
      </c>
      <c r="G16" s="19">
        <v>2</v>
      </c>
      <c r="I16" s="91"/>
      <c r="J16" s="75"/>
      <c r="K16" s="75"/>
      <c r="L16" s="75"/>
      <c r="M16" s="75"/>
      <c r="N16" s="92"/>
      <c r="AB16" s="111">
        <v>7</v>
      </c>
    </row>
    <row r="17" spans="9:28" ht="12.75">
      <c r="I17" s="67"/>
      <c r="J17" s="66"/>
      <c r="K17" s="66"/>
      <c r="L17" s="68"/>
      <c r="M17" s="66"/>
      <c r="N17" s="94"/>
      <c r="AB17" s="111">
        <v>8</v>
      </c>
    </row>
    <row r="18" spans="3:28" ht="12.75">
      <c r="C18" s="13" t="s">
        <v>194</v>
      </c>
      <c r="G18" s="95">
        <f>IF(G7+G16&gt;J7,"verkeerde invoer",(VLOOKUP(G6,salaristabellen,G7+G16+1,FALSE)-VLOOKUP(G6,salaristabellen,G7+1,FALSE))*G9)</f>
        <v>148</v>
      </c>
      <c r="H18" s="14"/>
      <c r="I18" s="69" t="s">
        <v>134</v>
      </c>
      <c r="J18" s="66"/>
      <c r="K18" s="66"/>
      <c r="L18" s="66"/>
      <c r="M18" s="66"/>
      <c r="N18" s="94"/>
      <c r="AB18" s="111">
        <v>9</v>
      </c>
    </row>
    <row r="19" spans="3:28" ht="12.75">
      <c r="C19" s="13" t="s">
        <v>179</v>
      </c>
      <c r="G19" s="96">
        <v>0.49</v>
      </c>
      <c r="H19" s="14"/>
      <c r="I19" s="67"/>
      <c r="J19" s="26"/>
      <c r="K19" s="26"/>
      <c r="L19" s="26"/>
      <c r="M19" s="66"/>
      <c r="N19" s="94"/>
      <c r="AB19" s="111">
        <v>10</v>
      </c>
    </row>
    <row r="20" spans="3:28" ht="12.75">
      <c r="C20" s="13" t="s">
        <v>180</v>
      </c>
      <c r="G20" s="97">
        <f>+G18*12*(1+G19)</f>
        <v>2646.24</v>
      </c>
      <c r="I20" s="67"/>
      <c r="K20" s="107" t="s">
        <v>248</v>
      </c>
      <c r="L20" s="26"/>
      <c r="M20" s="66"/>
      <c r="N20" s="94"/>
      <c r="AB20" s="111">
        <v>11</v>
      </c>
    </row>
    <row r="21" spans="3:28" ht="12.75">
      <c r="C21" s="13" t="s">
        <v>195</v>
      </c>
      <c r="G21" s="10">
        <f>IF(G16=0,0,+(J7-G7))</f>
        <v>9</v>
      </c>
      <c r="I21" s="67"/>
      <c r="K21" s="107" t="s">
        <v>249</v>
      </c>
      <c r="L21" s="26"/>
      <c r="M21" s="66"/>
      <c r="N21" s="94"/>
      <c r="AB21" s="111">
        <v>12</v>
      </c>
    </row>
    <row r="22" spans="3:28" ht="12.75">
      <c r="C22" s="13" t="s">
        <v>182</v>
      </c>
      <c r="G22" s="98">
        <f>+J125*G9</f>
        <v>3258.1333333333314</v>
      </c>
      <c r="H22" s="16"/>
      <c r="I22" s="67"/>
      <c r="K22" s="107" t="s">
        <v>250</v>
      </c>
      <c r="L22" s="26"/>
      <c r="M22" s="66"/>
      <c r="N22" s="94"/>
      <c r="AB22" s="111">
        <v>13</v>
      </c>
    </row>
    <row r="23" spans="3:28" ht="12.75">
      <c r="C23" s="13" t="s">
        <v>196</v>
      </c>
      <c r="G23" s="98">
        <f>+J124*G9</f>
        <v>29323.199999999983</v>
      </c>
      <c r="I23" s="69"/>
      <c r="K23" s="107" t="s">
        <v>251</v>
      </c>
      <c r="L23" s="26"/>
      <c r="M23" s="66"/>
      <c r="N23" s="94"/>
      <c r="AB23" s="111">
        <v>14</v>
      </c>
    </row>
    <row r="24" spans="9:28" ht="12" customHeight="1">
      <c r="I24" s="67"/>
      <c r="K24" s="108" t="s">
        <v>252</v>
      </c>
      <c r="L24" s="26"/>
      <c r="M24" s="66"/>
      <c r="N24" s="94"/>
      <c r="O24" s="18"/>
      <c r="AB24" s="111">
        <v>15</v>
      </c>
    </row>
    <row r="25" spans="3:28" ht="16.5" thickBot="1">
      <c r="C25" s="60" t="s">
        <v>197</v>
      </c>
      <c r="D25"/>
      <c r="E25"/>
      <c r="F25"/>
      <c r="G25"/>
      <c r="H25"/>
      <c r="I25" s="99"/>
      <c r="J25" s="100"/>
      <c r="K25" s="65"/>
      <c r="L25" s="100"/>
      <c r="M25" s="65"/>
      <c r="N25" s="101"/>
      <c r="AB25" s="111">
        <v>16</v>
      </c>
    </row>
    <row r="26" spans="3:28" ht="13.5" thickTop="1">
      <c r="C26" s="102" t="s">
        <v>152</v>
      </c>
      <c r="D26" s="139" t="s">
        <v>198</v>
      </c>
      <c r="E26" s="138"/>
      <c r="F26" s="138"/>
      <c r="G26" s="1"/>
      <c r="H26"/>
      <c r="I26"/>
      <c r="J26"/>
      <c r="K26"/>
      <c r="AB26" s="111">
        <v>17</v>
      </c>
    </row>
    <row r="27" spans="3:28" ht="12.75">
      <c r="C27" s="1" t="s">
        <v>153</v>
      </c>
      <c r="D27"/>
      <c r="E27"/>
      <c r="F27"/>
      <c r="G27"/>
      <c r="H27"/>
      <c r="I27"/>
      <c r="J27"/>
      <c r="K27"/>
      <c r="AB27" s="111"/>
    </row>
    <row r="28" spans="3:28" ht="12.75">
      <c r="C28" s="1" t="s">
        <v>154</v>
      </c>
      <c r="D28"/>
      <c r="E28"/>
      <c r="F28"/>
      <c r="G28" s="22">
        <v>500</v>
      </c>
      <c r="H28"/>
      <c r="I28"/>
      <c r="J28"/>
      <c r="K28"/>
      <c r="AB28" s="111"/>
    </row>
    <row r="29" spans="3:28" ht="12.75">
      <c r="C29" s="1" t="s">
        <v>156</v>
      </c>
      <c r="D29"/>
      <c r="E29"/>
      <c r="F29"/>
      <c r="G29" s="23">
        <v>0.75</v>
      </c>
      <c r="H29"/>
      <c r="I29"/>
      <c r="J29"/>
      <c r="K29"/>
      <c r="AB29" s="9"/>
    </row>
    <row r="30" spans="3:28" ht="12.75">
      <c r="C30" s="1" t="s">
        <v>199</v>
      </c>
      <c r="D30"/>
      <c r="E30"/>
      <c r="F30"/>
      <c r="G30" s="83">
        <f>ROUND(+G28*G29,0)</f>
        <v>375</v>
      </c>
      <c r="H30"/>
      <c r="I30"/>
      <c r="J30"/>
      <c r="K30"/>
      <c r="AB30" s="9"/>
    </row>
    <row r="31" spans="3:28" ht="9" customHeight="1">
      <c r="C31" s="1"/>
      <c r="D31"/>
      <c r="E31"/>
      <c r="F31"/>
      <c r="G31"/>
      <c r="H31"/>
      <c r="I31"/>
      <c r="J31"/>
      <c r="K31"/>
      <c r="AB31" s="9"/>
    </row>
    <row r="32" spans="3:28" ht="12.75">
      <c r="C32" s="1" t="s">
        <v>200</v>
      </c>
      <c r="D32"/>
      <c r="E32"/>
      <c r="F32"/>
      <c r="G32" s="23">
        <v>0.02</v>
      </c>
      <c r="H32"/>
      <c r="I32"/>
      <c r="J32"/>
      <c r="K32"/>
      <c r="AB32" s="9"/>
    </row>
    <row r="33" spans="3:28" ht="12.75">
      <c r="C33" s="1" t="s">
        <v>199</v>
      </c>
      <c r="D33"/>
      <c r="E33"/>
      <c r="F33"/>
      <c r="G33" s="83">
        <f>ROUND(+G30*G32,0)</f>
        <v>8</v>
      </c>
      <c r="H33"/>
      <c r="I33"/>
      <c r="J33"/>
      <c r="K33"/>
      <c r="AB33" s="9"/>
    </row>
    <row r="34" spans="3:28" ht="12.75">
      <c r="C34" s="1" t="s">
        <v>201</v>
      </c>
      <c r="D34"/>
      <c r="E34"/>
      <c r="F34"/>
      <c r="G34" s="84">
        <v>1800</v>
      </c>
      <c r="H34"/>
      <c r="I34"/>
      <c r="J34"/>
      <c r="K34"/>
      <c r="AB34" s="9"/>
    </row>
    <row r="35" spans="3:28" ht="12.75">
      <c r="C35" s="1" t="s">
        <v>202</v>
      </c>
      <c r="D35"/>
      <c r="E35"/>
      <c r="F35"/>
      <c r="G35" s="85">
        <f>+G33*G34</f>
        <v>14400</v>
      </c>
      <c r="H35"/>
      <c r="I35"/>
      <c r="J35"/>
      <c r="K35"/>
      <c r="AB35" s="9"/>
    </row>
    <row r="36" spans="3:28" ht="12.75">
      <c r="C36" s="1"/>
      <c r="D36"/>
      <c r="E36"/>
      <c r="F36"/>
      <c r="G36"/>
      <c r="H36"/>
      <c r="I36"/>
      <c r="J36"/>
      <c r="K36"/>
      <c r="AB36" s="9"/>
    </row>
    <row r="37" spans="3:28" ht="12.75">
      <c r="C37" s="1"/>
      <c r="D37"/>
      <c r="E37"/>
      <c r="F37"/>
      <c r="G37"/>
      <c r="H37"/>
      <c r="I37"/>
      <c r="J37"/>
      <c r="K37"/>
      <c r="AB37" s="9"/>
    </row>
    <row r="38" spans="3:28" ht="12.75">
      <c r="C38" s="1"/>
      <c r="D38"/>
      <c r="E38"/>
      <c r="F38"/>
      <c r="G38"/>
      <c r="H38"/>
      <c r="I38"/>
      <c r="J38"/>
      <c r="K38"/>
      <c r="AB38" s="9"/>
    </row>
    <row r="39" spans="7:28" ht="12.75">
      <c r="G39"/>
      <c r="H39"/>
      <c r="I39"/>
      <c r="J39"/>
      <c r="K39"/>
      <c r="AB39" s="9"/>
    </row>
    <row r="40" spans="7:28" ht="12.75">
      <c r="G40"/>
      <c r="H40"/>
      <c r="I40"/>
      <c r="J40"/>
      <c r="K40"/>
      <c r="AB40" s="9"/>
    </row>
    <row r="41" spans="7:28" ht="12.75">
      <c r="G41"/>
      <c r="H41"/>
      <c r="I41"/>
      <c r="J41"/>
      <c r="K41"/>
      <c r="AB41" s="9"/>
    </row>
    <row r="42" spans="7:28" ht="12.75">
      <c r="G42"/>
      <c r="H42"/>
      <c r="I42"/>
      <c r="J42"/>
      <c r="K42"/>
      <c r="AB42" s="9"/>
    </row>
    <row r="43" spans="2:28" ht="15">
      <c r="B43" s="12"/>
      <c r="G43"/>
      <c r="H43"/>
      <c r="I43"/>
      <c r="J43"/>
      <c r="K43"/>
      <c r="AB43" s="9"/>
    </row>
    <row r="44" spans="7:28" ht="12.75">
      <c r="G44"/>
      <c r="H44"/>
      <c r="I44"/>
      <c r="J44"/>
      <c r="K44"/>
      <c r="AB44" s="9"/>
    </row>
    <row r="45" spans="7:28" ht="12.75">
      <c r="G45"/>
      <c r="H45"/>
      <c r="I45"/>
      <c r="J45"/>
      <c r="K45"/>
      <c r="AB45" s="9"/>
    </row>
    <row r="46" spans="3:11" ht="12.75">
      <c r="C46"/>
      <c r="D46"/>
      <c r="E46"/>
      <c r="F46"/>
      <c r="G46"/>
      <c r="H46"/>
      <c r="I46"/>
      <c r="J46"/>
      <c r="K46"/>
    </row>
    <row r="47" spans="3:11" ht="12.75">
      <c r="C47"/>
      <c r="D47"/>
      <c r="E47"/>
      <c r="F47"/>
      <c r="G47"/>
      <c r="H47"/>
      <c r="I47"/>
      <c r="J47"/>
      <c r="K47"/>
    </row>
    <row r="48" spans="3:11" ht="12.75">
      <c r="C48"/>
      <c r="D48"/>
      <c r="E48"/>
      <c r="F48"/>
      <c r="G48"/>
      <c r="H48"/>
      <c r="I48"/>
      <c r="J48"/>
      <c r="K48"/>
    </row>
    <row r="49" spans="3:11" ht="12.75">
      <c r="C49"/>
      <c r="D49"/>
      <c r="E49"/>
      <c r="F49"/>
      <c r="G49"/>
      <c r="H49"/>
      <c r="I49"/>
      <c r="J49"/>
      <c r="K49"/>
    </row>
    <row r="50" spans="3:11" ht="12.75">
      <c r="C50"/>
      <c r="D50"/>
      <c r="E50"/>
      <c r="F50"/>
      <c r="G50"/>
      <c r="H50"/>
      <c r="I50"/>
      <c r="J50"/>
      <c r="K50"/>
    </row>
    <row r="51" spans="3:11" ht="12.75">
      <c r="C51"/>
      <c r="D51"/>
      <c r="E51"/>
      <c r="F51"/>
      <c r="G51"/>
      <c r="H51"/>
      <c r="I51"/>
      <c r="J51"/>
      <c r="K51"/>
    </row>
    <row r="52" spans="3:11" ht="12.75">
      <c r="C52"/>
      <c r="D52"/>
      <c r="E52"/>
      <c r="F52"/>
      <c r="G52"/>
      <c r="H52"/>
      <c r="I52"/>
      <c r="J52"/>
      <c r="K52"/>
    </row>
    <row r="53" spans="3:11" ht="12.75">
      <c r="C53"/>
      <c r="D53"/>
      <c r="E53"/>
      <c r="F53"/>
      <c r="G53"/>
      <c r="H53"/>
      <c r="I53"/>
      <c r="J53"/>
      <c r="K53"/>
    </row>
    <row r="54" spans="3:11" ht="12.75">
      <c r="C54"/>
      <c r="D54"/>
      <c r="E54"/>
      <c r="F54"/>
      <c r="G54"/>
      <c r="H54"/>
      <c r="I54"/>
      <c r="J54"/>
      <c r="K54"/>
    </row>
    <row r="55" spans="3:11" ht="12.75">
      <c r="C55"/>
      <c r="D55"/>
      <c r="E55"/>
      <c r="F55"/>
      <c r="G55"/>
      <c r="H55"/>
      <c r="I55"/>
      <c r="J55"/>
      <c r="K55"/>
    </row>
    <row r="56" spans="3:11" ht="12.75">
      <c r="C56"/>
      <c r="D56"/>
      <c r="E56"/>
      <c r="F56"/>
      <c r="G56"/>
      <c r="H56"/>
      <c r="I56"/>
      <c r="J56"/>
      <c r="K56"/>
    </row>
    <row r="57" spans="3:11" ht="12.75">
      <c r="C57"/>
      <c r="D57"/>
      <c r="E57"/>
      <c r="F57"/>
      <c r="G57"/>
      <c r="H57"/>
      <c r="I57"/>
      <c r="J57"/>
      <c r="K57"/>
    </row>
    <row r="58" spans="3:11" ht="12.75">
      <c r="C58"/>
      <c r="D58"/>
      <c r="E58"/>
      <c r="F58"/>
      <c r="G58"/>
      <c r="H58"/>
      <c r="I58"/>
      <c r="J58"/>
      <c r="K58"/>
    </row>
    <row r="59" spans="3:11" ht="12.75">
      <c r="C59"/>
      <c r="D59"/>
      <c r="E59"/>
      <c r="F59"/>
      <c r="G59"/>
      <c r="H59"/>
      <c r="I59"/>
      <c r="J59"/>
      <c r="K59"/>
    </row>
    <row r="60" spans="3:11" ht="12.75">
      <c r="C60"/>
      <c r="D60"/>
      <c r="E60"/>
      <c r="F60"/>
      <c r="G60"/>
      <c r="H60"/>
      <c r="I60"/>
      <c r="J60"/>
      <c r="K60"/>
    </row>
    <row r="61" spans="3:11" ht="12.75">
      <c r="C61"/>
      <c r="D61"/>
      <c r="E61"/>
      <c r="F61"/>
      <c r="G61"/>
      <c r="H61"/>
      <c r="I61"/>
      <c r="J61"/>
      <c r="K61"/>
    </row>
    <row r="62" spans="3:11" ht="12.75">
      <c r="C62"/>
      <c r="D62"/>
      <c r="E62"/>
      <c r="F62"/>
      <c r="G62"/>
      <c r="H62"/>
      <c r="I62"/>
      <c r="J62"/>
      <c r="K62"/>
    </row>
    <row r="63" spans="3:11" ht="12.75">
      <c r="C63"/>
      <c r="D63"/>
      <c r="E63"/>
      <c r="F63"/>
      <c r="G63"/>
      <c r="H63"/>
      <c r="I63"/>
      <c r="J63"/>
      <c r="K63"/>
    </row>
    <row r="64" spans="3:11" ht="12.75">
      <c r="C64"/>
      <c r="D64"/>
      <c r="E64"/>
      <c r="F64"/>
      <c r="G64"/>
      <c r="H64"/>
      <c r="I64"/>
      <c r="J64"/>
      <c r="K64"/>
    </row>
    <row r="65" spans="3:11" ht="12.75">
      <c r="C65"/>
      <c r="D65"/>
      <c r="E65"/>
      <c r="F65"/>
      <c r="G65"/>
      <c r="H65"/>
      <c r="I65"/>
      <c r="J65"/>
      <c r="K65"/>
    </row>
    <row r="66" spans="3:11" ht="12.75">
      <c r="C66"/>
      <c r="D66"/>
      <c r="E66"/>
      <c r="F66"/>
      <c r="G66"/>
      <c r="H66"/>
      <c r="I66"/>
      <c r="J66"/>
      <c r="K66"/>
    </row>
    <row r="100" ht="12.75">
      <c r="C100" s="10" t="s">
        <v>203</v>
      </c>
    </row>
    <row r="102" spans="3:10" ht="12.75">
      <c r="C102" s="10" t="s">
        <v>6</v>
      </c>
      <c r="D102" s="10" t="s">
        <v>14</v>
      </c>
      <c r="E102" s="10" t="s">
        <v>13</v>
      </c>
      <c r="J102" s="10" t="s">
        <v>15</v>
      </c>
    </row>
    <row r="103" spans="3:12" ht="12.75">
      <c r="C103" s="10" t="str">
        <f>+$G$6</f>
        <v>LB</v>
      </c>
      <c r="D103" s="10">
        <f>+$G$7+$G$16+L103</f>
        <v>10</v>
      </c>
      <c r="E103" s="10">
        <f>+$G$7+L103</f>
        <v>8</v>
      </c>
      <c r="G103" s="17">
        <f aca="true" t="shared" si="0" ref="G103:G122">IF(D103&gt;$J$7,VLOOKUP($C103,salaristabellen,$J$7+1,FALSE),VLOOKUP($C103,salaristabellen,D103+1,FALSE))*12*(1+G$19)</f>
        <v>54194.28</v>
      </c>
      <c r="H103" s="17">
        <f aca="true" t="shared" si="1" ref="H103:H122">IF(E103&gt;$J$7,VLOOKUP($C103,salaristabellen,$J$7+1,FALSE),VLOOKUP($C103,salaristabellen,E103+1,FALSE))*12*(1+G$19)</f>
        <v>51548.04</v>
      </c>
      <c r="J103" s="17">
        <f>+G103-H103</f>
        <v>2646.239999999998</v>
      </c>
      <c r="L103" s="10">
        <v>0</v>
      </c>
    </row>
    <row r="104" spans="3:12" ht="12.75">
      <c r="C104" s="10" t="str">
        <f aca="true" t="shared" si="2" ref="C104:C122">+$G$6</f>
        <v>LB</v>
      </c>
      <c r="D104" s="10">
        <f aca="true" t="shared" si="3" ref="D104:D122">+$G$7+$G$16+L104</f>
        <v>11</v>
      </c>
      <c r="E104" s="10">
        <f aca="true" t="shared" si="4" ref="E104:E122">+$G$7+L104</f>
        <v>9</v>
      </c>
      <c r="G104" s="17">
        <f t="shared" si="0"/>
        <v>55642.56</v>
      </c>
      <c r="H104" s="17">
        <f t="shared" si="1"/>
        <v>52835.4</v>
      </c>
      <c r="J104" s="17">
        <f aca="true" t="shared" si="5" ref="J104:J122">+G104-H104</f>
        <v>2807.159999999996</v>
      </c>
      <c r="L104" s="10">
        <v>1</v>
      </c>
    </row>
    <row r="105" spans="3:12" ht="12.75">
      <c r="C105" s="10" t="str">
        <f t="shared" si="2"/>
        <v>LB</v>
      </c>
      <c r="D105" s="10">
        <f t="shared" si="3"/>
        <v>12</v>
      </c>
      <c r="E105" s="10">
        <f t="shared" si="4"/>
        <v>10</v>
      </c>
      <c r="G105" s="17">
        <f t="shared" si="0"/>
        <v>57144.48</v>
      </c>
      <c r="H105" s="17">
        <f t="shared" si="1"/>
        <v>54194.28</v>
      </c>
      <c r="J105" s="17">
        <f t="shared" si="5"/>
        <v>2950.2000000000044</v>
      </c>
      <c r="L105" s="10">
        <v>2</v>
      </c>
    </row>
    <row r="106" spans="3:12" ht="12.75">
      <c r="C106" s="10" t="str">
        <f t="shared" si="2"/>
        <v>LB</v>
      </c>
      <c r="D106" s="10">
        <f t="shared" si="3"/>
        <v>13</v>
      </c>
      <c r="E106" s="10">
        <f t="shared" si="4"/>
        <v>11</v>
      </c>
      <c r="G106" s="17">
        <f t="shared" si="0"/>
        <v>58717.92</v>
      </c>
      <c r="H106" s="17">
        <f t="shared" si="1"/>
        <v>55642.56</v>
      </c>
      <c r="J106" s="17">
        <f t="shared" si="5"/>
        <v>3075.3600000000006</v>
      </c>
      <c r="L106" s="10">
        <v>3</v>
      </c>
    </row>
    <row r="107" spans="3:12" ht="12.75">
      <c r="C107" s="10" t="str">
        <f t="shared" si="2"/>
        <v>LB</v>
      </c>
      <c r="D107" s="10">
        <f t="shared" si="3"/>
        <v>14</v>
      </c>
      <c r="E107" s="10">
        <f t="shared" si="4"/>
        <v>12</v>
      </c>
      <c r="G107" s="17">
        <f t="shared" si="0"/>
        <v>60416.52</v>
      </c>
      <c r="H107" s="17">
        <f t="shared" si="1"/>
        <v>57144.48</v>
      </c>
      <c r="J107" s="17">
        <f t="shared" si="5"/>
        <v>3272.0399999999936</v>
      </c>
      <c r="L107" s="10">
        <v>4</v>
      </c>
    </row>
    <row r="108" spans="3:12" ht="12.75">
      <c r="C108" s="10" t="str">
        <f t="shared" si="2"/>
        <v>LB</v>
      </c>
      <c r="D108" s="10">
        <f t="shared" si="3"/>
        <v>15</v>
      </c>
      <c r="E108" s="10">
        <f t="shared" si="4"/>
        <v>13</v>
      </c>
      <c r="G108" s="17">
        <f t="shared" si="0"/>
        <v>62508.48</v>
      </c>
      <c r="H108" s="17">
        <f t="shared" si="1"/>
        <v>58717.92</v>
      </c>
      <c r="J108" s="17">
        <f t="shared" si="5"/>
        <v>3790.560000000005</v>
      </c>
      <c r="L108" s="10">
        <v>5</v>
      </c>
    </row>
    <row r="109" spans="3:12" ht="12.75">
      <c r="C109" s="10" t="str">
        <f t="shared" si="2"/>
        <v>LB</v>
      </c>
      <c r="D109" s="10">
        <f t="shared" si="3"/>
        <v>16</v>
      </c>
      <c r="E109" s="10">
        <f t="shared" si="4"/>
        <v>14</v>
      </c>
      <c r="G109" s="17">
        <f t="shared" si="0"/>
        <v>64654.08</v>
      </c>
      <c r="H109" s="17">
        <f t="shared" si="1"/>
        <v>60416.52</v>
      </c>
      <c r="J109" s="17">
        <f t="shared" si="5"/>
        <v>4237.560000000005</v>
      </c>
      <c r="L109" s="10">
        <v>6</v>
      </c>
    </row>
    <row r="110" spans="3:12" ht="12.75">
      <c r="C110" s="10" t="str">
        <f t="shared" si="2"/>
        <v>LB</v>
      </c>
      <c r="D110" s="10">
        <f t="shared" si="3"/>
        <v>17</v>
      </c>
      <c r="E110" s="10">
        <f t="shared" si="4"/>
        <v>15</v>
      </c>
      <c r="G110" s="17">
        <f t="shared" si="0"/>
        <v>66853.31999999999</v>
      </c>
      <c r="H110" s="17">
        <f t="shared" si="1"/>
        <v>62508.48</v>
      </c>
      <c r="J110" s="17">
        <f t="shared" si="5"/>
        <v>4344.839999999989</v>
      </c>
      <c r="L110" s="10">
        <v>7</v>
      </c>
    </row>
    <row r="111" spans="3:12" ht="12.75">
      <c r="C111" s="10" t="str">
        <f t="shared" si="2"/>
        <v>LB</v>
      </c>
      <c r="D111" s="10">
        <f t="shared" si="3"/>
        <v>18</v>
      </c>
      <c r="E111" s="10">
        <f t="shared" si="4"/>
        <v>16</v>
      </c>
      <c r="G111" s="17">
        <f t="shared" si="0"/>
        <v>66853.31999999999</v>
      </c>
      <c r="H111" s="17">
        <f t="shared" si="1"/>
        <v>64654.08</v>
      </c>
      <c r="J111" s="17">
        <f t="shared" si="5"/>
        <v>2199.2399999999907</v>
      </c>
      <c r="L111" s="10">
        <v>8</v>
      </c>
    </row>
    <row r="112" spans="3:12" ht="12.75">
      <c r="C112" s="10" t="str">
        <f t="shared" si="2"/>
        <v>LB</v>
      </c>
      <c r="D112" s="10">
        <f t="shared" si="3"/>
        <v>19</v>
      </c>
      <c r="E112" s="10">
        <f t="shared" si="4"/>
        <v>17</v>
      </c>
      <c r="G112" s="17">
        <f t="shared" si="0"/>
        <v>66853.31999999999</v>
      </c>
      <c r="H112" s="17">
        <f t="shared" si="1"/>
        <v>66853.31999999999</v>
      </c>
      <c r="J112" s="17">
        <f t="shared" si="5"/>
        <v>0</v>
      </c>
      <c r="L112" s="10">
        <v>9</v>
      </c>
    </row>
    <row r="113" spans="3:12" ht="12.75">
      <c r="C113" s="10" t="str">
        <f t="shared" si="2"/>
        <v>LB</v>
      </c>
      <c r="D113" s="10">
        <f t="shared" si="3"/>
        <v>20</v>
      </c>
      <c r="E113" s="10">
        <f t="shared" si="4"/>
        <v>18</v>
      </c>
      <c r="G113" s="17">
        <f t="shared" si="0"/>
        <v>66853.31999999999</v>
      </c>
      <c r="H113" s="17">
        <f t="shared" si="1"/>
        <v>66853.31999999999</v>
      </c>
      <c r="J113" s="17">
        <f t="shared" si="5"/>
        <v>0</v>
      </c>
      <c r="L113" s="10">
        <v>10</v>
      </c>
    </row>
    <row r="114" spans="3:12" ht="12.75">
      <c r="C114" s="10" t="str">
        <f t="shared" si="2"/>
        <v>LB</v>
      </c>
      <c r="D114" s="10">
        <f t="shared" si="3"/>
        <v>21</v>
      </c>
      <c r="E114" s="10">
        <f t="shared" si="4"/>
        <v>19</v>
      </c>
      <c r="G114" s="17">
        <f t="shared" si="0"/>
        <v>66853.31999999999</v>
      </c>
      <c r="H114" s="17">
        <f t="shared" si="1"/>
        <v>66853.31999999999</v>
      </c>
      <c r="J114" s="17">
        <f t="shared" si="5"/>
        <v>0</v>
      </c>
      <c r="L114" s="10">
        <v>11</v>
      </c>
    </row>
    <row r="115" spans="3:12" ht="12.75">
      <c r="C115" s="10" t="str">
        <f t="shared" si="2"/>
        <v>LB</v>
      </c>
      <c r="D115" s="10">
        <f t="shared" si="3"/>
        <v>22</v>
      </c>
      <c r="E115" s="10">
        <f t="shared" si="4"/>
        <v>20</v>
      </c>
      <c r="G115" s="17">
        <f t="shared" si="0"/>
        <v>66853.31999999999</v>
      </c>
      <c r="H115" s="17">
        <f t="shared" si="1"/>
        <v>66853.31999999999</v>
      </c>
      <c r="J115" s="17">
        <f t="shared" si="5"/>
        <v>0</v>
      </c>
      <c r="L115" s="10">
        <v>12</v>
      </c>
    </row>
    <row r="116" spans="3:12" ht="12.75">
      <c r="C116" s="10" t="str">
        <f t="shared" si="2"/>
        <v>LB</v>
      </c>
      <c r="D116" s="10">
        <f t="shared" si="3"/>
        <v>23</v>
      </c>
      <c r="E116" s="10">
        <f t="shared" si="4"/>
        <v>21</v>
      </c>
      <c r="G116" s="17">
        <f t="shared" si="0"/>
        <v>66853.31999999999</v>
      </c>
      <c r="H116" s="17">
        <f t="shared" si="1"/>
        <v>66853.31999999999</v>
      </c>
      <c r="J116" s="17">
        <f t="shared" si="5"/>
        <v>0</v>
      </c>
      <c r="L116" s="10">
        <v>13</v>
      </c>
    </row>
    <row r="117" spans="3:12" ht="12.75">
      <c r="C117" s="10" t="str">
        <f t="shared" si="2"/>
        <v>LB</v>
      </c>
      <c r="D117" s="10">
        <f t="shared" si="3"/>
        <v>24</v>
      </c>
      <c r="E117" s="10">
        <f t="shared" si="4"/>
        <v>22</v>
      </c>
      <c r="G117" s="17">
        <f t="shared" si="0"/>
        <v>66853.31999999999</v>
      </c>
      <c r="H117" s="17">
        <f t="shared" si="1"/>
        <v>66853.31999999999</v>
      </c>
      <c r="J117" s="17">
        <f t="shared" si="5"/>
        <v>0</v>
      </c>
      <c r="L117" s="10">
        <v>14</v>
      </c>
    </row>
    <row r="118" spans="3:12" ht="12.75">
      <c r="C118" s="10" t="str">
        <f t="shared" si="2"/>
        <v>LB</v>
      </c>
      <c r="D118" s="10">
        <f t="shared" si="3"/>
        <v>25</v>
      </c>
      <c r="E118" s="10">
        <f t="shared" si="4"/>
        <v>23</v>
      </c>
      <c r="G118" s="17">
        <f t="shared" si="0"/>
        <v>66853.31999999999</v>
      </c>
      <c r="H118" s="17">
        <f t="shared" si="1"/>
        <v>66853.31999999999</v>
      </c>
      <c r="J118" s="17">
        <f t="shared" si="5"/>
        <v>0</v>
      </c>
      <c r="L118" s="10">
        <v>15</v>
      </c>
    </row>
    <row r="119" spans="3:12" ht="12.75">
      <c r="C119" s="10" t="str">
        <f t="shared" si="2"/>
        <v>LB</v>
      </c>
      <c r="D119" s="10">
        <f t="shared" si="3"/>
        <v>26</v>
      </c>
      <c r="E119" s="10">
        <f t="shared" si="4"/>
        <v>24</v>
      </c>
      <c r="G119" s="17">
        <f t="shared" si="0"/>
        <v>66853.31999999999</v>
      </c>
      <c r="H119" s="17">
        <f t="shared" si="1"/>
        <v>66853.31999999999</v>
      </c>
      <c r="J119" s="17">
        <f t="shared" si="5"/>
        <v>0</v>
      </c>
      <c r="L119" s="10">
        <v>16</v>
      </c>
    </row>
    <row r="120" spans="3:12" ht="12.75">
      <c r="C120" s="10" t="str">
        <f t="shared" si="2"/>
        <v>LB</v>
      </c>
      <c r="D120" s="10">
        <f t="shared" si="3"/>
        <v>27</v>
      </c>
      <c r="E120" s="10">
        <f t="shared" si="4"/>
        <v>25</v>
      </c>
      <c r="G120" s="17">
        <f t="shared" si="0"/>
        <v>66853.31999999999</v>
      </c>
      <c r="H120" s="17">
        <f t="shared" si="1"/>
        <v>66853.31999999999</v>
      </c>
      <c r="J120" s="17">
        <f t="shared" si="5"/>
        <v>0</v>
      </c>
      <c r="L120" s="10">
        <v>17</v>
      </c>
    </row>
    <row r="121" spans="3:12" ht="12.75">
      <c r="C121" s="10" t="str">
        <f t="shared" si="2"/>
        <v>LB</v>
      </c>
      <c r="D121" s="10">
        <f t="shared" si="3"/>
        <v>28</v>
      </c>
      <c r="E121" s="10">
        <f t="shared" si="4"/>
        <v>26</v>
      </c>
      <c r="G121" s="17">
        <f t="shared" si="0"/>
        <v>66853.31999999999</v>
      </c>
      <c r="H121" s="17">
        <f t="shared" si="1"/>
        <v>66853.31999999999</v>
      </c>
      <c r="J121" s="17">
        <f t="shared" si="5"/>
        <v>0</v>
      </c>
      <c r="L121" s="10">
        <v>18</v>
      </c>
    </row>
    <row r="122" spans="3:12" ht="12.75">
      <c r="C122" s="10" t="str">
        <f t="shared" si="2"/>
        <v>LB</v>
      </c>
      <c r="D122" s="10">
        <f t="shared" si="3"/>
        <v>29</v>
      </c>
      <c r="E122" s="10">
        <f t="shared" si="4"/>
        <v>27</v>
      </c>
      <c r="G122" s="17">
        <f t="shared" si="0"/>
        <v>66853.31999999999</v>
      </c>
      <c r="H122" s="17">
        <f t="shared" si="1"/>
        <v>66853.31999999999</v>
      </c>
      <c r="J122" s="17">
        <f t="shared" si="5"/>
        <v>0</v>
      </c>
      <c r="L122" s="10">
        <v>19</v>
      </c>
    </row>
    <row r="124" ht="12.75">
      <c r="J124" s="17">
        <f>SUM(J103:J122)</f>
        <v>29323.199999999983</v>
      </c>
    </row>
    <row r="125" spans="8:10" ht="12.75">
      <c r="H125" s="10" t="s">
        <v>16</v>
      </c>
      <c r="J125" s="17">
        <f>IF(G21=0,0,+J124/G21)</f>
        <v>3258.1333333333314</v>
      </c>
    </row>
    <row r="133" spans="7:10" ht="12.75">
      <c r="G133" s="17"/>
      <c r="H133" s="17"/>
      <c r="J133" s="17"/>
    </row>
    <row r="134" spans="7:10" ht="12.75">
      <c r="G134" s="17"/>
      <c r="H134" s="17"/>
      <c r="J134" s="17"/>
    </row>
    <row r="135" spans="7:10" ht="12.75">
      <c r="G135" s="17"/>
      <c r="H135" s="17"/>
      <c r="J135" s="17"/>
    </row>
    <row r="136" spans="7:10" ht="12.75">
      <c r="G136" s="17"/>
      <c r="H136" s="17"/>
      <c r="J136" s="17"/>
    </row>
    <row r="137" spans="7:10" ht="12.75">
      <c r="G137" s="17"/>
      <c r="H137" s="17"/>
      <c r="J137" s="17"/>
    </row>
    <row r="138" spans="7:10" ht="12.75">
      <c r="G138" s="17"/>
      <c r="H138" s="17"/>
      <c r="J138" s="17"/>
    </row>
    <row r="139" spans="7:10" ht="12.75">
      <c r="G139" s="17"/>
      <c r="H139" s="17"/>
      <c r="J139" s="17"/>
    </row>
    <row r="140" spans="7:10" ht="12.75">
      <c r="G140" s="17"/>
      <c r="H140" s="17"/>
      <c r="J140" s="17"/>
    </row>
    <row r="141" spans="7:10" ht="12.75">
      <c r="G141" s="17"/>
      <c r="H141" s="17"/>
      <c r="J141" s="17"/>
    </row>
    <row r="142" spans="7:10" ht="12.75">
      <c r="G142" s="17"/>
      <c r="H142" s="17"/>
      <c r="J142" s="17"/>
    </row>
    <row r="143" spans="7:10" ht="12.75">
      <c r="G143" s="17"/>
      <c r="H143" s="17"/>
      <c r="J143" s="17"/>
    </row>
    <row r="144" spans="7:10" ht="12.75">
      <c r="G144" s="17"/>
      <c r="H144" s="17"/>
      <c r="J144" s="17"/>
    </row>
    <row r="145" spans="7:10" ht="12.75">
      <c r="G145" s="17"/>
      <c r="H145" s="17"/>
      <c r="J145" s="17"/>
    </row>
    <row r="146" spans="7:10" ht="12.75">
      <c r="G146" s="17"/>
      <c r="H146" s="17"/>
      <c r="J146" s="17"/>
    </row>
    <row r="147" spans="7:10" ht="12.75">
      <c r="G147" s="17"/>
      <c r="H147" s="17"/>
      <c r="J147" s="17"/>
    </row>
    <row r="148" spans="7:10" ht="12.75">
      <c r="G148" s="17"/>
      <c r="H148" s="17"/>
      <c r="J148" s="17"/>
    </row>
    <row r="149" spans="7:10" ht="12.75">
      <c r="G149" s="17"/>
      <c r="H149" s="17"/>
      <c r="J149" s="17"/>
    </row>
    <row r="150" spans="7:10" ht="12.75">
      <c r="G150" s="17"/>
      <c r="H150" s="17"/>
      <c r="J150" s="17"/>
    </row>
    <row r="151" spans="7:10" ht="12.75">
      <c r="G151" s="17"/>
      <c r="H151" s="17"/>
      <c r="J151" s="17"/>
    </row>
    <row r="152" spans="7:10" ht="12.75">
      <c r="G152" s="17"/>
      <c r="H152" s="17"/>
      <c r="J152" s="17"/>
    </row>
    <row r="154" ht="12.75">
      <c r="J154" s="17"/>
    </row>
    <row r="155" ht="12.75">
      <c r="J155" s="17"/>
    </row>
    <row r="163" spans="7:10" ht="12.75">
      <c r="G163" s="17"/>
      <c r="H163" s="17"/>
      <c r="J163" s="17"/>
    </row>
    <row r="164" spans="7:10" ht="12.75">
      <c r="G164" s="17"/>
      <c r="H164" s="17"/>
      <c r="J164" s="17"/>
    </row>
    <row r="165" spans="7:10" ht="12.75">
      <c r="G165" s="17"/>
      <c r="H165" s="17"/>
      <c r="J165" s="17"/>
    </row>
    <row r="166" spans="7:10" ht="12.75">
      <c r="G166" s="17"/>
      <c r="H166" s="17"/>
      <c r="J166" s="17"/>
    </row>
    <row r="167" spans="7:10" ht="12.75">
      <c r="G167" s="17"/>
      <c r="H167" s="17"/>
      <c r="J167" s="17"/>
    </row>
    <row r="168" spans="7:10" ht="12.75">
      <c r="G168" s="17"/>
      <c r="H168" s="17"/>
      <c r="J168" s="17"/>
    </row>
    <row r="169" spans="7:10" ht="12.75">
      <c r="G169" s="17"/>
      <c r="H169" s="17"/>
      <c r="J169" s="17"/>
    </row>
    <row r="170" spans="7:10" ht="12.75">
      <c r="G170" s="17"/>
      <c r="H170" s="17"/>
      <c r="J170" s="17"/>
    </row>
    <row r="171" spans="7:10" ht="12.75">
      <c r="G171" s="17"/>
      <c r="H171" s="17"/>
      <c r="J171" s="17"/>
    </row>
    <row r="172" spans="7:10" ht="12.75">
      <c r="G172" s="17"/>
      <c r="H172" s="17"/>
      <c r="J172" s="17"/>
    </row>
    <row r="173" spans="7:10" ht="12.75">
      <c r="G173" s="17"/>
      <c r="H173" s="17"/>
      <c r="J173" s="17"/>
    </row>
    <row r="174" spans="7:10" ht="12.75">
      <c r="G174" s="17"/>
      <c r="H174" s="17"/>
      <c r="J174" s="17"/>
    </row>
    <row r="175" spans="7:10" ht="12.75">
      <c r="G175" s="17"/>
      <c r="H175" s="17"/>
      <c r="J175" s="17"/>
    </row>
    <row r="176" spans="7:10" ht="12.75">
      <c r="G176" s="17"/>
      <c r="H176" s="17"/>
      <c r="J176" s="17"/>
    </row>
    <row r="177" spans="7:10" ht="12.75">
      <c r="G177" s="17"/>
      <c r="H177" s="17"/>
      <c r="J177" s="17"/>
    </row>
    <row r="178" spans="7:10" ht="12.75">
      <c r="G178" s="17"/>
      <c r="H178" s="17"/>
      <c r="J178" s="17"/>
    </row>
    <row r="179" spans="7:10" ht="12.75">
      <c r="G179" s="17"/>
      <c r="H179" s="17"/>
      <c r="J179" s="17"/>
    </row>
    <row r="180" spans="7:10" ht="12.75">
      <c r="G180" s="17"/>
      <c r="H180" s="17"/>
      <c r="J180" s="17"/>
    </row>
    <row r="181" spans="7:10" ht="12.75">
      <c r="G181" s="17"/>
      <c r="H181" s="17"/>
      <c r="J181" s="17"/>
    </row>
    <row r="182" spans="7:10" ht="12.75">
      <c r="G182" s="17"/>
      <c r="H182" s="17"/>
      <c r="J182" s="17"/>
    </row>
    <row r="184" ht="12.75">
      <c r="J184" s="17"/>
    </row>
    <row r="185" ht="12.75">
      <c r="J185" s="17"/>
    </row>
  </sheetData>
  <sheetProtection password="DE55" sheet="1" objects="1" scenarios="1"/>
  <mergeCells count="2">
    <mergeCell ref="G5:H5"/>
    <mergeCell ref="D26:F26"/>
  </mergeCells>
  <dataValidations count="2">
    <dataValidation type="list" allowBlank="1" showInputMessage="1" showErrorMessage="1" sqref="G6">
      <formula1>$AB$6:$AB$28</formula1>
    </dataValidation>
    <dataValidation type="list" allowBlank="1" showInputMessage="1" showErrorMessage="1" sqref="G13:G15">
      <formula1>$S$5:$S$6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9" r:id="rId4"/>
  <headerFooter alignWithMargins="0">
    <oddHeader>&amp;L&amp;"Arial,Vet"&amp;A&amp;C&amp;"Arial,Vet"&amp;D&amp;R&amp;"Arial,Vet"&amp;F</oddHeader>
    <oddFooter>&amp;L&amp;"Arial,Vet"&amp;9gemaakt door keizer, vos/abb&amp;R&amp;"Arial,Vet"&amp;P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1.57421875" style="0" customWidth="1"/>
    <col min="4" max="4" width="11.28125" style="0" customWidth="1"/>
    <col min="5" max="5" width="11.7109375" style="0" customWidth="1"/>
    <col min="6" max="6" width="11.421875" style="0" customWidth="1"/>
    <col min="7" max="7" width="10.421875" style="0" customWidth="1"/>
    <col min="8" max="8" width="10.7109375" style="0" customWidth="1"/>
    <col min="9" max="9" width="9.421875" style="0" bestFit="1" customWidth="1"/>
    <col min="10" max="23" width="9.28125" style="0" bestFit="1" customWidth="1"/>
  </cols>
  <sheetData>
    <row r="2" spans="2:22" ht="12.75">
      <c r="B2" s="2" t="s">
        <v>0</v>
      </c>
      <c r="C2" s="3">
        <v>40087</v>
      </c>
      <c r="D2" s="4"/>
      <c r="E2" s="4"/>
      <c r="F2" s="5"/>
      <c r="G2" s="4"/>
      <c r="K2" s="4"/>
      <c r="L2" s="4"/>
      <c r="M2" s="4"/>
      <c r="N2" s="4"/>
      <c r="O2" s="4"/>
      <c r="P2" s="6"/>
      <c r="Q2" s="6"/>
      <c r="R2" s="6"/>
      <c r="S2" s="6"/>
      <c r="T2" s="6"/>
      <c r="U2" s="6"/>
      <c r="V2" s="6"/>
    </row>
    <row r="3" spans="2:21" ht="12.75">
      <c r="B3" s="4" t="s">
        <v>1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 t="s">
        <v>12</v>
      </c>
    </row>
    <row r="4" spans="2:21" ht="12.75">
      <c r="B4" s="8" t="s">
        <v>2</v>
      </c>
      <c r="C4" s="141">
        <v>2445</v>
      </c>
      <c r="D4" s="141">
        <v>2505</v>
      </c>
      <c r="E4" s="141">
        <v>2566</v>
      </c>
      <c r="F4" s="141">
        <v>2625</v>
      </c>
      <c r="G4" s="141">
        <v>2686</v>
      </c>
      <c r="H4" s="141">
        <v>2749</v>
      </c>
      <c r="I4" s="141">
        <v>2814</v>
      </c>
      <c r="J4" s="141">
        <v>2883</v>
      </c>
      <c r="K4" s="141">
        <v>2955</v>
      </c>
      <c r="L4" s="141">
        <v>3031</v>
      </c>
      <c r="M4" s="141">
        <v>3112</v>
      </c>
      <c r="N4" s="141">
        <v>3196</v>
      </c>
      <c r="O4" s="141">
        <v>3284</v>
      </c>
      <c r="P4" s="141">
        <v>3379</v>
      </c>
      <c r="Q4" s="141">
        <v>3496</v>
      </c>
      <c r="R4" s="141">
        <v>3616</v>
      </c>
      <c r="S4" s="141">
        <v>3739</v>
      </c>
      <c r="T4" s="141"/>
      <c r="U4" s="15">
        <f aca="true" t="shared" si="0" ref="U4:U28">COUNTA(C4:T4)</f>
        <v>17</v>
      </c>
    </row>
    <row r="5" spans="2:21" ht="12.75">
      <c r="B5" s="8" t="s">
        <v>3</v>
      </c>
      <c r="C5" s="141">
        <v>2460</v>
      </c>
      <c r="D5" s="141">
        <v>2578</v>
      </c>
      <c r="E5" s="141">
        <v>2701</v>
      </c>
      <c r="F5" s="141">
        <v>2814</v>
      </c>
      <c r="G5" s="141">
        <v>2928</v>
      </c>
      <c r="H5" s="141">
        <v>3045</v>
      </c>
      <c r="I5" s="141">
        <v>3162</v>
      </c>
      <c r="J5" s="141">
        <v>3281</v>
      </c>
      <c r="K5" s="141">
        <v>3400</v>
      </c>
      <c r="L5" s="141">
        <v>3521</v>
      </c>
      <c r="M5" s="141">
        <v>3640</v>
      </c>
      <c r="N5" s="141">
        <v>3761</v>
      </c>
      <c r="O5" s="141">
        <v>3882</v>
      </c>
      <c r="P5" s="141">
        <v>4004</v>
      </c>
      <c r="Q5" s="141">
        <v>4126</v>
      </c>
      <c r="R5" s="141">
        <v>4248</v>
      </c>
      <c r="S5" s="141">
        <v>4361</v>
      </c>
      <c r="T5" s="141"/>
      <c r="U5" s="15">
        <f t="shared" si="0"/>
        <v>17</v>
      </c>
    </row>
    <row r="6" spans="2:21" ht="12.75">
      <c r="B6" s="8" t="s">
        <v>4</v>
      </c>
      <c r="C6" s="141">
        <v>2470</v>
      </c>
      <c r="D6" s="141">
        <v>2617</v>
      </c>
      <c r="E6" s="141">
        <v>2766</v>
      </c>
      <c r="F6" s="141">
        <v>2914</v>
      </c>
      <c r="G6" s="141">
        <v>3063</v>
      </c>
      <c r="H6" s="141">
        <v>3213</v>
      </c>
      <c r="I6" s="141">
        <v>3365</v>
      </c>
      <c r="J6" s="141">
        <v>3521</v>
      </c>
      <c r="K6" s="141">
        <v>3675</v>
      </c>
      <c r="L6" s="141">
        <v>3833</v>
      </c>
      <c r="M6" s="141">
        <v>3992</v>
      </c>
      <c r="N6" s="141">
        <v>4153</v>
      </c>
      <c r="O6" s="141">
        <v>4316</v>
      </c>
      <c r="P6" s="141">
        <v>4482</v>
      </c>
      <c r="Q6" s="141">
        <v>4646</v>
      </c>
      <c r="R6" s="141">
        <v>4814</v>
      </c>
      <c r="S6" s="141">
        <v>4962</v>
      </c>
      <c r="T6" s="141"/>
      <c r="U6" s="15">
        <f t="shared" si="0"/>
        <v>17</v>
      </c>
    </row>
    <row r="7" spans="2:21" ht="12.75">
      <c r="B7" s="8" t="s">
        <v>5</v>
      </c>
      <c r="C7" s="141">
        <v>3177</v>
      </c>
      <c r="D7" s="141">
        <v>3296</v>
      </c>
      <c r="E7" s="141">
        <v>3402</v>
      </c>
      <c r="F7" s="141">
        <v>3617</v>
      </c>
      <c r="G7" s="141">
        <v>3856</v>
      </c>
      <c r="H7" s="141">
        <v>3984</v>
      </c>
      <c r="I7" s="141">
        <v>4111</v>
      </c>
      <c r="J7" s="141">
        <v>4237</v>
      </c>
      <c r="K7" s="141">
        <v>4364</v>
      </c>
      <c r="L7" s="141">
        <v>4491</v>
      </c>
      <c r="M7" s="141">
        <v>4619</v>
      </c>
      <c r="N7" s="141">
        <v>4745</v>
      </c>
      <c r="O7" s="141">
        <v>4873</v>
      </c>
      <c r="P7" s="141">
        <v>5000</v>
      </c>
      <c r="Q7" s="141">
        <v>5126</v>
      </c>
      <c r="R7" s="141">
        <v>5254</v>
      </c>
      <c r="S7" s="141">
        <v>5381</v>
      </c>
      <c r="T7" s="141"/>
      <c r="U7" s="15">
        <f t="shared" si="0"/>
        <v>17</v>
      </c>
    </row>
    <row r="8" spans="2:21" ht="12.75">
      <c r="B8" s="9">
        <v>1</v>
      </c>
      <c r="C8" s="141">
        <v>1512</v>
      </c>
      <c r="D8" s="141">
        <v>1573</v>
      </c>
      <c r="E8" s="141">
        <v>1632</v>
      </c>
      <c r="F8" s="141">
        <v>1660</v>
      </c>
      <c r="G8" s="141">
        <v>1692</v>
      </c>
      <c r="H8" s="141">
        <v>1723</v>
      </c>
      <c r="I8" s="141">
        <v>1765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5">
        <f t="shared" si="0"/>
        <v>7</v>
      </c>
    </row>
    <row r="9" spans="2:21" ht="12.75">
      <c r="B9" s="9">
        <v>2</v>
      </c>
      <c r="C9" s="141">
        <v>1545</v>
      </c>
      <c r="D9" s="141">
        <v>1604</v>
      </c>
      <c r="E9" s="141">
        <v>1660</v>
      </c>
      <c r="F9" s="141">
        <v>1723</v>
      </c>
      <c r="G9" s="141">
        <v>1765</v>
      </c>
      <c r="H9" s="141">
        <v>1814</v>
      </c>
      <c r="I9" s="141">
        <v>1873</v>
      </c>
      <c r="J9" s="141">
        <v>1928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5">
        <f t="shared" si="0"/>
        <v>8</v>
      </c>
    </row>
    <row r="10" spans="2:21" ht="12.75">
      <c r="B10" s="9">
        <v>3</v>
      </c>
      <c r="C10" s="141">
        <v>1545</v>
      </c>
      <c r="D10" s="141">
        <v>1660</v>
      </c>
      <c r="E10" s="141">
        <v>1723</v>
      </c>
      <c r="F10" s="141">
        <v>1814</v>
      </c>
      <c r="G10" s="141">
        <v>1873</v>
      </c>
      <c r="H10" s="141">
        <v>1928</v>
      </c>
      <c r="I10" s="141">
        <v>1983</v>
      </c>
      <c r="J10" s="141">
        <v>2036</v>
      </c>
      <c r="K10" s="141">
        <v>2089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5">
        <f t="shared" si="0"/>
        <v>9</v>
      </c>
    </row>
    <row r="11" spans="2:21" ht="12.75">
      <c r="B11" s="9">
        <v>4</v>
      </c>
      <c r="C11" s="141">
        <v>1573</v>
      </c>
      <c r="D11" s="141">
        <v>1632</v>
      </c>
      <c r="E11" s="141">
        <v>1692</v>
      </c>
      <c r="F11" s="141">
        <v>1765</v>
      </c>
      <c r="G11" s="141">
        <v>1873</v>
      </c>
      <c r="H11" s="141">
        <v>1928</v>
      </c>
      <c r="I11" s="141">
        <v>1983</v>
      </c>
      <c r="J11" s="141">
        <v>2036</v>
      </c>
      <c r="K11" s="141">
        <v>2089</v>
      </c>
      <c r="L11" s="141">
        <v>2140</v>
      </c>
      <c r="M11" s="141">
        <v>2191</v>
      </c>
      <c r="N11" s="141"/>
      <c r="O11" s="141"/>
      <c r="P11" s="141"/>
      <c r="Q11" s="141"/>
      <c r="R11" s="141"/>
      <c r="S11" s="141"/>
      <c r="T11" s="141"/>
      <c r="U11" s="15">
        <f t="shared" si="0"/>
        <v>11</v>
      </c>
    </row>
    <row r="12" spans="2:21" ht="12.75">
      <c r="B12" s="9">
        <v>5</v>
      </c>
      <c r="C12" s="141">
        <v>1604</v>
      </c>
      <c r="D12" s="141">
        <v>1632</v>
      </c>
      <c r="E12" s="141">
        <v>1723</v>
      </c>
      <c r="F12" s="141">
        <v>1814</v>
      </c>
      <c r="G12" s="141">
        <v>1928</v>
      </c>
      <c r="H12" s="141">
        <v>1983</v>
      </c>
      <c r="I12" s="141">
        <v>2036</v>
      </c>
      <c r="J12" s="141">
        <v>2089</v>
      </c>
      <c r="K12" s="141">
        <v>2140</v>
      </c>
      <c r="L12" s="141">
        <v>2191</v>
      </c>
      <c r="M12" s="141">
        <v>2243</v>
      </c>
      <c r="N12" s="141">
        <v>2302</v>
      </c>
      <c r="O12" s="141"/>
      <c r="P12" s="141"/>
      <c r="Q12" s="141"/>
      <c r="R12" s="141"/>
      <c r="S12" s="141"/>
      <c r="T12" s="141"/>
      <c r="U12" s="15">
        <f t="shared" si="0"/>
        <v>12</v>
      </c>
    </row>
    <row r="13" spans="2:21" ht="12.75">
      <c r="B13" s="9">
        <v>6</v>
      </c>
      <c r="C13" s="141">
        <v>1660</v>
      </c>
      <c r="D13" s="141">
        <v>1723</v>
      </c>
      <c r="E13" s="141">
        <v>1928</v>
      </c>
      <c r="F13" s="141">
        <v>2036</v>
      </c>
      <c r="G13" s="141">
        <v>2089</v>
      </c>
      <c r="H13" s="141">
        <v>2140</v>
      </c>
      <c r="I13" s="141">
        <v>2191</v>
      </c>
      <c r="J13" s="141">
        <v>2243</v>
      </c>
      <c r="K13" s="141">
        <v>2302</v>
      </c>
      <c r="L13" s="141">
        <v>2359</v>
      </c>
      <c r="M13" s="141">
        <v>2412</v>
      </c>
      <c r="N13" s="141"/>
      <c r="O13" s="141"/>
      <c r="P13" s="141"/>
      <c r="Q13" s="141"/>
      <c r="R13" s="141"/>
      <c r="S13" s="141"/>
      <c r="T13" s="141"/>
      <c r="U13" s="15">
        <f t="shared" si="0"/>
        <v>11</v>
      </c>
    </row>
    <row r="14" spans="2:21" ht="12.75">
      <c r="B14" s="9">
        <v>7</v>
      </c>
      <c r="C14" s="141">
        <v>1765</v>
      </c>
      <c r="D14" s="141">
        <v>1814</v>
      </c>
      <c r="E14" s="141">
        <v>1928</v>
      </c>
      <c r="F14" s="141">
        <v>2140</v>
      </c>
      <c r="G14" s="141">
        <v>2243</v>
      </c>
      <c r="H14" s="141">
        <v>2302</v>
      </c>
      <c r="I14" s="141">
        <v>2359</v>
      </c>
      <c r="J14" s="141">
        <v>2412</v>
      </c>
      <c r="K14" s="141">
        <v>2470</v>
      </c>
      <c r="L14" s="141">
        <v>2530</v>
      </c>
      <c r="M14" s="141">
        <v>2590</v>
      </c>
      <c r="N14" s="141">
        <v>2660</v>
      </c>
      <c r="O14" s="141"/>
      <c r="P14" s="141"/>
      <c r="Q14" s="141"/>
      <c r="R14" s="141"/>
      <c r="S14" s="141"/>
      <c r="T14" s="141"/>
      <c r="U14" s="15">
        <f t="shared" si="0"/>
        <v>12</v>
      </c>
    </row>
    <row r="15" spans="2:21" ht="12.75">
      <c r="B15" s="9">
        <v>8</v>
      </c>
      <c r="C15" s="141">
        <v>1983</v>
      </c>
      <c r="D15" s="141">
        <v>2036</v>
      </c>
      <c r="E15" s="141">
        <v>2140</v>
      </c>
      <c r="F15" s="141">
        <v>2359</v>
      </c>
      <c r="G15" s="141">
        <v>2470</v>
      </c>
      <c r="H15" s="141">
        <v>2590</v>
      </c>
      <c r="I15" s="141">
        <v>2660</v>
      </c>
      <c r="J15" s="141">
        <v>2723</v>
      </c>
      <c r="K15" s="141">
        <v>2779</v>
      </c>
      <c r="L15" s="141">
        <v>2840</v>
      </c>
      <c r="M15" s="141">
        <v>2900</v>
      </c>
      <c r="N15" s="141">
        <v>2956</v>
      </c>
      <c r="O15" s="141">
        <v>3009</v>
      </c>
      <c r="P15" s="141"/>
      <c r="Q15" s="141"/>
      <c r="R15" s="141"/>
      <c r="S15" s="141"/>
      <c r="T15" s="141"/>
      <c r="U15" s="15">
        <f t="shared" si="0"/>
        <v>13</v>
      </c>
    </row>
    <row r="16" spans="2:21" ht="12.75">
      <c r="B16" s="9">
        <v>9</v>
      </c>
      <c r="C16" s="141">
        <v>2243</v>
      </c>
      <c r="D16" s="141">
        <v>2359</v>
      </c>
      <c r="E16" s="141">
        <v>2590</v>
      </c>
      <c r="F16" s="141">
        <v>2723</v>
      </c>
      <c r="G16" s="141">
        <v>2840</v>
      </c>
      <c r="H16" s="141">
        <v>2956</v>
      </c>
      <c r="I16" s="141">
        <v>3067</v>
      </c>
      <c r="J16" s="141">
        <v>3177</v>
      </c>
      <c r="K16" s="141">
        <v>3296</v>
      </c>
      <c r="L16" s="141">
        <v>3402</v>
      </c>
      <c r="M16" s="141"/>
      <c r="N16" s="141"/>
      <c r="O16" s="141"/>
      <c r="P16" s="141"/>
      <c r="Q16" s="141"/>
      <c r="R16" s="141"/>
      <c r="S16" s="141"/>
      <c r="T16" s="141"/>
      <c r="U16" s="15">
        <f t="shared" si="0"/>
        <v>10</v>
      </c>
    </row>
    <row r="17" spans="2:21" ht="12.75">
      <c r="B17" s="9">
        <v>10</v>
      </c>
      <c r="C17" s="141">
        <v>2243</v>
      </c>
      <c r="D17" s="141">
        <v>2470</v>
      </c>
      <c r="E17" s="141">
        <v>2590</v>
      </c>
      <c r="F17" s="141">
        <v>2723</v>
      </c>
      <c r="G17" s="141">
        <v>2840</v>
      </c>
      <c r="H17" s="141">
        <v>2956</v>
      </c>
      <c r="I17" s="141">
        <v>3067</v>
      </c>
      <c r="J17" s="141">
        <v>3177</v>
      </c>
      <c r="K17" s="141">
        <v>3296</v>
      </c>
      <c r="L17" s="141">
        <v>3402</v>
      </c>
      <c r="M17" s="141">
        <v>3511</v>
      </c>
      <c r="N17" s="141">
        <v>3617</v>
      </c>
      <c r="O17" s="141">
        <v>3739</v>
      </c>
      <c r="P17" s="141"/>
      <c r="Q17" s="141"/>
      <c r="R17" s="141"/>
      <c r="S17" s="141"/>
      <c r="T17" s="141"/>
      <c r="U17" s="15">
        <f t="shared" si="0"/>
        <v>13</v>
      </c>
    </row>
    <row r="18" spans="2:21" ht="12.75">
      <c r="B18" s="9">
        <v>11</v>
      </c>
      <c r="C18" s="141">
        <v>2359</v>
      </c>
      <c r="D18" s="141">
        <v>2470</v>
      </c>
      <c r="E18" s="141">
        <v>2593</v>
      </c>
      <c r="F18" s="141">
        <v>2725</v>
      </c>
      <c r="G18" s="141">
        <v>2843</v>
      </c>
      <c r="H18" s="141">
        <v>2961</v>
      </c>
      <c r="I18" s="141">
        <v>3083</v>
      </c>
      <c r="J18" s="141">
        <v>3296</v>
      </c>
      <c r="K18" s="141">
        <v>3414</v>
      </c>
      <c r="L18" s="141">
        <v>3532</v>
      </c>
      <c r="M18" s="141">
        <v>3650</v>
      </c>
      <c r="N18" s="141">
        <v>3770</v>
      </c>
      <c r="O18" s="141">
        <v>3888</v>
      </c>
      <c r="P18" s="141">
        <v>4007</v>
      </c>
      <c r="Q18" s="141">
        <v>4125</v>
      </c>
      <c r="R18" s="141">
        <v>4243</v>
      </c>
      <c r="S18" s="141">
        <v>4361</v>
      </c>
      <c r="T18" s="141"/>
      <c r="U18" s="15">
        <f t="shared" si="0"/>
        <v>17</v>
      </c>
    </row>
    <row r="19" spans="2:21" ht="12.75">
      <c r="B19" s="9">
        <v>12</v>
      </c>
      <c r="C19" s="141">
        <v>3177</v>
      </c>
      <c r="D19" s="141">
        <v>3296</v>
      </c>
      <c r="E19" s="141">
        <v>3402</v>
      </c>
      <c r="F19" s="141">
        <v>3511</v>
      </c>
      <c r="G19" s="141">
        <v>3617</v>
      </c>
      <c r="H19" s="141">
        <v>3739</v>
      </c>
      <c r="I19" s="141">
        <v>3973</v>
      </c>
      <c r="J19" s="141">
        <v>4083</v>
      </c>
      <c r="K19" s="141">
        <v>4196</v>
      </c>
      <c r="L19" s="141">
        <v>4304</v>
      </c>
      <c r="M19" s="141">
        <v>4419</v>
      </c>
      <c r="N19" s="141">
        <v>4531</v>
      </c>
      <c r="O19" s="141">
        <v>4640</v>
      </c>
      <c r="P19" s="141">
        <v>4751</v>
      </c>
      <c r="Q19" s="141">
        <v>4891</v>
      </c>
      <c r="R19" s="141">
        <v>4962</v>
      </c>
      <c r="S19" s="141"/>
      <c r="T19" s="141"/>
      <c r="U19" s="15">
        <f t="shared" si="0"/>
        <v>16</v>
      </c>
    </row>
    <row r="20" spans="2:21" ht="12.75">
      <c r="B20" s="9">
        <v>13</v>
      </c>
      <c r="C20" s="141">
        <v>3856</v>
      </c>
      <c r="D20" s="141">
        <v>3973</v>
      </c>
      <c r="E20" s="141">
        <v>4083</v>
      </c>
      <c r="F20" s="141">
        <v>4196</v>
      </c>
      <c r="G20" s="141">
        <v>4304</v>
      </c>
      <c r="H20" s="141">
        <v>4531</v>
      </c>
      <c r="I20" s="141">
        <v>4640</v>
      </c>
      <c r="J20" s="141">
        <v>4751</v>
      </c>
      <c r="K20" s="141">
        <v>4891</v>
      </c>
      <c r="L20" s="141">
        <v>5032</v>
      </c>
      <c r="M20" s="141">
        <v>5172</v>
      </c>
      <c r="N20" s="141">
        <v>5313</v>
      </c>
      <c r="O20" s="141">
        <v>5381</v>
      </c>
      <c r="P20" s="141"/>
      <c r="Q20" s="141"/>
      <c r="R20" s="141"/>
      <c r="S20" s="141"/>
      <c r="T20" s="141"/>
      <c r="U20" s="15">
        <f t="shared" si="0"/>
        <v>13</v>
      </c>
    </row>
    <row r="21" spans="2:21" ht="12.75">
      <c r="B21" s="9">
        <v>14</v>
      </c>
      <c r="C21" s="141">
        <v>4419</v>
      </c>
      <c r="D21" s="141">
        <v>4531</v>
      </c>
      <c r="E21" s="141">
        <v>4751</v>
      </c>
      <c r="F21" s="141">
        <v>4891</v>
      </c>
      <c r="G21" s="141">
        <v>5032</v>
      </c>
      <c r="H21" s="141">
        <v>5172</v>
      </c>
      <c r="I21" s="141">
        <v>5313</v>
      </c>
      <c r="J21" s="141">
        <v>5455</v>
      </c>
      <c r="K21" s="141">
        <v>5603</v>
      </c>
      <c r="L21" s="141">
        <v>5756</v>
      </c>
      <c r="M21" s="141">
        <v>5913</v>
      </c>
      <c r="N21" s="141"/>
      <c r="O21" s="141"/>
      <c r="P21" s="141"/>
      <c r="Q21" s="141"/>
      <c r="R21" s="141"/>
      <c r="S21" s="141"/>
      <c r="T21" s="141"/>
      <c r="U21" s="15">
        <f t="shared" si="0"/>
        <v>11</v>
      </c>
    </row>
    <row r="22" spans="2:21" ht="12.75">
      <c r="B22" s="9">
        <v>15</v>
      </c>
      <c r="C22" s="141">
        <v>4640</v>
      </c>
      <c r="D22" s="141">
        <v>4751</v>
      </c>
      <c r="E22" s="141">
        <v>4891</v>
      </c>
      <c r="F22" s="141">
        <v>5172</v>
      </c>
      <c r="G22" s="141">
        <v>5313</v>
      </c>
      <c r="H22" s="141">
        <v>5455</v>
      </c>
      <c r="I22" s="141">
        <v>5603</v>
      </c>
      <c r="J22" s="141">
        <v>5756</v>
      </c>
      <c r="K22" s="141">
        <v>5913</v>
      </c>
      <c r="L22" s="141">
        <v>6101</v>
      </c>
      <c r="M22" s="141">
        <v>6296</v>
      </c>
      <c r="N22" s="141">
        <v>6495</v>
      </c>
      <c r="O22" s="141"/>
      <c r="P22" s="141"/>
      <c r="Q22" s="141"/>
      <c r="R22" s="141"/>
      <c r="S22" s="141"/>
      <c r="T22" s="141"/>
      <c r="U22" s="15">
        <f t="shared" si="0"/>
        <v>12</v>
      </c>
    </row>
    <row r="23" spans="2:21" ht="12.75">
      <c r="B23" s="9">
        <v>16</v>
      </c>
      <c r="C23" s="141">
        <v>5032</v>
      </c>
      <c r="D23" s="141">
        <v>5172</v>
      </c>
      <c r="E23" s="141">
        <v>5313</v>
      </c>
      <c r="F23" s="141">
        <v>5603</v>
      </c>
      <c r="G23" s="141">
        <v>5756</v>
      </c>
      <c r="H23" s="141">
        <v>5913</v>
      </c>
      <c r="I23" s="141">
        <v>6101</v>
      </c>
      <c r="J23" s="141">
        <v>6296</v>
      </c>
      <c r="K23" s="141">
        <v>6495</v>
      </c>
      <c r="L23" s="141">
        <v>6704</v>
      </c>
      <c r="M23" s="141">
        <v>6916</v>
      </c>
      <c r="N23" s="141">
        <v>7137</v>
      </c>
      <c r="O23" s="141"/>
      <c r="P23" s="141"/>
      <c r="Q23" s="141"/>
      <c r="R23" s="141"/>
      <c r="S23" s="141"/>
      <c r="T23" s="141"/>
      <c r="U23" s="15">
        <f t="shared" si="0"/>
        <v>12</v>
      </c>
    </row>
    <row r="24" spans="2:21" ht="12.75">
      <c r="B24" s="9">
        <v>17</v>
      </c>
      <c r="C24" s="141">
        <v>5455</v>
      </c>
      <c r="D24" s="141">
        <v>5603</v>
      </c>
      <c r="E24" s="141">
        <v>5756</v>
      </c>
      <c r="F24" s="141">
        <v>6101</v>
      </c>
      <c r="G24" s="141">
        <v>6296</v>
      </c>
      <c r="H24" s="141">
        <v>6495</v>
      </c>
      <c r="I24" s="141">
        <v>6704</v>
      </c>
      <c r="J24" s="141">
        <v>6916</v>
      </c>
      <c r="K24" s="141">
        <v>7137</v>
      </c>
      <c r="L24" s="141">
        <v>7366</v>
      </c>
      <c r="M24" s="141">
        <v>7600</v>
      </c>
      <c r="N24" s="141">
        <v>7842</v>
      </c>
      <c r="O24" s="141"/>
      <c r="P24" s="141"/>
      <c r="Q24" s="141"/>
      <c r="R24" s="141"/>
      <c r="S24" s="141"/>
      <c r="T24" s="141"/>
      <c r="U24" s="15">
        <f t="shared" si="0"/>
        <v>12</v>
      </c>
    </row>
    <row r="25" spans="2:21" ht="12.75">
      <c r="B25" s="9" t="s">
        <v>303</v>
      </c>
      <c r="C25" s="141">
        <v>1398.6</v>
      </c>
      <c r="D25" s="141">
        <v>1455.3</v>
      </c>
      <c r="E25" s="141">
        <v>1512</v>
      </c>
      <c r="F25" s="141">
        <v>1573</v>
      </c>
      <c r="G25" s="141">
        <v>1632</v>
      </c>
      <c r="H25" s="141">
        <v>1660</v>
      </c>
      <c r="I25" s="141">
        <v>1692</v>
      </c>
      <c r="J25" s="141">
        <v>1723</v>
      </c>
      <c r="K25" s="141">
        <v>1765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5">
        <f t="shared" si="0"/>
        <v>9</v>
      </c>
    </row>
    <row r="26" spans="2:21" ht="12.75">
      <c r="B26" s="9" t="s">
        <v>304</v>
      </c>
      <c r="C26" s="141">
        <v>1545</v>
      </c>
      <c r="D26" s="141">
        <v>1604</v>
      </c>
      <c r="E26" s="141">
        <v>1660</v>
      </c>
      <c r="F26" s="141">
        <v>1723</v>
      </c>
      <c r="G26" s="141">
        <v>1765</v>
      </c>
      <c r="H26" s="141">
        <v>1814</v>
      </c>
      <c r="I26" s="141">
        <v>1873</v>
      </c>
      <c r="J26" s="141">
        <v>1928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5">
        <f t="shared" si="0"/>
        <v>8</v>
      </c>
    </row>
    <row r="27" spans="2:21" ht="12.75">
      <c r="B27" s="9" t="s">
        <v>305</v>
      </c>
      <c r="C27" s="141">
        <v>1545</v>
      </c>
      <c r="D27" s="141">
        <v>1660</v>
      </c>
      <c r="E27" s="141">
        <v>1723</v>
      </c>
      <c r="F27" s="141">
        <v>1814</v>
      </c>
      <c r="G27" s="141">
        <v>1873</v>
      </c>
      <c r="H27" s="141">
        <v>1928</v>
      </c>
      <c r="I27" s="141">
        <v>1983</v>
      </c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5">
        <f t="shared" si="0"/>
        <v>7</v>
      </c>
    </row>
    <row r="28" spans="2:21" ht="12.75">
      <c r="B28" s="9" t="s">
        <v>253</v>
      </c>
      <c r="C28" s="141">
        <v>1235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5">
        <f t="shared" si="0"/>
        <v>1</v>
      </c>
    </row>
    <row r="31" spans="2:23" ht="12.75">
      <c r="B31" s="29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2:23" ht="12.75">
      <c r="B32" s="29"/>
      <c r="C32" s="29"/>
      <c r="D32" s="10" t="s">
        <v>29</v>
      </c>
      <c r="E32" s="10" t="s">
        <v>30</v>
      </c>
      <c r="F32" s="10" t="s">
        <v>98</v>
      </c>
      <c r="G32" s="10" t="s">
        <v>99</v>
      </c>
      <c r="H32" s="10" t="s">
        <v>35</v>
      </c>
      <c r="I32" s="10" t="s">
        <v>39</v>
      </c>
      <c r="J32" s="10" t="s">
        <v>36</v>
      </c>
      <c r="K32" s="10" t="s">
        <v>39</v>
      </c>
      <c r="L32" s="10"/>
      <c r="U32" s="10"/>
      <c r="V32" s="10"/>
      <c r="W32" s="10"/>
    </row>
    <row r="33" spans="2:23" ht="12.75">
      <c r="B33" s="10" t="s">
        <v>28</v>
      </c>
      <c r="C33" s="10">
        <v>1</v>
      </c>
      <c r="D33" s="23">
        <v>0.148</v>
      </c>
      <c r="E33" s="23">
        <v>0.066</v>
      </c>
      <c r="F33" s="22">
        <v>10350</v>
      </c>
      <c r="G33" s="53">
        <f>+F33/12</f>
        <v>862.5</v>
      </c>
      <c r="H33" s="10"/>
      <c r="I33" s="10"/>
      <c r="J33" s="10"/>
      <c r="K33" s="10"/>
      <c r="L33" s="10"/>
      <c r="U33" s="10"/>
      <c r="V33" s="10"/>
      <c r="W33" s="10"/>
    </row>
    <row r="34" spans="2:23" ht="12.75">
      <c r="B34" s="10" t="s">
        <v>264</v>
      </c>
      <c r="C34" s="10">
        <v>2</v>
      </c>
      <c r="D34" s="23">
        <v>0.003</v>
      </c>
      <c r="E34" s="23">
        <v>0.001</v>
      </c>
      <c r="F34" s="22">
        <v>17900</v>
      </c>
      <c r="G34" s="53">
        <f>+F34/12</f>
        <v>1491.6666666666667</v>
      </c>
      <c r="H34" s="10"/>
      <c r="I34" s="10"/>
      <c r="J34" s="10" t="s">
        <v>60</v>
      </c>
      <c r="K34" s="10"/>
      <c r="L34" s="10"/>
      <c r="U34" s="10"/>
      <c r="V34" s="10"/>
      <c r="W34" s="10"/>
    </row>
    <row r="35" spans="2:23" ht="12.75">
      <c r="B35" s="10" t="s">
        <v>33</v>
      </c>
      <c r="C35" s="10">
        <v>3</v>
      </c>
      <c r="D35" s="23">
        <v>0.016</v>
      </c>
      <c r="E35" s="23">
        <f>+D35+0.8%</f>
        <v>0.024</v>
      </c>
      <c r="F35" s="51"/>
      <c r="G35" s="51"/>
      <c r="H35" s="10"/>
      <c r="I35" s="10"/>
      <c r="J35" s="10"/>
      <c r="K35" s="10"/>
      <c r="L35" s="10"/>
      <c r="U35" s="10"/>
      <c r="V35" s="10"/>
      <c r="W35" s="10"/>
    </row>
    <row r="36" spans="2:23" ht="12.75">
      <c r="B36" s="34" t="s">
        <v>259</v>
      </c>
      <c r="C36" s="10">
        <v>4</v>
      </c>
      <c r="D36" s="23">
        <v>0.057</v>
      </c>
      <c r="E36" s="27"/>
      <c r="F36" s="27"/>
      <c r="G36" s="27"/>
      <c r="H36" s="53">
        <v>47802.15</v>
      </c>
      <c r="I36" s="53">
        <f aca="true" t="shared" si="1" ref="I36:I41">+H36/12</f>
        <v>3983.5125000000003</v>
      </c>
      <c r="J36" s="10"/>
      <c r="K36" s="10"/>
      <c r="L36" s="10"/>
      <c r="U36" s="10"/>
      <c r="V36" s="10"/>
      <c r="W36" s="10"/>
    </row>
    <row r="37" spans="2:23" ht="12.75">
      <c r="B37" s="34" t="s">
        <v>265</v>
      </c>
      <c r="C37" s="10">
        <v>5</v>
      </c>
      <c r="D37" s="23">
        <v>0.0047</v>
      </c>
      <c r="E37" s="23">
        <v>0</v>
      </c>
      <c r="F37" s="27"/>
      <c r="G37" s="27"/>
      <c r="H37" s="53">
        <f>+H36</f>
        <v>47802.15</v>
      </c>
      <c r="I37" s="53">
        <f t="shared" si="1"/>
        <v>3983.5125000000003</v>
      </c>
      <c r="J37" s="10"/>
      <c r="K37" s="10"/>
      <c r="L37" s="10"/>
      <c r="U37" s="10"/>
      <c r="V37" s="10"/>
      <c r="W37" s="10"/>
    </row>
    <row r="38" spans="2:23" ht="12.75">
      <c r="B38" s="34" t="s">
        <v>266</v>
      </c>
      <c r="C38" s="10">
        <v>6</v>
      </c>
      <c r="D38" s="23">
        <v>0.0015</v>
      </c>
      <c r="F38" s="27"/>
      <c r="G38" s="27"/>
      <c r="H38" s="53">
        <f>+H37</f>
        <v>47802.15</v>
      </c>
      <c r="I38" s="53">
        <f t="shared" si="1"/>
        <v>3983.5125000000003</v>
      </c>
      <c r="J38" s="10"/>
      <c r="K38" s="10"/>
      <c r="L38" s="10"/>
      <c r="U38" s="10"/>
      <c r="V38" s="10"/>
      <c r="W38" s="10"/>
    </row>
    <row r="39" spans="2:23" ht="12.75">
      <c r="B39" s="10" t="s">
        <v>88</v>
      </c>
      <c r="C39" s="10">
        <v>7</v>
      </c>
      <c r="D39" s="27"/>
      <c r="E39" s="23">
        <v>0</v>
      </c>
      <c r="F39" s="22">
        <v>0</v>
      </c>
      <c r="G39" s="53">
        <v>0</v>
      </c>
      <c r="H39" s="53">
        <v>0</v>
      </c>
      <c r="I39" s="53">
        <v>0</v>
      </c>
      <c r="J39" s="10"/>
      <c r="K39" s="10"/>
      <c r="L39" s="10"/>
      <c r="U39" s="10"/>
      <c r="V39" s="10"/>
      <c r="W39" s="10"/>
    </row>
    <row r="40" spans="2:23" ht="12.75">
      <c r="B40" s="10" t="s">
        <v>89</v>
      </c>
      <c r="C40" s="10">
        <v>8</v>
      </c>
      <c r="D40" s="52"/>
      <c r="E40" s="23">
        <v>0.069</v>
      </c>
      <c r="F40" s="51"/>
      <c r="G40" s="51"/>
      <c r="H40" s="53">
        <v>32369</v>
      </c>
      <c r="I40" s="53">
        <f t="shared" si="1"/>
        <v>2697.4166666666665</v>
      </c>
      <c r="J40" s="10"/>
      <c r="K40" s="10"/>
      <c r="L40" s="10"/>
      <c r="U40" s="10"/>
      <c r="V40" s="10"/>
      <c r="W40" s="10"/>
    </row>
    <row r="41" spans="2:23" ht="12.75">
      <c r="B41" s="10" t="s">
        <v>34</v>
      </c>
      <c r="C41" s="10">
        <v>9</v>
      </c>
      <c r="D41" s="23">
        <v>0.0112</v>
      </c>
      <c r="E41" s="27"/>
      <c r="F41" s="27"/>
      <c r="G41" s="27"/>
      <c r="H41" s="53">
        <f>+H36</f>
        <v>47802.15</v>
      </c>
      <c r="I41" s="53">
        <f t="shared" si="1"/>
        <v>3983.5125000000003</v>
      </c>
      <c r="J41" s="10"/>
      <c r="K41" s="10"/>
      <c r="L41" s="10"/>
      <c r="U41" s="10"/>
      <c r="V41" s="10"/>
      <c r="W41" s="10"/>
    </row>
    <row r="42" spans="2:23" ht="12.75">
      <c r="B42" s="10" t="s">
        <v>267</v>
      </c>
      <c r="C42" s="10">
        <v>10</v>
      </c>
      <c r="D42" s="23">
        <v>0</v>
      </c>
      <c r="E42" s="27"/>
      <c r="F42" s="27"/>
      <c r="G42" s="27"/>
      <c r="H42" s="51"/>
      <c r="I42" s="51"/>
      <c r="J42" s="10"/>
      <c r="K42" s="10"/>
      <c r="L42" s="10"/>
      <c r="U42" s="10"/>
      <c r="V42" s="10"/>
      <c r="W42" s="10"/>
    </row>
    <row r="43" spans="2:23" ht="12.75">
      <c r="B43" s="10" t="s">
        <v>268</v>
      </c>
      <c r="C43" s="10">
        <v>11</v>
      </c>
      <c r="D43" s="23">
        <v>0</v>
      </c>
      <c r="E43" s="27"/>
      <c r="F43" s="27"/>
      <c r="G43" s="27"/>
      <c r="H43" s="51"/>
      <c r="I43" s="51"/>
      <c r="J43" s="10"/>
      <c r="K43" s="10"/>
      <c r="L43" s="10"/>
      <c r="U43" s="10"/>
      <c r="V43" s="10"/>
      <c r="W43" s="10"/>
    </row>
    <row r="44" spans="2:23" ht="12.75">
      <c r="B44" s="10"/>
      <c r="C44" s="10" t="s">
        <v>260</v>
      </c>
      <c r="D44" s="28">
        <f>SUM(D33:D43)</f>
        <v>0.24139999999999998</v>
      </c>
      <c r="E44" s="28">
        <f>SUM(E33:E43)</f>
        <v>0.16</v>
      </c>
      <c r="F44" s="28">
        <f>SUM(D44:E44)</f>
        <v>0.4014</v>
      </c>
      <c r="G44" s="10"/>
      <c r="H44" s="10"/>
      <c r="I44" s="10"/>
      <c r="J44" s="126"/>
      <c r="K44" s="126"/>
      <c r="L44" s="126"/>
      <c r="M44" s="127"/>
      <c r="U44" s="10"/>
      <c r="V44" s="10"/>
      <c r="W44" s="10"/>
    </row>
    <row r="45" spans="2:23" ht="12.75">
      <c r="B45" s="10"/>
      <c r="C45" s="10"/>
      <c r="D45" s="10"/>
      <c r="E45" s="10"/>
      <c r="F45" s="10"/>
      <c r="G45" s="10"/>
      <c r="H45" s="10"/>
      <c r="I45" s="10"/>
      <c r="J45" s="126"/>
      <c r="K45" s="128">
        <v>39264</v>
      </c>
      <c r="L45" s="129">
        <v>0.03</v>
      </c>
      <c r="M45" s="127"/>
      <c r="U45" s="10"/>
      <c r="V45" s="10"/>
      <c r="W45" s="10"/>
    </row>
    <row r="46" spans="2:23" ht="12.75">
      <c r="B46" s="13" t="s">
        <v>71</v>
      </c>
      <c r="C46" s="10" t="s">
        <v>2</v>
      </c>
      <c r="D46" s="47">
        <v>26.78</v>
      </c>
      <c r="E46" s="10"/>
      <c r="F46" s="10"/>
      <c r="G46" s="10"/>
      <c r="H46" s="10"/>
      <c r="I46" s="10"/>
      <c r="J46" s="126"/>
      <c r="K46" s="130">
        <v>25.13</v>
      </c>
      <c r="L46" s="131">
        <f>ROUND(+K46*1.03,2)</f>
        <v>25.88</v>
      </c>
      <c r="M46" s="126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2:23" ht="12.75">
      <c r="B47" s="10"/>
      <c r="C47" s="10" t="s">
        <v>3</v>
      </c>
      <c r="D47" s="47">
        <v>48.93</v>
      </c>
      <c r="E47" s="10"/>
      <c r="F47" s="10"/>
      <c r="G47" s="10"/>
      <c r="H47" s="10"/>
      <c r="I47" s="10"/>
      <c r="J47" s="126"/>
      <c r="K47" s="130">
        <v>45.74</v>
      </c>
      <c r="L47" s="131">
        <f>ROUND(+K47*1.03,2)</f>
        <v>47.11</v>
      </c>
      <c r="M47" s="126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2:23" ht="12.75">
      <c r="B48" s="10"/>
      <c r="C48" s="10" t="s">
        <v>4</v>
      </c>
      <c r="D48" s="47">
        <v>24.21</v>
      </c>
      <c r="E48" s="10"/>
      <c r="F48" s="10"/>
      <c r="G48" s="10"/>
      <c r="H48" s="10"/>
      <c r="I48" s="10"/>
      <c r="J48" s="126"/>
      <c r="K48" s="130">
        <v>22.62</v>
      </c>
      <c r="L48" s="131">
        <f>ROUND(+K48*1.03,2)</f>
        <v>23.3</v>
      </c>
      <c r="M48" s="126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 ht="12.75">
      <c r="B49" s="10"/>
      <c r="C49" s="10"/>
      <c r="D49" s="115"/>
      <c r="E49" s="10"/>
      <c r="F49" s="10"/>
      <c r="G49" s="10"/>
      <c r="H49" s="10"/>
      <c r="I49" s="10"/>
      <c r="J49" s="126"/>
      <c r="K49" s="131"/>
      <c r="L49" s="131"/>
      <c r="M49" s="126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13" s="10" customFormat="1" ht="12.75">
      <c r="B50" s="13" t="s">
        <v>72</v>
      </c>
      <c r="C50" s="10" t="s">
        <v>73</v>
      </c>
      <c r="D50" s="47">
        <v>1331.71</v>
      </c>
      <c r="J50" s="126"/>
      <c r="K50" s="130">
        <v>321.71</v>
      </c>
      <c r="L50" s="131">
        <f>ROUND(+K50*1.03,2)+0.35</f>
        <v>331.71000000000004</v>
      </c>
      <c r="M50" s="126"/>
    </row>
    <row r="51" spans="3:13" s="10" customFormat="1" ht="12.75">
      <c r="C51" s="10" t="s">
        <v>74</v>
      </c>
      <c r="D51" s="47">
        <v>220.91</v>
      </c>
      <c r="J51" s="126"/>
      <c r="K51" s="130">
        <v>214.48</v>
      </c>
      <c r="L51" s="131">
        <f>ROUND(+K51*1.03,2)</f>
        <v>220.91</v>
      </c>
      <c r="M51" s="126"/>
    </row>
    <row r="52" spans="3:13" s="10" customFormat="1" ht="12.75">
      <c r="C52" s="10" t="s">
        <v>75</v>
      </c>
      <c r="D52" s="47">
        <v>220.91</v>
      </c>
      <c r="J52" s="126"/>
      <c r="K52" s="130">
        <f>+K51</f>
        <v>214.48</v>
      </c>
      <c r="L52" s="131">
        <f>ROUND(+K52*1.03,2)</f>
        <v>220.91</v>
      </c>
      <c r="M52" s="126"/>
    </row>
    <row r="53" spans="10:13" s="10" customFormat="1" ht="12.75">
      <c r="J53" s="126"/>
      <c r="K53" s="131"/>
      <c r="L53" s="131"/>
      <c r="M53" s="126"/>
    </row>
    <row r="54" spans="2:13" s="10" customFormat="1" ht="12.75">
      <c r="B54" s="13" t="s">
        <v>117</v>
      </c>
      <c r="D54" s="54">
        <v>31.93</v>
      </c>
      <c r="E54" s="55"/>
      <c r="J54" s="126"/>
      <c r="K54" s="132">
        <v>31.93</v>
      </c>
      <c r="L54" s="131">
        <f>ROUND(+K54*1.03,2)</f>
        <v>32.89</v>
      </c>
      <c r="M54" s="126"/>
    </row>
    <row r="55" spans="10:13" s="10" customFormat="1" ht="12.75">
      <c r="J55" s="126"/>
      <c r="K55" s="126"/>
      <c r="L55" s="126"/>
      <c r="M55" s="126"/>
    </row>
    <row r="56" spans="2:13" s="10" customFormat="1" ht="12.75">
      <c r="B56" s="133" t="s">
        <v>118</v>
      </c>
      <c r="D56" s="23">
        <v>0.008</v>
      </c>
      <c r="E56" s="28"/>
      <c r="J56" s="126"/>
      <c r="K56" s="126"/>
      <c r="L56" s="126"/>
      <c r="M56" s="126"/>
    </row>
    <row r="57" spans="2:4" s="10" customFormat="1" ht="12.75">
      <c r="B57"/>
      <c r="C57"/>
      <c r="D57"/>
    </row>
    <row r="58" s="10" customFormat="1" ht="12.75"/>
    <row r="59" spans="2:6" s="10" customFormat="1" ht="12.75">
      <c r="B59" s="13" t="s">
        <v>87</v>
      </c>
      <c r="C59" s="13"/>
      <c r="E59" s="47">
        <v>137.61</v>
      </c>
      <c r="F59" s="10" t="s">
        <v>85</v>
      </c>
    </row>
    <row r="60" spans="2:5" s="10" customFormat="1" ht="12.75">
      <c r="B60" s="13" t="s">
        <v>84</v>
      </c>
      <c r="C60" s="13"/>
      <c r="E60" s="23">
        <v>0.066</v>
      </c>
    </row>
    <row r="61" spans="2:9" s="10" customFormat="1" ht="12.75">
      <c r="B61" s="14" t="s">
        <v>120</v>
      </c>
      <c r="C61" s="13"/>
      <c r="D61" s="10">
        <v>0</v>
      </c>
      <c r="E61" s="47">
        <v>0</v>
      </c>
      <c r="H61"/>
      <c r="I61"/>
    </row>
    <row r="62" spans="2:9" s="10" customFormat="1" ht="12.75">
      <c r="B62" s="14"/>
      <c r="C62" s="13"/>
      <c r="D62" s="10">
        <v>1</v>
      </c>
      <c r="E62" s="47">
        <f>820.08+150</f>
        <v>970.08</v>
      </c>
      <c r="H62"/>
      <c r="I62"/>
    </row>
    <row r="63" spans="2:9" s="10" customFormat="1" ht="12.75">
      <c r="B63" s="14"/>
      <c r="C63" s="13"/>
      <c r="D63" s="10">
        <v>6</v>
      </c>
      <c r="E63" s="47">
        <f>775.08+150</f>
        <v>925.08</v>
      </c>
      <c r="H63"/>
      <c r="I63"/>
    </row>
    <row r="64" spans="2:9" s="10" customFormat="1" ht="12.75">
      <c r="B64" s="14"/>
      <c r="C64" s="13"/>
      <c r="D64" s="10">
        <v>9</v>
      </c>
      <c r="E64" s="47">
        <v>0</v>
      </c>
      <c r="H64"/>
      <c r="I64"/>
    </row>
    <row r="65" spans="2:7" s="10" customFormat="1" ht="12.75">
      <c r="B65"/>
      <c r="C65"/>
      <c r="D65"/>
      <c r="E65"/>
      <c r="F65"/>
      <c r="G65"/>
    </row>
    <row r="66" s="10" customFormat="1" ht="12.75">
      <c r="B66" s="13" t="s">
        <v>284</v>
      </c>
    </row>
    <row r="67" s="10" customFormat="1" ht="12.75">
      <c r="B67" s="13" t="s">
        <v>285</v>
      </c>
    </row>
    <row r="68" s="10" customFormat="1" ht="12.75">
      <c r="B68" s="44" t="s">
        <v>100</v>
      </c>
    </row>
    <row r="69" s="10" customFormat="1" ht="12.75">
      <c r="B69" s="44"/>
    </row>
    <row r="70" spans="2:8" s="10" customFormat="1" ht="12.75">
      <c r="B70" s="13" t="s">
        <v>257</v>
      </c>
      <c r="H70" s="30"/>
    </row>
    <row r="71" spans="2:4" s="10" customFormat="1" ht="12.75">
      <c r="B71" s="13" t="s">
        <v>101</v>
      </c>
      <c r="C71" s="10" t="s">
        <v>286</v>
      </c>
      <c r="D71" s="10" t="s">
        <v>102</v>
      </c>
    </row>
    <row r="72" spans="2:4" s="10" customFormat="1" ht="12.75">
      <c r="B72" s="10">
        <v>1</v>
      </c>
      <c r="C72" s="56">
        <v>17878</v>
      </c>
      <c r="D72" s="28">
        <v>0.335</v>
      </c>
    </row>
    <row r="73" spans="2:4" s="10" customFormat="1" ht="12.75">
      <c r="B73" s="10">
        <v>2</v>
      </c>
      <c r="C73" s="56">
        <v>32127</v>
      </c>
      <c r="D73" s="28">
        <v>0.42</v>
      </c>
    </row>
    <row r="74" spans="2:4" s="10" customFormat="1" ht="12.75">
      <c r="B74" s="10">
        <v>3</v>
      </c>
      <c r="C74" s="56">
        <v>54776</v>
      </c>
      <c r="D74" s="27">
        <v>0.42</v>
      </c>
    </row>
    <row r="75" spans="2:4" s="10" customFormat="1" ht="12.75">
      <c r="B75" s="10">
        <v>4</v>
      </c>
      <c r="C75" s="56">
        <v>999999</v>
      </c>
      <c r="D75" s="27">
        <v>0.52</v>
      </c>
    </row>
    <row r="76" s="10" customFormat="1" ht="12.75"/>
    <row r="77" s="10" customFormat="1" ht="12.75">
      <c r="B77" s="13" t="s">
        <v>103</v>
      </c>
    </row>
    <row r="78" spans="2:3" s="10" customFormat="1" ht="12.75">
      <c r="B78" s="10" t="s">
        <v>104</v>
      </c>
      <c r="C78" s="56">
        <v>2007</v>
      </c>
    </row>
    <row r="79" spans="3:5" s="10" customFormat="1" ht="12.75">
      <c r="C79" s="10" t="s">
        <v>106</v>
      </c>
      <c r="D79" s="10" t="s">
        <v>107</v>
      </c>
      <c r="E79" s="10" t="s">
        <v>108</v>
      </c>
    </row>
    <row r="80" spans="2:5" s="10" customFormat="1" ht="12.75">
      <c r="B80" s="10" t="s">
        <v>105</v>
      </c>
      <c r="C80" s="10">
        <v>1944</v>
      </c>
      <c r="D80" s="57">
        <v>0.19442</v>
      </c>
      <c r="E80" s="56">
        <v>2274</v>
      </c>
    </row>
    <row r="81" spans="3:5" s="10" customFormat="1" ht="12.75">
      <c r="C81" s="10">
        <v>1947</v>
      </c>
      <c r="D81" s="57">
        <v>0.17095</v>
      </c>
      <c r="E81" s="56">
        <v>2018</v>
      </c>
    </row>
    <row r="82" spans="3:5" s="10" customFormat="1" ht="12.75">
      <c r="C82" s="10">
        <v>1949</v>
      </c>
      <c r="D82" s="57">
        <v>0.14747</v>
      </c>
      <c r="E82" s="56">
        <v>1762</v>
      </c>
    </row>
    <row r="83" spans="3:5" s="10" customFormat="1" ht="12.75">
      <c r="C83" s="10">
        <v>1952</v>
      </c>
      <c r="D83" s="57">
        <v>0.12381</v>
      </c>
      <c r="E83" s="56">
        <v>1504</v>
      </c>
    </row>
    <row r="84" s="10" customFormat="1" ht="12.75">
      <c r="D84" s="57"/>
    </row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pans="2:23" s="10" customFormat="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2:23" s="10" customFormat="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2:23" s="10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2:23" s="10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2:23" s="10" customFormat="1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2:23" s="10" customFormat="1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2:23" s="10" customFormat="1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2:23" s="10" customFormat="1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2:23" s="10" customFormat="1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2:23" s="10" customFormat="1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2:23" s="10" customFormat="1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2:23" s="10" customFormat="1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2:23" s="10" customFormat="1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2:23" s="10" customFormat="1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2:23" s="10" customFormat="1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2:23" s="10" customFormat="1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2:23" s="10" customFormat="1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2:23" s="10" customFormat="1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2:23" s="10" customFormat="1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2:23" s="10" customFormat="1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</sheetData>
  <sheetProtection password="DE55" sheet="1" objects="1" scenarios="1"/>
  <printOptions gridLines="1"/>
  <pageMargins left="0.75" right="0.75" top="1" bottom="1" header="0.5" footer="0.5"/>
  <pageSetup fitToHeight="1" fitToWidth="1" horizontalDpi="600" verticalDpi="600" orientation="landscape" paperSize="9" scale="57" r:id="rId3"/>
  <headerFooter alignWithMargins="0">
    <oddHeader>&amp;L&amp;"Arial,Vet"&amp;A&amp;C&amp;"Arial,Vet"&amp;D&amp;R&amp;"Arial,Vet"&amp;F</oddHeader>
    <oddFooter>&amp;L&amp;"Arial,Vet"&amp;8gemaakt door keizer, vos/abb&amp;R&amp;"Arial,Vet"&amp;P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2" spans="2:11" ht="12.75">
      <c r="B2" s="1" t="s">
        <v>18</v>
      </c>
      <c r="J2" s="1" t="s">
        <v>270</v>
      </c>
      <c r="K2" s="114" t="str">
        <f>+Werkgeverslasten!H2</f>
        <v>2009 c</v>
      </c>
    </row>
    <row r="3" spans="2:7" ht="12.75">
      <c r="B3" s="25" t="s">
        <v>22</v>
      </c>
      <c r="G3" s="1" t="s">
        <v>23</v>
      </c>
    </row>
    <row r="4" ht="12.75">
      <c r="B4" s="25" t="s">
        <v>19</v>
      </c>
    </row>
    <row r="5" ht="12.75">
      <c r="B5" s="25"/>
    </row>
    <row r="6" ht="12.75">
      <c r="B6" s="25" t="s">
        <v>310</v>
      </c>
    </row>
    <row r="7" ht="12.75">
      <c r="B7" s="25"/>
    </row>
    <row r="8" spans="1:2" ht="12.75">
      <c r="A8" s="49" t="s">
        <v>205</v>
      </c>
      <c r="B8" s="1" t="s">
        <v>20</v>
      </c>
    </row>
    <row r="9" ht="12.75">
      <c r="B9" s="1" t="s">
        <v>204</v>
      </c>
    </row>
    <row r="10" ht="12.75">
      <c r="B10" s="48" t="s">
        <v>242</v>
      </c>
    </row>
    <row r="11" ht="12.75">
      <c r="B11" s="48" t="s">
        <v>243</v>
      </c>
    </row>
    <row r="12" ht="12.75">
      <c r="B12" s="48" t="s">
        <v>244</v>
      </c>
    </row>
    <row r="13" ht="12.75">
      <c r="B13" s="48" t="s">
        <v>122</v>
      </c>
    </row>
    <row r="14" ht="12.75">
      <c r="B14" s="48" t="s">
        <v>123</v>
      </c>
    </row>
    <row r="15" ht="12.75">
      <c r="B15" s="48" t="s">
        <v>124</v>
      </c>
    </row>
    <row r="16" ht="12.75">
      <c r="B16" s="1"/>
    </row>
    <row r="17" ht="12.75">
      <c r="B17" s="25" t="s">
        <v>247</v>
      </c>
    </row>
    <row r="18" spans="2:14" ht="12.75">
      <c r="B18" s="25" t="s">
        <v>61</v>
      </c>
      <c r="N18" s="25"/>
    </row>
    <row r="19" spans="2:14" ht="12.75">
      <c r="B19" s="25" t="s">
        <v>62</v>
      </c>
      <c r="N19" s="25"/>
    </row>
    <row r="20" spans="2:14" ht="12.75">
      <c r="B20" s="25" t="s">
        <v>275</v>
      </c>
      <c r="N20" s="25"/>
    </row>
    <row r="21" spans="2:14" ht="12.75">
      <c r="B21" s="25" t="s">
        <v>274</v>
      </c>
      <c r="N21" s="25"/>
    </row>
    <row r="22" spans="2:14" ht="12.75">
      <c r="B22" s="25"/>
      <c r="N22" s="25"/>
    </row>
    <row r="23" spans="2:14" ht="12.75">
      <c r="B23" s="25" t="s">
        <v>245</v>
      </c>
      <c r="N23" s="25"/>
    </row>
    <row r="24" spans="2:14" ht="12.75">
      <c r="B24" s="25" t="s">
        <v>63</v>
      </c>
      <c r="N24" s="25"/>
    </row>
    <row r="25" spans="2:14" ht="12.75">
      <c r="B25" s="25" t="s">
        <v>64</v>
      </c>
      <c r="N25" s="25"/>
    </row>
    <row r="26" spans="2:14" ht="12.75">
      <c r="B26" s="25" t="s">
        <v>246</v>
      </c>
      <c r="N26" s="25"/>
    </row>
    <row r="27" spans="2:14" ht="12.75">
      <c r="B27" s="25"/>
      <c r="N27" s="25"/>
    </row>
    <row r="28" spans="2:14" ht="12.75">
      <c r="B28" s="25" t="s">
        <v>65</v>
      </c>
      <c r="N28" s="25"/>
    </row>
    <row r="29" spans="2:14" ht="12.75">
      <c r="B29" s="25" t="s">
        <v>125</v>
      </c>
      <c r="N29" s="25"/>
    </row>
    <row r="30" spans="2:14" ht="12.75">
      <c r="B30" s="25" t="s">
        <v>126</v>
      </c>
      <c r="N30" s="25"/>
    </row>
    <row r="31" spans="2:14" ht="12.75">
      <c r="B31" s="25"/>
      <c r="N31" s="25"/>
    </row>
    <row r="32" spans="2:14" ht="12.75">
      <c r="B32" s="25" t="s">
        <v>66</v>
      </c>
      <c r="N32" s="25"/>
    </row>
    <row r="33" spans="2:14" ht="12.75">
      <c r="B33" s="25" t="s">
        <v>67</v>
      </c>
      <c r="N33" s="25"/>
    </row>
    <row r="34" spans="2:14" ht="12.75">
      <c r="B34" s="25" t="s">
        <v>68</v>
      </c>
      <c r="N34" s="25"/>
    </row>
    <row r="35" ht="12.75">
      <c r="B35" s="25" t="s">
        <v>69</v>
      </c>
    </row>
    <row r="36" ht="12.75">
      <c r="B36" s="25"/>
    </row>
    <row r="37" ht="12.75">
      <c r="B37" s="48" t="s">
        <v>287</v>
      </c>
    </row>
    <row r="38" ht="12.75">
      <c r="B38" s="48" t="s">
        <v>288</v>
      </c>
    </row>
    <row r="39" ht="12.75">
      <c r="B39" s="48" t="s">
        <v>289</v>
      </c>
    </row>
    <row r="40" ht="12.75">
      <c r="B40" s="48" t="s">
        <v>276</v>
      </c>
    </row>
    <row r="41" ht="12.75">
      <c r="B41" s="25"/>
    </row>
    <row r="42" ht="12.75">
      <c r="B42" s="48" t="s">
        <v>71</v>
      </c>
    </row>
    <row r="43" ht="12.75">
      <c r="B43" s="25" t="s">
        <v>290</v>
      </c>
    </row>
    <row r="44" ht="12.75">
      <c r="B44" s="25"/>
    </row>
    <row r="45" ht="12.75">
      <c r="B45" s="48" t="s">
        <v>72</v>
      </c>
    </row>
    <row r="46" ht="12.75">
      <c r="B46" s="25" t="s">
        <v>291</v>
      </c>
    </row>
    <row r="47" ht="12.75">
      <c r="B47" s="25"/>
    </row>
    <row r="48" ht="12.75">
      <c r="B48" s="48" t="s">
        <v>127</v>
      </c>
    </row>
    <row r="49" ht="12.75">
      <c r="B49" s="25" t="s">
        <v>128</v>
      </c>
    </row>
    <row r="50" ht="12.75">
      <c r="B50" s="25"/>
    </row>
    <row r="51" ht="12.75">
      <c r="B51" s="48" t="s">
        <v>83</v>
      </c>
    </row>
    <row r="52" ht="12.75">
      <c r="B52" s="25" t="s">
        <v>292</v>
      </c>
    </row>
    <row r="53" ht="12.75">
      <c r="B53" s="25" t="s">
        <v>293</v>
      </c>
    </row>
    <row r="54" ht="12.75">
      <c r="B54" s="25"/>
    </row>
    <row r="55" spans="1:2" ht="12.75">
      <c r="A55" s="49" t="s">
        <v>206</v>
      </c>
      <c r="B55" s="1" t="s">
        <v>207</v>
      </c>
    </row>
    <row r="56" spans="1:2" ht="12.75">
      <c r="A56" s="49"/>
      <c r="B56" s="48" t="s">
        <v>76</v>
      </c>
    </row>
    <row r="57" spans="1:2" ht="12.75">
      <c r="A57" s="49"/>
      <c r="B57" t="s">
        <v>208</v>
      </c>
    </row>
    <row r="58" spans="1:2" ht="12.75">
      <c r="A58" s="49"/>
      <c r="B58" t="s">
        <v>209</v>
      </c>
    </row>
    <row r="59" spans="1:2" ht="12.75">
      <c r="A59" s="49"/>
      <c r="B59" t="s">
        <v>277</v>
      </c>
    </row>
    <row r="60" spans="1:2" ht="12.75">
      <c r="A60" s="49"/>
      <c r="B60" t="s">
        <v>306</v>
      </c>
    </row>
    <row r="61" spans="1:2" ht="12.75">
      <c r="A61" s="49"/>
      <c r="B61" t="s">
        <v>307</v>
      </c>
    </row>
    <row r="62" spans="1:2" ht="12.75">
      <c r="A62" s="49"/>
      <c r="B62" s="25" t="s">
        <v>294</v>
      </c>
    </row>
    <row r="63" ht="12.75">
      <c r="A63" s="49"/>
    </row>
    <row r="64" spans="1:2" ht="12.75">
      <c r="A64" s="49"/>
      <c r="B64" s="48" t="s">
        <v>210</v>
      </c>
    </row>
    <row r="65" spans="1:2" ht="12.75">
      <c r="A65" s="49"/>
      <c r="B65" t="s">
        <v>278</v>
      </c>
    </row>
    <row r="66" spans="1:2" ht="12.75">
      <c r="A66" s="49"/>
      <c r="B66" t="s">
        <v>279</v>
      </c>
    </row>
    <row r="67" spans="1:2" ht="12.75">
      <c r="A67" s="49"/>
      <c r="B67" t="s">
        <v>280</v>
      </c>
    </row>
    <row r="68" spans="1:2" ht="12.75">
      <c r="A68" s="49"/>
      <c r="B68" t="s">
        <v>211</v>
      </c>
    </row>
    <row r="69" ht="12.75">
      <c r="A69" s="49"/>
    </row>
    <row r="70" spans="1:2" ht="12.75">
      <c r="A70" s="49" t="s">
        <v>212</v>
      </c>
      <c r="B70" s="1" t="s">
        <v>213</v>
      </c>
    </row>
    <row r="71" spans="1:2" ht="12.75">
      <c r="A71" s="49"/>
      <c r="B71" s="25" t="s">
        <v>214</v>
      </c>
    </row>
    <row r="72" spans="1:2" ht="12.75">
      <c r="A72" s="49"/>
      <c r="B72" s="25" t="s">
        <v>215</v>
      </c>
    </row>
    <row r="73" spans="1:2" ht="12.75">
      <c r="A73" s="49"/>
      <c r="B73" s="48" t="s">
        <v>311</v>
      </c>
    </row>
    <row r="74" spans="1:2" ht="12.75">
      <c r="A74" s="49"/>
      <c r="B74" s="25" t="s">
        <v>216</v>
      </c>
    </row>
    <row r="75" spans="1:2" ht="12.75">
      <c r="A75" s="49"/>
      <c r="B75" s="25" t="s">
        <v>217</v>
      </c>
    </row>
    <row r="76" spans="1:2" ht="12.75">
      <c r="A76" s="49"/>
      <c r="B76" s="25"/>
    </row>
    <row r="77" spans="1:2" ht="12.75">
      <c r="A77" s="49"/>
      <c r="B77" s="25" t="s">
        <v>218</v>
      </c>
    </row>
    <row r="78" spans="1:2" ht="12.75">
      <c r="A78" s="49"/>
      <c r="B78" s="25" t="s">
        <v>281</v>
      </c>
    </row>
    <row r="79" spans="1:2" ht="12.75">
      <c r="A79" s="49"/>
      <c r="B79" s="25"/>
    </row>
    <row r="80" spans="1:2" ht="12.75">
      <c r="A80" s="49"/>
      <c r="B80" s="25" t="s">
        <v>219</v>
      </c>
    </row>
    <row r="81" spans="1:2" ht="12.75">
      <c r="A81" s="49"/>
      <c r="B81" s="25" t="s">
        <v>220</v>
      </c>
    </row>
    <row r="82" spans="1:2" ht="12.75">
      <c r="A82" s="49"/>
      <c r="B82" s="25"/>
    </row>
    <row r="83" spans="1:2" ht="12.75">
      <c r="A83" s="49"/>
      <c r="B83" s="25" t="s">
        <v>221</v>
      </c>
    </row>
    <row r="84" spans="1:2" ht="12.75">
      <c r="A84" s="49"/>
      <c r="B84" s="25" t="s">
        <v>222</v>
      </c>
    </row>
    <row r="85" spans="1:2" ht="12.75">
      <c r="A85" s="49"/>
      <c r="B85" s="25" t="s">
        <v>223</v>
      </c>
    </row>
    <row r="86" spans="1:2" ht="12.75">
      <c r="A86" s="49"/>
      <c r="B86" s="25"/>
    </row>
    <row r="87" spans="1:2" ht="12.75">
      <c r="A87" s="49"/>
      <c r="B87" s="25" t="s">
        <v>294</v>
      </c>
    </row>
    <row r="88" spans="1:2" ht="12.75">
      <c r="A88" s="49"/>
      <c r="B88" s="25"/>
    </row>
    <row r="89" spans="1:2" ht="12.75">
      <c r="A89" s="49"/>
      <c r="B89" s="25" t="s">
        <v>224</v>
      </c>
    </row>
    <row r="90" spans="1:2" ht="12.75">
      <c r="A90" s="49"/>
      <c r="B90" s="25" t="s">
        <v>225</v>
      </c>
    </row>
    <row r="91" ht="12.75">
      <c r="A91" s="49"/>
    </row>
    <row r="92" spans="1:2" ht="12.75">
      <c r="A92" s="49" t="s">
        <v>226</v>
      </c>
      <c r="B92" s="1" t="s">
        <v>227</v>
      </c>
    </row>
    <row r="93" spans="1:2" ht="12.75">
      <c r="A93" s="49"/>
      <c r="B93" s="25" t="s">
        <v>228</v>
      </c>
    </row>
    <row r="94" spans="1:2" ht="12.75">
      <c r="A94" s="49"/>
      <c r="B94" s="25" t="s">
        <v>256</v>
      </c>
    </row>
    <row r="95" spans="1:2" ht="12.75">
      <c r="A95" s="49"/>
      <c r="B95" s="25" t="s">
        <v>229</v>
      </c>
    </row>
    <row r="96" spans="1:2" ht="12.75">
      <c r="A96" s="49"/>
      <c r="B96" s="25" t="s">
        <v>230</v>
      </c>
    </row>
    <row r="97" spans="1:2" ht="12.75">
      <c r="A97" s="49"/>
      <c r="B97" s="25"/>
    </row>
    <row r="98" spans="1:2" ht="12.75">
      <c r="A98" s="49"/>
      <c r="B98" s="25" t="s">
        <v>294</v>
      </c>
    </row>
    <row r="99" spans="1:2" ht="12.75">
      <c r="A99" s="49"/>
      <c r="B99" s="25"/>
    </row>
    <row r="100" spans="1:2" ht="12.75">
      <c r="A100" s="49"/>
      <c r="B100" s="25" t="s">
        <v>224</v>
      </c>
    </row>
    <row r="101" spans="1:2" ht="12.75">
      <c r="A101" s="49"/>
      <c r="B101" s="25" t="s">
        <v>225</v>
      </c>
    </row>
    <row r="102" ht="12.75">
      <c r="A102" s="49"/>
    </row>
    <row r="103" spans="1:2" ht="12.75">
      <c r="A103" s="49"/>
      <c r="B103" s="48" t="s">
        <v>210</v>
      </c>
    </row>
    <row r="104" spans="1:2" ht="12.75">
      <c r="A104" s="49"/>
      <c r="B104" s="25" t="s">
        <v>231</v>
      </c>
    </row>
    <row r="105" spans="1:2" ht="12.75">
      <c r="A105" s="49"/>
      <c r="B105" s="25" t="s">
        <v>232</v>
      </c>
    </row>
    <row r="106" spans="1:2" ht="12.75">
      <c r="A106" s="49"/>
      <c r="B106" s="25" t="s">
        <v>233</v>
      </c>
    </row>
    <row r="107" spans="1:2" ht="12.75">
      <c r="A107" s="49"/>
      <c r="B107" s="25" t="s">
        <v>234</v>
      </c>
    </row>
    <row r="108" spans="1:2" ht="12.75">
      <c r="A108" s="49"/>
      <c r="B108" s="25" t="s">
        <v>235</v>
      </c>
    </row>
    <row r="109" spans="1:2" ht="12.75">
      <c r="A109" s="49"/>
      <c r="B109" s="25" t="s">
        <v>236</v>
      </c>
    </row>
    <row r="110" spans="1:2" ht="12.75">
      <c r="A110" s="49"/>
      <c r="B110" s="25" t="s">
        <v>237</v>
      </c>
    </row>
    <row r="111" ht="12.75">
      <c r="A111" s="49"/>
    </row>
    <row r="112" spans="1:2" ht="12.75">
      <c r="A112" s="49" t="s">
        <v>238</v>
      </c>
      <c r="B112" s="1" t="s">
        <v>21</v>
      </c>
    </row>
    <row r="113" spans="1:2" ht="12.75">
      <c r="A113" s="49"/>
      <c r="B113" s="25" t="s">
        <v>312</v>
      </c>
    </row>
    <row r="114" spans="1:2" ht="12.75">
      <c r="A114" s="49"/>
      <c r="B114" s="25" t="s">
        <v>295</v>
      </c>
    </row>
    <row r="115" spans="1:2" ht="12.75">
      <c r="A115" s="49"/>
      <c r="B115" s="25" t="s">
        <v>313</v>
      </c>
    </row>
    <row r="116" spans="1:2" ht="12.75">
      <c r="A116" s="49"/>
      <c r="B116" s="25"/>
    </row>
    <row r="117" spans="1:2" ht="12.75">
      <c r="A117" s="49"/>
      <c r="B117" s="25" t="s">
        <v>269</v>
      </c>
    </row>
    <row r="118" spans="1:2" ht="12.75">
      <c r="A118" s="49"/>
      <c r="B118" s="25" t="s">
        <v>282</v>
      </c>
    </row>
    <row r="119" spans="1:2" ht="12.75">
      <c r="A119" s="49"/>
      <c r="B119" s="25" t="s">
        <v>296</v>
      </c>
    </row>
    <row r="120" spans="1:2" ht="12.75">
      <c r="A120" s="49"/>
      <c r="B120" s="25" t="s">
        <v>298</v>
      </c>
    </row>
    <row r="121" spans="1:2" ht="12.75">
      <c r="A121" s="49"/>
      <c r="B121" s="25" t="s">
        <v>297</v>
      </c>
    </row>
    <row r="122" spans="1:2" ht="12.75">
      <c r="A122" s="49"/>
      <c r="B122" s="25" t="s">
        <v>299</v>
      </c>
    </row>
    <row r="123" spans="1:2" ht="12.75">
      <c r="A123" s="49"/>
      <c r="B123" s="25" t="s">
        <v>300</v>
      </c>
    </row>
    <row r="124" spans="1:2" ht="12.75">
      <c r="A124" s="49"/>
      <c r="B124" s="25"/>
    </row>
    <row r="125" spans="1:2" ht="12.75">
      <c r="A125" s="49"/>
      <c r="B125" s="25"/>
    </row>
    <row r="126" spans="1:2" ht="12.75">
      <c r="A126" s="49"/>
      <c r="B126" s="25"/>
    </row>
    <row r="127" spans="1:2" ht="13.5" thickBot="1">
      <c r="A127" s="49"/>
      <c r="B127" s="25"/>
    </row>
    <row r="128" spans="1:8" ht="13.5" thickTop="1">
      <c r="A128" s="49"/>
      <c r="B128" s="25"/>
      <c r="C128" s="91"/>
      <c r="D128" s="75"/>
      <c r="E128" s="75"/>
      <c r="F128" s="75"/>
      <c r="G128" s="75"/>
      <c r="H128" s="92"/>
    </row>
    <row r="129" spans="1:8" ht="12.75">
      <c r="A129" s="49"/>
      <c r="B129" s="25"/>
      <c r="C129" s="67"/>
      <c r="D129" s="66"/>
      <c r="E129" s="66"/>
      <c r="F129" s="68"/>
      <c r="G129" s="66"/>
      <c r="H129" s="94"/>
    </row>
    <row r="130" spans="1:8" ht="12.75">
      <c r="A130" s="49"/>
      <c r="B130" s="25"/>
      <c r="C130" s="69" t="s">
        <v>134</v>
      </c>
      <c r="D130" s="66"/>
      <c r="E130" s="66"/>
      <c r="F130" s="66"/>
      <c r="G130" s="66"/>
      <c r="H130" s="94"/>
    </row>
    <row r="131" spans="1:8" ht="12.75">
      <c r="A131" s="49"/>
      <c r="B131" s="25"/>
      <c r="C131" s="67"/>
      <c r="D131" s="26"/>
      <c r="E131" s="26"/>
      <c r="F131" s="26"/>
      <c r="G131" s="66"/>
      <c r="H131" s="94"/>
    </row>
    <row r="132" spans="1:8" ht="12.75">
      <c r="A132" s="49"/>
      <c r="B132" s="25"/>
      <c r="C132" s="67"/>
      <c r="D132" s="10"/>
      <c r="E132" s="107" t="s">
        <v>248</v>
      </c>
      <c r="F132" s="26"/>
      <c r="G132" s="66"/>
      <c r="H132" s="94"/>
    </row>
    <row r="133" spans="1:8" ht="12.75">
      <c r="A133" s="49"/>
      <c r="C133" s="67"/>
      <c r="D133" s="10"/>
      <c r="E133" s="107" t="s">
        <v>249</v>
      </c>
      <c r="F133" s="26"/>
      <c r="G133" s="66"/>
      <c r="H133" s="94"/>
    </row>
    <row r="134" spans="1:8" ht="12.75">
      <c r="A134" s="49"/>
      <c r="C134" s="67"/>
      <c r="D134" s="10"/>
      <c r="E134" s="107" t="s">
        <v>250</v>
      </c>
      <c r="F134" s="26"/>
      <c r="G134" s="66"/>
      <c r="H134" s="94"/>
    </row>
    <row r="135" spans="1:8" ht="12.75">
      <c r="A135" s="49"/>
      <c r="C135" s="69"/>
      <c r="D135" s="10"/>
      <c r="E135" s="107" t="s">
        <v>251</v>
      </c>
      <c r="F135" s="26"/>
      <c r="G135" s="66"/>
      <c r="H135" s="94"/>
    </row>
    <row r="136" spans="1:8" ht="12.75">
      <c r="A136" s="49"/>
      <c r="C136" s="67"/>
      <c r="D136" s="10"/>
      <c r="E136" s="108" t="s">
        <v>252</v>
      </c>
      <c r="F136" s="26"/>
      <c r="G136" s="66"/>
      <c r="H136" s="94"/>
    </row>
    <row r="137" spans="1:8" ht="13.5" thickBot="1">
      <c r="A137" s="49"/>
      <c r="C137" s="99"/>
      <c r="D137" s="100"/>
      <c r="E137" s="65"/>
      <c r="F137" s="100"/>
      <c r="G137" s="65"/>
      <c r="H137" s="101"/>
    </row>
    <row r="138" ht="13.5" thickTop="1">
      <c r="A138" s="49"/>
    </row>
    <row r="139" spans="1:2" ht="12.75">
      <c r="A139" s="49"/>
      <c r="B139" s="25"/>
    </row>
    <row r="140" spans="1:2" ht="12.75">
      <c r="A140" s="49"/>
      <c r="B140" s="24" t="s">
        <v>239</v>
      </c>
    </row>
    <row r="141" spans="1:2" ht="12.75">
      <c r="A141" s="49"/>
      <c r="B141" s="24" t="s">
        <v>240</v>
      </c>
    </row>
    <row r="142" spans="1:2" ht="12.75">
      <c r="A142" s="49"/>
      <c r="B142" s="24" t="s">
        <v>314</v>
      </c>
    </row>
    <row r="143" spans="1:2" ht="12.75">
      <c r="A143" s="49"/>
      <c r="B143" s="24" t="s">
        <v>241</v>
      </c>
    </row>
    <row r="144" ht="12.75">
      <c r="B144" s="25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75" r:id="rId2"/>
  <headerFooter alignWithMargins="0">
    <oddHeader>&amp;L&amp;"Arial,Vet"&amp;A&amp;C&amp;"Arial,Vet"&amp;D&amp;R&amp;"Arial,Vet"&amp;F</oddHeader>
    <oddFooter>&amp;L&amp;"Arial,Vet"gemaakt door keizer, vos/abb&amp;R&amp;"Arial,Vet"&amp;P</oddFooter>
  </headerFooter>
  <rowBreaks count="1" manualBreakCount="1">
    <brk id="6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Werkgeverslasten VO</dc:title>
  <dc:subject/>
  <dc:creator>Keizer</dc:creator>
  <cp:keywords/>
  <dc:description/>
  <cp:lastModifiedBy>Bé Keizer</cp:lastModifiedBy>
  <cp:lastPrinted>2009-10-20T22:14:14Z</cp:lastPrinted>
  <dcterms:created xsi:type="dcterms:W3CDTF">2002-04-23T20:54:25Z</dcterms:created>
  <dcterms:modified xsi:type="dcterms:W3CDTF">2009-10-20T22:21:09Z</dcterms:modified>
  <cp:category/>
  <cp:version/>
  <cp:contentType/>
  <cp:contentStatus/>
</cp:coreProperties>
</file>