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60" yWindow="0" windowWidth="7650" windowHeight="9255" tabRatio="762" activeTab="0"/>
  </bookViews>
  <sheets>
    <sheet name="Werkgeverslasten" sheetId="1" r:id="rId1"/>
    <sheet name="Ouderschapsverlof" sheetId="2" r:id="rId2"/>
    <sheet name="Functiedifferentiatie" sheetId="3" r:id="rId3"/>
    <sheet name="Extra periodieken" sheetId="4" r:id="rId4"/>
    <sheet name="tabellen" sheetId="5" r:id="rId5"/>
    <sheet name="toelichting" sheetId="6" r:id="rId6"/>
  </sheets>
  <definedNames>
    <definedName name="_xlnm.Print_Area" localSheetId="3">'Extra periodieken'!$C$2:$O$36</definedName>
    <definedName name="_xlnm.Print_Area" localSheetId="2">'Functiedifferentiatie'!$C$3:$O$30</definedName>
    <definedName name="_xlnm.Print_Area" localSheetId="1">'Ouderschapsverlof'!$B$2:$M$31</definedName>
    <definedName name="_xlnm.Print_Area" localSheetId="4">'tabellen'!$A$51:$K$107,'tabellen'!$B$2:$W$48</definedName>
    <definedName name="_xlnm.Print_Area" localSheetId="5">'toelichting'!$A$1:$M$136</definedName>
    <definedName name="_xlnm.Print_Area" localSheetId="0">'Werkgeverslasten'!$A$2:$R$41</definedName>
    <definedName name="arbeidskorting">'tabellen'!$C$103:$E$106</definedName>
    <definedName name="bindingstoelage">'tabellen'!$C$73:$D$75</definedName>
    <definedName name="eindejaarsuitkering_OOP">'tabellen'!$D$83:$E$86</definedName>
    <definedName name="franchise">'tabellen'!#REF!</definedName>
    <definedName name="premies">'tabellen'!$C$53:$H$65</definedName>
    <definedName name="salaristabellen">'tabellen'!$B$4:$W$48</definedName>
    <definedName name="schalen">'Werkgeverslasten'!$AA$4:$AA$48</definedName>
    <definedName name="uitlooptoeslag">'tabellen'!$C$68:$D$71</definedName>
    <definedName name="ZKOO">'tabellen'!#REF!</definedName>
  </definedNames>
  <calcPr fullCalcOnLoad="1"/>
</workbook>
</file>

<file path=xl/comments1.xml><?xml version="1.0" encoding="utf-8"?>
<comments xmlns="http://schemas.openxmlformats.org/spreadsheetml/2006/main">
  <authors>
    <author>Keizer</author>
    <author>B? Keizer</author>
  </authors>
  <commentList>
    <comment ref="K10" authorId="0">
      <text>
        <r>
          <rPr>
            <sz val="9"/>
            <rFont val="Tahoma"/>
            <family val="2"/>
          </rPr>
          <t>Voor de WIA geldt een basispremie (5,65%) voor werknemers tot 55 jaar en een uniforme premie van 0,15% plus WGA-premie. De WGA rekenpremie is gesteld op 0,57%.</t>
        </r>
      </text>
    </comment>
    <comment ref="C16" authorId="0">
      <text>
        <r>
          <rPr>
            <sz val="9"/>
            <rFont val="Tahoma"/>
            <family val="2"/>
          </rPr>
          <t>Deze eindejaarsuitkering wordt toegekend aan de schalen 1  tm 8. Zie tabellen.</t>
        </r>
      </text>
    </comment>
    <comment ref="C25" authorId="0">
      <text>
        <r>
          <rPr>
            <sz val="9"/>
            <rFont val="Tahoma"/>
            <family val="2"/>
          </rPr>
          <t>De 0,8% wordt berekend over het bruto-loon en de uitlooptoeslag, en is niet pensioengevend. Daarom worden er ook geen pensioenpremies over berekend, wel de andere premies.
Als men onder het overgangsrecht VPL valt komt men niet in aanmerking voor de opslag van 0,8%. De grens ligt bij: geboren voor 1950.</t>
        </r>
      </text>
    </comment>
    <comment ref="D6" authorId="1">
      <text>
        <r>
          <rPr>
            <sz val="8"/>
            <rFont val="Tahoma"/>
            <family val="2"/>
          </rPr>
          <t>Alleen bij de functie ID1 geldt dat er sprake is van een aanloopschaal van twee regels. De officiele regel 1 is daarom in dit instrument regel 3 enz. en de gehele schaal omvat daarom in dit instrument 9 regels i.p.v. 7. 
Zie de tabellen rij 46.
De jeugdsalarissen betreffen de schalen J1 t/m J6 met de vermelding van de leeftijd als regelnummer.</t>
        </r>
      </text>
    </comment>
    <comment ref="N13" authorId="1">
      <text>
        <r>
          <rPr>
            <sz val="9"/>
            <rFont val="Tahoma"/>
            <family val="2"/>
          </rPr>
          <t>1 = premie verplichte verzekering (8,28%)
2 = premie vrijwillige verzekering (3,50%)
3 = eigenrsicodrager (0,00%)</t>
        </r>
      </text>
    </comment>
    <comment ref="E20" authorId="1">
      <text>
        <r>
          <rPr>
            <sz val="9"/>
            <rFont val="Tahoma"/>
            <family val="2"/>
          </rPr>
          <t xml:space="preserve">De uitkering bedraagt bij een normbetrekking 110 euro die in de maanden januari t/m oktober wordt opgebouwd. </t>
        </r>
      </text>
    </comment>
  </commentList>
</comments>
</file>

<file path=xl/comments2.xml><?xml version="1.0" encoding="utf-8"?>
<comments xmlns="http://schemas.openxmlformats.org/spreadsheetml/2006/main">
  <authors>
    <author>B? Keizer</author>
    <author>Keizer</author>
  </authors>
  <commentList>
    <comment ref="D5" authorId="0">
      <text>
        <r>
          <rPr>
            <sz val="8"/>
            <rFont val="Tahoma"/>
            <family val="2"/>
          </rPr>
          <t>Alleen bij de functie ID1 geldt dat er sprake is van een aanloopschaal van twee regels. De officiele regel 1 van deze schaal is daarom in dit instrument regel 3 enz. en de gehele schaal omvat daarom in dit instrument 9 regels i.p.v. 7. Zie de tabellen rij 46.</t>
        </r>
      </text>
    </comment>
    <comment ref="H29" authorId="1">
      <text>
        <r>
          <rPr>
            <sz val="9"/>
            <rFont val="Tahoma"/>
            <family val="2"/>
          </rPr>
          <t>Betreft niveau 2008 (1659:12 uur) en is maximaal het bedrag waarmee het belastbaar inkomen van 2008 t.o.v. 2007 is verlaagd. De korting bedraagt de helft van het minimumloon per opgenomen ouderschapsverlofuur. Voor 2008 komt dat neer op € 30,81 per dag of € 3,85 (afgerond) per uur.</t>
        </r>
      </text>
    </comment>
    <comment ref="D31" authorId="1">
      <text>
        <r>
          <rPr>
            <b/>
            <sz val="8"/>
            <rFont val="Tahoma"/>
            <family val="0"/>
          </rPr>
          <t>Betreft niveau 2008</t>
        </r>
      </text>
    </comment>
  </commentList>
</comments>
</file>

<file path=xl/comments3.xml><?xml version="1.0" encoding="utf-8"?>
<comments xmlns="http://schemas.openxmlformats.org/spreadsheetml/2006/main">
  <authors>
    <author>B? Keizer</author>
  </authors>
  <commentList>
    <comment ref="F24" authorId="0">
      <text>
        <r>
          <rPr>
            <sz val="8"/>
            <rFont val="Tahoma"/>
            <family val="2"/>
          </rPr>
          <t>In de CAO PO artikel 6.24 is vastgelegd dat bij inschaling van een aantal directiefuncties functies (bijv. leraar wordt adjunct) recht op een extra periodiek ontstaat als het verschil in salaris tussen de oude en de nieuwe functie - bij een normbetrekking - lager is dan het in bijlage A8 van de CAO genoemde bedrag. Dat bedrag is 100,42 euro loonpeil 1-8-07 en 102,63 euro loonpeil 1-8-08.</t>
        </r>
      </text>
    </comment>
  </commentList>
</comments>
</file>

<file path=xl/comments4.xml><?xml version="1.0" encoding="utf-8"?>
<comments xmlns="http://schemas.openxmlformats.org/spreadsheetml/2006/main">
  <authors>
    <author>Keizer</author>
  </authors>
  <commentList>
    <comment ref="G28" authorId="0">
      <text>
        <r>
          <rPr>
            <sz val="8"/>
            <rFont val="Tahoma"/>
            <family val="2"/>
          </rPr>
          <t>Omvang personeelsbestand bestuur in aantal fte.</t>
        </r>
      </text>
    </comment>
    <comment ref="G29" authorId="0">
      <text>
        <r>
          <rPr>
            <sz val="8"/>
            <rFont val="Tahoma"/>
            <family val="2"/>
          </rPr>
          <t>Vaststellen op basis van totaal aantal fte gedeeld door het totaal aantal personeelsleden bij het betreffende bestuur. 
De 75% is een globale landelijke raming.</t>
        </r>
      </text>
    </comment>
    <comment ref="G32" authorId="0">
      <text>
        <r>
          <rPr>
            <sz val="8"/>
            <rFont val="Tahoma"/>
            <family val="2"/>
          </rPr>
          <t>Aantal herintreders in fte gedeeld door aantal fte.
Landelijke raming is ongeveer 8%, maar kan per bestuur sterk variëren. Daarom vaststellen op basis van eigen gegevens.</t>
        </r>
      </text>
    </comment>
    <comment ref="G34" authorId="0">
      <text>
        <r>
          <rPr>
            <sz val="8"/>
            <rFont val="Tahoma"/>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Keizer</author>
    <author>B? Keizer</author>
  </authors>
  <commentList>
    <comment ref="C2" authorId="0">
      <text>
        <r>
          <rPr>
            <sz val="10"/>
            <rFont val="Tahoma"/>
            <family val="2"/>
          </rPr>
          <t xml:space="preserve">CAO 07-09 
</t>
        </r>
      </text>
    </comment>
    <comment ref="D57" authorId="0">
      <text>
        <r>
          <rPr>
            <sz val="9"/>
            <rFont val="Tahoma"/>
            <family val="2"/>
          </rPr>
          <t>Dit is het gemiddelde percentage.</t>
        </r>
      </text>
    </comment>
    <comment ref="B61" authorId="1">
      <text>
        <r>
          <rPr>
            <sz val="9"/>
            <rFont val="Tahoma"/>
            <family val="2"/>
          </rPr>
          <t>Betreft: Uitvoering Fonds Overheid. Is inclusief premie kinderopvang van 0,34%</t>
        </r>
      </text>
    </comment>
    <comment ref="B62" authorId="0">
      <text>
        <r>
          <rPr>
            <sz val="10"/>
            <rFont val="Tahoma"/>
            <family val="2"/>
          </rPr>
          <t xml:space="preserve">
Premie VF voor 2008 vanaf 1 jan 2008 op jaarbasis. Cumulatief voor verplicht  (regulier: 7,55% + CAO PO par. 8: 0,73%) plus vrijwillig (3,5%) vanaf 1 jan. 2008. </t>
        </r>
      </text>
    </comment>
    <comment ref="B65" authorId="0">
      <text>
        <r>
          <rPr>
            <sz val="9"/>
            <rFont val="Tahoma"/>
            <family val="2"/>
          </rPr>
          <t>Premie voor 2008 vanaf 1 januari 2008.</t>
        </r>
      </text>
    </comment>
    <comment ref="B55" authorId="0">
      <text>
        <r>
          <rPr>
            <sz val="9"/>
            <rFont val="Tahoma"/>
            <family val="2"/>
          </rPr>
          <t>FPU opbouw is vervallen</t>
        </r>
      </text>
    </comment>
    <comment ref="B56" authorId="0">
      <text>
        <r>
          <rPr>
            <sz val="9"/>
            <rFont val="Tahoma"/>
            <family val="2"/>
          </rPr>
          <t xml:space="preserve">Voor werknemers van 55 jaar en ouder geldt premievrijstelling van de WIA-basispremie).
</t>
        </r>
      </text>
    </comment>
    <comment ref="C82" authorId="1">
      <text>
        <r>
          <rPr>
            <sz val="8"/>
            <rFont val="Tahoma"/>
            <family val="2"/>
          </rPr>
          <t xml:space="preserve">De structurele eindejaarsuitkering (SEJU) over 2008 bedraagt 6,3%. Vanaf begin 2008 moet daar dus rekening mee worden gehouden. De GPL voor 07-08 is daar voor 7/12e deel op aangepast. Overig deel volgt in GPL per 1 aug 2008 voor het 5/12e deel dat nog van 5,3 naar 6,3% gaat.
</t>
        </r>
      </text>
    </comment>
  </commentList>
</comments>
</file>

<file path=xl/sharedStrings.xml><?xml version="1.0" encoding="utf-8"?>
<sst xmlns="http://schemas.openxmlformats.org/spreadsheetml/2006/main" count="572" uniqueCount="342">
  <si>
    <t>LA</t>
  </si>
  <si>
    <t>salaristabellen</t>
  </si>
  <si>
    <t>schaal / regel</t>
  </si>
  <si>
    <t>DA</t>
  </si>
  <si>
    <t>DB</t>
  </si>
  <si>
    <t>DBuit</t>
  </si>
  <si>
    <t>DC</t>
  </si>
  <si>
    <t>DCuit</t>
  </si>
  <si>
    <t>DD</t>
  </si>
  <si>
    <t>DE</t>
  </si>
  <si>
    <t>AA</t>
  </si>
  <si>
    <t>AB</t>
  </si>
  <si>
    <t>AC</t>
  </si>
  <si>
    <t>AD</t>
  </si>
  <si>
    <t>AE</t>
  </si>
  <si>
    <t>LB</t>
  </si>
  <si>
    <t>LC</t>
  </si>
  <si>
    <t>LD</t>
  </si>
  <si>
    <t>LE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</si>
  <si>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</si>
  <si>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</si>
  <si>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</si>
  <si>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</si>
  <si>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</si>
  <si>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</si>
  <si>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</si>
  <si>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</si>
  <si>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</si>
  <si>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</si>
  <si>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</si>
  <si>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</si>
  <si>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</si>
  <si>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</si>
  <si>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</si>
  <si>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Alleen de gele velden kunnen daardoor worden gewijzigd, en bevatten de op te geven variabelen voor de berekeningen.</t>
  </si>
  <si>
    <t>Werkbladen</t>
  </si>
  <si>
    <t>Werkblad Tabellen</t>
  </si>
  <si>
    <t>De werkbladen zijn beveiligd met het wachtwoord:</t>
  </si>
  <si>
    <t>vosabb</t>
  </si>
  <si>
    <t>Toekenning extra uitkeringen</t>
  </si>
  <si>
    <t>vakantieuitkering</t>
  </si>
  <si>
    <t>Totaal</t>
  </si>
  <si>
    <t>Jaarbasis</t>
  </si>
  <si>
    <t>OP/NP</t>
  </si>
  <si>
    <t>werkgever</t>
  </si>
  <si>
    <t>werknemer</t>
  </si>
  <si>
    <t>FPU</t>
  </si>
  <si>
    <t>Tabel premiepercentages</t>
  </si>
  <si>
    <t>VUT/FPU basis</t>
  </si>
  <si>
    <t>UFO-premie</t>
  </si>
  <si>
    <t>max. bedrag</t>
  </si>
  <si>
    <t>Totaal pensioenpremie</t>
  </si>
  <si>
    <t>uitlooptoeslag</t>
  </si>
  <si>
    <t>Pseudo WW</t>
  </si>
  <si>
    <t>maand</t>
  </si>
  <si>
    <t>a</t>
  </si>
  <si>
    <t>b</t>
  </si>
  <si>
    <t>c</t>
  </si>
  <si>
    <t>d</t>
  </si>
  <si>
    <t>e</t>
  </si>
  <si>
    <t>f</t>
  </si>
  <si>
    <t>g</t>
  </si>
  <si>
    <t>h</t>
  </si>
  <si>
    <t>i</t>
  </si>
  <si>
    <t>UFO</t>
  </si>
  <si>
    <t>premie Vf</t>
  </si>
  <si>
    <t>premie Pf</t>
  </si>
  <si>
    <t>Totaal werkgeverslasten</t>
  </si>
  <si>
    <t>Opslagpercentage t.o.v. normloon</t>
  </si>
  <si>
    <t>Maximumdebrutering:</t>
  </si>
  <si>
    <t>Debrutering</t>
  </si>
  <si>
    <t>Jaarinkomen ABP</t>
  </si>
  <si>
    <t xml:space="preserve">Werkgeverslasten PO </t>
  </si>
  <si>
    <t>per maand</t>
  </si>
  <si>
    <t>per jaar</t>
  </si>
  <si>
    <t>max. regel:</t>
  </si>
  <si>
    <t>Berekening Werkgeverslasten</t>
  </si>
  <si>
    <t>onjuist!</t>
  </si>
  <si>
    <t xml:space="preserve">In dit werkblad worden de werkgeverslasten berekend van een werknemer in het PO. </t>
  </si>
  <si>
    <t>Invoering van de gegevens per werknemer geeft de berekening van de werkgeverslasten.</t>
  </si>
  <si>
    <t>Door dit te relateren aan het normloon van die werknemer wordt het opslagpercentage verkregen.</t>
  </si>
  <si>
    <t>Op grond van het normsalaris per maand wordt het jaarinkomen ABP berekend.</t>
  </si>
  <si>
    <t>Vervolgens worden de werkgeverslasten berekend.</t>
  </si>
  <si>
    <t xml:space="preserve">Ten opzichte van het salaris ABP wordt dat in een percentage omgerekend, maar belangrijker: ook in een opslagpercentage </t>
  </si>
  <si>
    <t xml:space="preserve">ten opzichte van het normsalaris. Op die wijze kan het als kengetal worden gehanteerd bij de vaststelling van de totale loonkosten </t>
  </si>
  <si>
    <t xml:space="preserve">voor een werkgever bij de aanstelling van een werknemer. </t>
  </si>
  <si>
    <t>j</t>
  </si>
  <si>
    <t>Uitlooptoeslag</t>
  </si>
  <si>
    <t>Bindingstoelage</t>
  </si>
  <si>
    <t>leraar</t>
  </si>
  <si>
    <t>directie</t>
  </si>
  <si>
    <t>OOP S9</t>
  </si>
  <si>
    <t>Werknemer</t>
  </si>
  <si>
    <t>n</t>
  </si>
  <si>
    <t>Opslagpercentage t.o.v. jaarinkomen ABP:</t>
  </si>
  <si>
    <t>Ink. ABP</t>
  </si>
  <si>
    <t>normsalaris</t>
  </si>
  <si>
    <t>Pseudo WW (-)</t>
  </si>
  <si>
    <t>In Percentage</t>
  </si>
  <si>
    <t>max regel</t>
  </si>
  <si>
    <t>Overige loonkosten</t>
  </si>
  <si>
    <t xml:space="preserve">In individuele gevallen zal er nog sprake zijn van loonkosten die hier niet zijn opgenomen. Bijvoorbeeld een jubileumuitkering of </t>
  </si>
  <si>
    <t>spaarloon. Dergelijke componenten zijn in dit model niet verwerkt.</t>
  </si>
  <si>
    <t>Participatiefonds</t>
  </si>
  <si>
    <t>Structurele eindejaarsuitkering</t>
  </si>
  <si>
    <t>bij een normbetrekking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</si>
  <si>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</si>
  <si>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</si>
  <si>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</si>
  <si>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</si>
  <si>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</si>
  <si>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</si>
  <si>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</si>
  <si>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</si>
  <si>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</si>
  <si>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</si>
  <si>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</si>
  <si>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</si>
  <si>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</si>
  <si>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pseudo-WW</t>
  </si>
  <si>
    <t>ZVW</t>
  </si>
  <si>
    <t>Bijdrage-inkomen</t>
  </si>
  <si>
    <t>ZVW vergoeding werkgever</t>
  </si>
  <si>
    <t>Bijdrage-inkomen ZVW</t>
  </si>
  <si>
    <t>k</t>
  </si>
  <si>
    <t>l</t>
  </si>
  <si>
    <t>m</t>
  </si>
  <si>
    <t>Loon voor de loonbelasting</t>
  </si>
  <si>
    <t>Loonbelasting</t>
  </si>
  <si>
    <t>Inkomensafhankelijke bijdrage ZVW</t>
  </si>
  <si>
    <t>Nettosalaris</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</si>
  <si>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</si>
  <si>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</si>
  <si>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</si>
  <si>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</si>
  <si>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</si>
  <si>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</si>
  <si>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</si>
  <si>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</si>
  <si>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</si>
  <si>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</si>
  <si>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</si>
  <si>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Belastbaar loon</t>
  </si>
  <si>
    <t>Geboortejaar</t>
  </si>
  <si>
    <t>schijf 1</t>
  </si>
  <si>
    <t>schijf 2</t>
  </si>
  <si>
    <t>schijf 3</t>
  </si>
  <si>
    <t>schijf 4</t>
  </si>
  <si>
    <t>totaal loonbelasting</t>
  </si>
  <si>
    <t>Compensatie ziektekosten</t>
  </si>
  <si>
    <t>eindejaarsuitkering OOP</t>
  </si>
  <si>
    <t>Eindejaarsuitkering OOP</t>
  </si>
  <si>
    <t>compensatie ziektekosten</t>
  </si>
  <si>
    <t xml:space="preserve">Ook de berekening van het bruto-netto traject voor de werknemer beoogt slechts een indicatie op hoofdlijnen </t>
  </si>
  <si>
    <t xml:space="preserve">te geven. De 'echte' berekening plus de berekening loonbelasting is een complexe materie die hier vereenvoudigd </t>
  </si>
  <si>
    <t xml:space="preserve">Het bruto-netto traject geeft de informatie over de omvang van het bijdrage-inkomen (voorheen coordinatieloon) waarover </t>
  </si>
  <si>
    <t>de sociale premies berekend moeten worden.</t>
  </si>
  <si>
    <t>Overige toelagen</t>
  </si>
  <si>
    <t>Deze zijn nader aangegeven en voor zover nodig nader toegelicht.</t>
  </si>
  <si>
    <r>
      <t xml:space="preserve">Kosten en baten betaald ouderschapsverlof </t>
    </r>
    <r>
      <rPr>
        <b/>
        <sz val="12"/>
        <color indexed="10"/>
        <rFont val="Arial"/>
        <family val="2"/>
      </rPr>
      <t>WERKNEMER</t>
    </r>
  </si>
  <si>
    <t>ja</t>
  </si>
  <si>
    <t>Naam werknemer</t>
  </si>
  <si>
    <t>Werknemer met kind</t>
  </si>
  <si>
    <t>nee</t>
  </si>
  <si>
    <t xml:space="preserve"> Gemaakt door:</t>
  </si>
  <si>
    <t>meerh sbo DC13</t>
  </si>
  <si>
    <t>Opgave omvang betaald ouderschapsverlof in lesuren:</t>
  </si>
  <si>
    <t>Omvang betaald ouderschapsverlof</t>
  </si>
  <si>
    <t>klokuren</t>
  </si>
  <si>
    <t>lesuren</t>
  </si>
  <si>
    <t>Beschikbaar</t>
  </si>
  <si>
    <t>Opname</t>
  </si>
  <si>
    <t>Percentage</t>
  </si>
  <si>
    <t>Opname in aantal maanden</t>
  </si>
  <si>
    <t>(delen van een maand als hele maand rekenen)</t>
  </si>
  <si>
    <t>Salariskorting</t>
  </si>
  <si>
    <t>Regulier salaris</t>
  </si>
  <si>
    <t>Uitbetaald salaris</t>
  </si>
  <si>
    <t>Totaal betaald verlof in verlofperiode</t>
  </si>
  <si>
    <t>Inclusief werkgeverslasten</t>
  </si>
  <si>
    <t>Netto kosten werkgever betaald ouderschapsverlof</t>
  </si>
  <si>
    <r>
      <t xml:space="preserve">Kosten ouderschapsverlof </t>
    </r>
    <r>
      <rPr>
        <b/>
        <sz val="12"/>
        <color indexed="10"/>
        <rFont val="Arial"/>
        <family val="2"/>
      </rPr>
      <t>BESTUUR</t>
    </r>
  </si>
  <si>
    <t xml:space="preserve">Bestuur: </t>
  </si>
  <si>
    <t>PO</t>
  </si>
  <si>
    <t>Structureel</t>
  </si>
  <si>
    <t>Aantal personeelsleden</t>
  </si>
  <si>
    <t>zelf in te vullen</t>
  </si>
  <si>
    <t>Gemiddelde betrekkingsomvang</t>
  </si>
  <si>
    <t>tot</t>
  </si>
  <si>
    <t>Personeelsleden van</t>
  </si>
  <si>
    <t>landelijk gemiddelde</t>
  </si>
  <si>
    <t>Gemiddeld aantal kinderen</t>
  </si>
  <si>
    <t>opgave departement (CBS: 1,6)</t>
  </si>
  <si>
    <t>Maximaal aantal ouderschapsverloven</t>
  </si>
  <si>
    <t>Effectuering ouderschapverlof</t>
  </si>
  <si>
    <t>raming</t>
  </si>
  <si>
    <t>Gemiddeld aantal per jaar</t>
  </si>
  <si>
    <t>Gemiddelde kosten per jaar per verlof</t>
  </si>
  <si>
    <t>Kosten totale verlof per jaar</t>
  </si>
  <si>
    <t>afdracht loonbelasting en premie</t>
  </si>
  <si>
    <t>Kosten door wijziging bestaande functie in andere functie</t>
  </si>
  <si>
    <t>Functiedifferentiatie of pro- of demotie</t>
  </si>
  <si>
    <t xml:space="preserve">Salarisgegevens per 1 augustus, na toekenning reguliere periodieke verhoging </t>
  </si>
  <si>
    <t>maximumregel:</t>
  </si>
  <si>
    <t>Leeftijd per 1 augustus</t>
  </si>
  <si>
    <t>Met pensioen/uittreden op leeftijd</t>
  </si>
  <si>
    <t>Inschaling in nieuwe functie</t>
  </si>
  <si>
    <r>
      <t xml:space="preserve">Werktijdfactor: </t>
    </r>
    <r>
      <rPr>
        <sz val="10"/>
        <rFont val="Arial"/>
        <family val="2"/>
      </rPr>
      <t>gewijzigd in nieuwe functie</t>
    </r>
  </si>
  <si>
    <t>Nieuwe omvang wtf</t>
  </si>
  <si>
    <t>Verhoging eerste jaar per maand</t>
  </si>
  <si>
    <t>Opslagpercentage werkgeverslasten</t>
  </si>
  <si>
    <t>Werkgeverslasten eerste jaar</t>
  </si>
  <si>
    <t>Aantal jaren meer/minder kosten</t>
  </si>
  <si>
    <t>Gemiddelde kosten</t>
  </si>
  <si>
    <r>
      <t>Kosten totaal</t>
    </r>
    <r>
      <rPr>
        <sz val="10"/>
        <rFont val="Arial"/>
        <family val="2"/>
      </rPr>
      <t xml:space="preserve"> (tot pensioen/uittreden)</t>
    </r>
  </si>
  <si>
    <t>nieuwe schaal</t>
  </si>
  <si>
    <t>voormalige schaal</t>
  </si>
  <si>
    <t>Extra periodieken</t>
  </si>
  <si>
    <t>Alle categorien Personeel</t>
  </si>
  <si>
    <r>
      <t>Naam</t>
    </r>
    <r>
      <rPr>
        <b/>
        <sz val="10"/>
        <color indexed="10"/>
        <rFont val="Arial"/>
        <family val="2"/>
      </rPr>
      <t xml:space="preserve"> werknemer</t>
    </r>
  </si>
  <si>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</si>
  <si>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</si>
  <si>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</si>
  <si>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</si>
  <si>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</si>
  <si>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</si>
  <si>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</si>
  <si>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</si>
  <si>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</si>
  <si>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</si>
  <si>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</si>
  <si>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</si>
  <si>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</si>
  <si>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</si>
  <si>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</si>
  <si>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Werkblad Werkgeverslasten</t>
  </si>
  <si>
    <t>1.</t>
  </si>
  <si>
    <t>2.</t>
  </si>
  <si>
    <t>Werkblad Ouderschapsverlof</t>
  </si>
  <si>
    <t xml:space="preserve">In dit werkblad worden de kosten en baten berekend van het betaalde ouderschapsverlof. De opgave van de gegevens van de </t>
  </si>
  <si>
    <t>Bestuur</t>
  </si>
  <si>
    <t xml:space="preserve">De opgegeven waarden onder a. bij Bestuur zijn gebaseerd op landelijke cijfers. Ieder bestuur doet er verstandig aan </t>
  </si>
  <si>
    <t xml:space="preserve">de data aan te passen op basis van eigen gegevens. </t>
  </si>
  <si>
    <t>3.</t>
  </si>
  <si>
    <t>Werkblad Functiedifferentiatie</t>
  </si>
  <si>
    <t>In dit werkblad worden de kosten berekend van wijziging van een bestaande functie in een andere.</t>
  </si>
  <si>
    <t>Daarbij kan het gaan om functiedifferentiatie, promotie of eventuele demotie.</t>
  </si>
  <si>
    <t>De functiewijziging kan betrekking hebben op functies voor OP, OOP en Directie en kan ook betrekking hebben op de wijziging</t>
  </si>
  <si>
    <t>van de ene functiecategorie naar de andere.</t>
  </si>
  <si>
    <t>De berekening vindt plaats op basis van de bestaande functie met opgave van schaal plus regel, en de opgave van de nieuwe</t>
  </si>
  <si>
    <t>functie, eveneens met schaal en regel. In de tabel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</si>
  <si>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</si>
  <si>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</si>
  <si>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</si>
  <si>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r>
      <t xml:space="preserve">een gelijkblijvende werktijdfactor. Wanneer men opgeeft dat deze wordt gewijzigd door op de gevraagde plaats dit met </t>
    </r>
    <r>
      <rPr>
        <b/>
        <sz val="10"/>
        <rFont val="Arial"/>
        <family val="2"/>
      </rPr>
      <t>ja</t>
    </r>
    <r>
      <rPr>
        <sz val="10"/>
        <rFont val="Arial"/>
        <family val="2"/>
      </rPr>
      <t xml:space="preserve"> in te </t>
    </r>
  </si>
  <si>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</si>
  <si>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</si>
  <si>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</si>
  <si>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4.</t>
  </si>
  <si>
    <t>Werkblad Extra Periodieken</t>
  </si>
  <si>
    <t xml:space="preserve">In dit werkblad worden de kosten berekend van de toekenning van extra periodieken. Deze toekenning kan gebaseerd </t>
  </si>
  <si>
    <t xml:space="preserve">zijn op de regeling voor herintreders zoals opgenomen in de CAO PO of als vorm van beloningsdifferentiatie.  </t>
  </si>
  <si>
    <t>De opgave van de aard van de toekenning heeft als zodanig geen effect op de berekening.</t>
  </si>
  <si>
    <t>De berekening van de kosten van een of meer extra periodieken kan plaats vinden voor de categorieen OP, OOP en Directie.</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</si>
  <si>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</si>
  <si>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</si>
  <si>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</si>
  <si>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</si>
  <si>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</si>
  <si>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</si>
  <si>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5.</t>
  </si>
  <si>
    <t>Voor nadere info dient men zich te wenden tot de eigen bestuurs- en/of managementorganisatie.</t>
  </si>
  <si>
    <t>Bé Keizer,           tel.: 0348-405251 of, bij voorkeur, per e-mail:    bkeizer@vosabb.nl</t>
  </si>
  <si>
    <t>Helpdesk,            tel.: 0348-405250 of, bij voorkeur, per e-mail:    helpdesk@vosabb.nl</t>
  </si>
  <si>
    <t xml:space="preserve">Dit programmaonderdeel heeft niet de pretentie een juiste salarisberekening te maken! Het beoogt een indicatie </t>
  </si>
  <si>
    <t xml:space="preserve">te geven van de omvang van de werkgeverslasten en enig inzicht te geven in de opbouw daarvan. Als zodanig is </t>
  </si>
  <si>
    <t>Voor het maken van meerjarenformatiebeleid in relatie tot een meerjarenbegroting is deze info van belang.</t>
  </si>
  <si>
    <t>0,8% levensloop</t>
  </si>
  <si>
    <t>wordt gemaakt van de levensloopregeling.</t>
  </si>
  <si>
    <t>kosten levensloop</t>
  </si>
  <si>
    <t>debrutering</t>
  </si>
  <si>
    <t>Tabel 1 Schijventarief inkomstenbelasting/premie volksverzekeringen</t>
  </si>
  <si>
    <t>Inkomsten</t>
  </si>
  <si>
    <t>betreffende werknemer laat enerzijds de salariskosten zien die de werkgever moet betalen uit eigen middelen.</t>
  </si>
  <si>
    <t>WAO/WIA-basispremie (AOF)</t>
  </si>
  <si>
    <t>totaal</t>
  </si>
  <si>
    <t>WAO/WIA</t>
  </si>
  <si>
    <t>per maand (bij voltijdsverlof).</t>
  </si>
  <si>
    <t>Berekening inkomstenbelasting</t>
  </si>
  <si>
    <t>Daarnaast geldt een levensloopverlofkorting die gelijk is aan het opgenomen bedrag met een</t>
  </si>
  <si>
    <t xml:space="preserve">maximum van </t>
  </si>
  <si>
    <t>per gespaard kalenderjaar.</t>
  </si>
  <si>
    <t xml:space="preserve">Voor de fiscale voordelen bij toepassing van de levensloopregeling, zie: </t>
  </si>
  <si>
    <t>Deze toeslag wordt toegekend op basis van artikel 6.14 van de CAO PO.</t>
  </si>
  <si>
    <t>Deze toeslag wordt toegekend op basis van artikel 6.13 van de CAO PO.</t>
  </si>
  <si>
    <t>Belastingvoordeel werknemer: Wie (on)betaald ouderschapsverlof opneemt en deelneemt aan de levensloop-</t>
  </si>
  <si>
    <t xml:space="preserve">regeling krijgt een fiscaal voordeel van maximaal </t>
  </si>
  <si>
    <t>Katern 5 Levensloop VOS/ABB.</t>
  </si>
  <si>
    <t>Verlofwerktijdfactor</t>
  </si>
  <si>
    <t>Doorbetaling 55% salaris werkgever</t>
  </si>
  <si>
    <t>Dag van de leraar (OP, OOP, Dir)</t>
  </si>
  <si>
    <t>AOP</t>
  </si>
  <si>
    <t>Uniforme WAO-premie</t>
  </si>
  <si>
    <t>WGA-rekenpremie</t>
  </si>
  <si>
    <t>VF: premie verplichte aansluiting</t>
  </si>
  <si>
    <t>VF: premie vrijwillige aansluiting</t>
  </si>
  <si>
    <t>VF: eigenrisicodrager</t>
  </si>
  <si>
    <t>Structurele nominale uitkering</t>
  </si>
  <si>
    <t>(Ontleend aan financiele arbeidsvoorwaarden 2008)</t>
  </si>
  <si>
    <t>Inzet 0,8% levensloop</t>
  </si>
  <si>
    <t>Dit werkblad bevat relevante tabellen, conform de gegevens zoals die per 1 januari 2008 gelden.</t>
  </si>
  <si>
    <t>(Potentiële) leden van VOS/ABB kunnen zich wenden tot:</t>
  </si>
  <si>
    <t>Deze Excel-applikatie is mede gemaakt op basis van de WvPO publicatie van begin 2008.</t>
  </si>
  <si>
    <t xml:space="preserve">De gegevens omtrent de grondslag van uitkeringen zijn ontleend aan </t>
  </si>
  <si>
    <t xml:space="preserve">de Internetpublicaties van Cfi van 30 september 2005 (WAO oudere werknemers), </t>
  </si>
  <si>
    <t xml:space="preserve">de CAO voor de sector PO 2007-2009. </t>
  </si>
  <si>
    <t>de CAO PO 2006-2008 plus de Errata die eind 2007 zijn gepubliceerd, en</t>
  </si>
  <si>
    <t xml:space="preserve">Premies VF en PF zijn ontleend aan het VF-PF. Daarbij wordt voor het VF onderscheid gemaakt in de premie die geldt voor </t>
  </si>
  <si>
    <t xml:space="preserve"> - vrijwillig verzekerde werknemers: premie is vastgesteld op 3,50%</t>
  </si>
  <si>
    <t>Niet verzekeren betreft een keuze bij het VF voor alle OP resp. OOP die dan dus ook niet vrijwillig verzekerd zijn.</t>
  </si>
  <si>
    <t xml:space="preserve">De eindejaarsuitkering over 2008 is 6,3%, maar de actuele GPL (07-08) is daarop deels aangepast namelijk voor 7/12e deel. </t>
  </si>
  <si>
    <t xml:space="preserve">Voor het resterende deel: 5/12e deel van de verhoging van 5,3% naar 6,3% volgt de verwerking in de GPL die voor 08-09 nog </t>
  </si>
  <si>
    <t>moet worden vastgesteld.</t>
  </si>
  <si>
    <t>het een hulpmiddel voor het management bij het ramen van de personele kosten.</t>
  </si>
  <si>
    <t>wordt weergegeven, met gebruikmaking van alleen de reguliere inkomstenbelastingtabel.</t>
  </si>
  <si>
    <t xml:space="preserve">Door te varieren naar omvang werktijdfactor, per schaal en in een schaal wat betreft de inschaling naar regel van laag naar hoog </t>
  </si>
  <si>
    <t xml:space="preserve">verkrijgt men inzicht in het percentage wat voor die betreffende schaal van toepassing is. Dat is van belang voor het financieel </t>
  </si>
  <si>
    <t>management. Op die wijze is het immers mogelijk om redelijk nauwkeurig de totale werkgeverslasten te ramen van een werknemer.</t>
  </si>
  <si>
    <t>Bruto-netto traject 2008 Werknemer</t>
  </si>
  <si>
    <t>Belastingen 2008</t>
  </si>
  <si>
    <t>Tarieven, bedragen en percentages vanaf 1 januari 2008</t>
  </si>
  <si>
    <t xml:space="preserve"> - verplicht verzekerde werknemers: reguliere premie van 7,55% plus 0,73% voor het verlofdeel, samen 8,28% (jaarbasis)</t>
  </si>
  <si>
    <t>Verzekeren bij het Risicofonds is ook een mogelijkheid.</t>
  </si>
  <si>
    <t xml:space="preserve">Ook biedt het werkblad de mogelijkheid de kosten van ouderschapsverlof te ramen voor het bestuur </t>
  </si>
  <si>
    <t xml:space="preserve">Op basis van de eigen gegevens van een bestuur zijn de kosten redelijk nauwkeurig te ramen. </t>
  </si>
  <si>
    <t>vs. 4c</t>
  </si>
  <si>
    <t>De salaristabellen zijn de tabellen die gelden vanaf 1 aug. 2008.</t>
  </si>
  <si>
    <t xml:space="preserve"> - werkgevers die de werknemers die niet verplicht verzekerd zijn, ook niet vrijwillig verzekeren bij het VF: premie = 0,00%</t>
  </si>
  <si>
    <t xml:space="preserve">De betaling aan de verlofganger is veranderd sinds 1 januari 2007 in 55%. Die heeft een belastingvoordeel wanneer gebruik </t>
  </si>
  <si>
    <t>Voor de werkgeverslasten is al een percentage opgegeven (51,5%). Dat kan men desgewenst zelf aanpassen.</t>
  </si>
  <si>
    <t>Het onderdeel bestuur biedt de mogelijkheid de kosten van extra periodieken te ramen voor de herintreedsters.</t>
  </si>
  <si>
    <t>Alleen voor de salaristabellen gelden de data vanaf 1 aug. 2008.</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</si>
</sst>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d/mm/yy"/>
    <numFmt numFmtId="179" formatCode="0.0000"/>
    <numFmt numFmtId="180" formatCode="#,##0.00_ ;\-#,##0.00\ "/>
    <numFmt numFmtId="181" formatCode="0.000%"/>
    <numFmt numFmtId="182" formatCode="#,##0.00_ ;[Red]\-#,##0.00\ "/>
    <numFmt numFmtId="183" formatCode="0.0%"/>
    <numFmt numFmtId="184" formatCode="0.0"/>
    <numFmt numFmtId="185" formatCode="#,##0.0000_ ;\-#,##0.0000\ "/>
    <numFmt numFmtId="186" formatCode="#,##0_-"/>
    <numFmt numFmtId="187" formatCode="#,##0.0"/>
    <numFmt numFmtId="188" formatCode="_-&quot;€&quot;\ * #,##0.0000_-;_-&quot;€&quot;\ * #,##0.0000\-;_-&quot;€&quot;\ * &quot;-&quot;????_-;_-@_-"/>
  </numFmts>
  <fonts count="22">
    <font>
      <sz val="10"/>
      <name val="Arial"/>
      <family val="0"/>
    </font>
    <font>
      <b/>
      <sz val="10"/>
      <name val="Arial"/>
      <family val="2"/>
    </font>
    <font>
      <b/>
      <sz val="8"/>
      <name val="Arial"/>
      <family val="2"/>
    </font>
    <font>
      <sz val="8"/>
      <name val="Arial"/>
      <family val="2"/>
    </font>
    <font>
      <b/>
      <sz val="12"/>
      <name val="Arial"/>
      <family val="2"/>
    </font>
    <font>
      <b/>
      <sz val="11"/>
      <name val="Arial"/>
      <family val="2"/>
    </font>
    <font>
      <b/>
      <sz val="10"/>
      <color indexed="10"/>
      <name val="Arial"/>
      <family val="2"/>
    </font>
    <font>
      <u val="single"/>
      <sz val="10"/>
      <color indexed="12"/>
      <name val="Arial"/>
      <family val="0"/>
    </font>
    <font>
      <u val="single"/>
      <sz val="10"/>
      <color indexed="36"/>
      <name val="Arial"/>
      <family val="0"/>
    </font>
    <font>
      <i/>
      <sz val="10"/>
      <name val="Arial"/>
      <family val="2"/>
    </font>
    <font>
      <b/>
      <sz val="12"/>
      <color indexed="10"/>
      <name val="Arial"/>
      <family val="2"/>
    </font>
    <font>
      <sz val="12"/>
      <name val="Arial"/>
      <family val="2"/>
    </font>
    <font>
      <b/>
      <i/>
      <sz val="10"/>
      <name val="Arial"/>
      <family val="2"/>
    </font>
    <font>
      <sz val="10"/>
      <name val="Tahoma"/>
      <family val="2"/>
    </font>
    <font>
      <sz val="9"/>
      <name val="Tahoma"/>
      <family val="2"/>
    </font>
    <font>
      <sz val="10"/>
      <color indexed="9"/>
      <name val="Arial"/>
      <family val="2"/>
    </font>
    <font>
      <sz val="8"/>
      <name val="Tahoma"/>
      <family val="2"/>
    </font>
    <font>
      <sz val="10"/>
      <color indexed="10"/>
      <name val="Arial"/>
      <family val="2"/>
    </font>
    <font>
      <sz val="10"/>
      <color indexed="22"/>
      <name val="Arial"/>
      <family val="2"/>
    </font>
    <font>
      <sz val="11"/>
      <name val="Arial"/>
      <family val="2"/>
    </font>
    <font>
      <b/>
      <sz val="8"/>
      <name val="Tahoma"/>
      <family val="0"/>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color indexed="63"/>
      </left>
      <right>
        <color indexed="63"/>
      </right>
      <top>
        <color indexed="63"/>
      </top>
      <bottom style="double">
        <color indexed="12"/>
      </bottom>
    </border>
    <border>
      <left style="double">
        <color indexed="12"/>
      </left>
      <right>
        <color indexed="63"/>
      </right>
      <top>
        <color indexed="63"/>
      </top>
      <bottom>
        <color indexed="63"/>
      </bottom>
    </border>
    <border>
      <left>
        <color indexed="63"/>
      </left>
      <right>
        <color indexed="63"/>
      </right>
      <top style="double">
        <color indexed="12"/>
      </top>
      <bottom>
        <color indexed="63"/>
      </bottom>
    </border>
    <border>
      <left style="double">
        <color indexed="12"/>
      </left>
      <right>
        <color indexed="63"/>
      </right>
      <top style="double">
        <color indexed="12"/>
      </top>
      <bottom>
        <color indexed="63"/>
      </bottom>
    </border>
    <border>
      <left>
        <color indexed="63"/>
      </left>
      <right style="double">
        <color indexed="12"/>
      </right>
      <top style="double">
        <color indexed="12"/>
      </top>
      <bottom>
        <color indexed="63"/>
      </bottom>
    </border>
    <border>
      <left>
        <color indexed="63"/>
      </left>
      <right style="double">
        <color indexed="12"/>
      </right>
      <top>
        <color indexed="63"/>
      </top>
      <bottom>
        <color indexed="63"/>
      </bottom>
    </border>
    <border>
      <left style="double">
        <color indexed="12"/>
      </left>
      <right>
        <color indexed="63"/>
      </right>
      <top>
        <color indexed="63"/>
      </top>
      <bottom style="double">
        <color indexed="12"/>
      </bottom>
    </border>
    <border>
      <left>
        <color indexed="63"/>
      </left>
      <right style="double">
        <color indexed="12"/>
      </right>
      <top>
        <color indexed="63"/>
      </top>
      <bottom style="double">
        <color indexed="12"/>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138">
    <xf numFmtId="0" fontId="0" fillId="0" borderId="0" xfId="0" applyAlignment="1">
      <alignment/>
    </xf>
    <xf numFmtId="0" fontId="1" fillId="0" borderId="0" xfId="0" applyFont="1" applyAlignment="1">
      <alignment/>
    </xf>
    <xf numFmtId="0" fontId="2" fillId="0" borderId="0" xfId="0" applyFont="1" applyAlignment="1" applyProtection="1">
      <alignment/>
      <protection/>
    </xf>
    <xf numFmtId="178" fontId="3" fillId="2" borderId="0" xfId="0" applyNumberFormat="1" applyFont="1" applyFill="1" applyAlignment="1" applyProtection="1">
      <alignment/>
      <protection locked="0"/>
    </xf>
    <xf numFmtId="0" fontId="3" fillId="0" borderId="0" xfId="0" applyFont="1" applyAlignment="1" applyProtection="1">
      <alignment/>
      <protection/>
    </xf>
    <xf numFmtId="0" fontId="3" fillId="0" borderId="0" xfId="0" applyFont="1" applyFill="1" applyAlignment="1" applyProtection="1">
      <alignment/>
      <protection/>
    </xf>
    <xf numFmtId="0" fontId="3" fillId="0" borderId="0" xfId="0" applyNumberFormat="1" applyFont="1" applyAlignment="1" applyProtection="1">
      <alignment/>
      <protection/>
    </xf>
    <xf numFmtId="1" fontId="3" fillId="0" borderId="0" xfId="0" applyNumberFormat="1" applyFont="1" applyAlignment="1" applyProtection="1">
      <alignment horizontal="right"/>
      <protection/>
    </xf>
    <xf numFmtId="49" fontId="3" fillId="0" borderId="0" xfId="0" applyNumberFormat="1" applyFont="1" applyAlignment="1" applyProtection="1">
      <alignment horizontal="right"/>
      <protection/>
    </xf>
    <xf numFmtId="3" fontId="3" fillId="2" borderId="0" xfId="0" applyNumberFormat="1" applyFont="1" applyFill="1" applyBorder="1" applyAlignment="1" applyProtection="1">
      <alignment horizontal="right"/>
      <protection locked="0"/>
    </xf>
    <xf numFmtId="0" fontId="3" fillId="0" borderId="0" xfId="0" applyFont="1" applyAlignment="1" applyProtection="1">
      <alignment horizontal="right"/>
      <protection/>
    </xf>
    <xf numFmtId="0" fontId="0" fillId="0" borderId="0" xfId="0"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3" fontId="3" fillId="0" borderId="0" xfId="0" applyNumberFormat="1" applyFont="1" applyFill="1" applyAlignment="1" applyProtection="1">
      <alignment/>
      <protection/>
    </xf>
    <xf numFmtId="170" fontId="0" fillId="0" borderId="0" xfId="0" applyNumberFormat="1" applyAlignment="1" applyProtection="1">
      <alignment/>
      <protection/>
    </xf>
    <xf numFmtId="168" fontId="0" fillId="0" borderId="0" xfId="0" applyNumberFormat="1" applyAlignment="1" applyProtection="1">
      <alignment/>
      <protection/>
    </xf>
    <xf numFmtId="1" fontId="0" fillId="0" borderId="0" xfId="0" applyNumberFormat="1" applyAlignment="1" applyProtection="1">
      <alignment/>
      <protection/>
    </xf>
    <xf numFmtId="0" fontId="0" fillId="2" borderId="0" xfId="0" applyFill="1" applyAlignment="1" applyProtection="1">
      <alignment/>
      <protection locked="0"/>
    </xf>
    <xf numFmtId="0" fontId="0" fillId="2" borderId="0" xfId="0" applyFill="1" applyAlignment="1" applyProtection="1">
      <alignment horizontal="right"/>
      <protection locked="0"/>
    </xf>
    <xf numFmtId="179" fontId="0" fillId="2" borderId="0" xfId="0" applyNumberFormat="1" applyFill="1" applyAlignment="1" applyProtection="1">
      <alignment/>
      <protection locked="0"/>
    </xf>
    <xf numFmtId="3" fontId="0" fillId="2" borderId="0" xfId="0" applyNumberFormat="1" applyFill="1" applyAlignment="1" applyProtection="1">
      <alignment/>
      <protection locked="0"/>
    </xf>
    <xf numFmtId="10" fontId="0" fillId="2" borderId="0" xfId="0" applyNumberFormat="1" applyFill="1" applyAlignment="1" applyProtection="1">
      <alignment/>
      <protection locked="0"/>
    </xf>
    <xf numFmtId="0" fontId="1" fillId="0" borderId="0" xfId="0" applyFont="1" applyFill="1" applyBorder="1" applyAlignment="1">
      <alignment/>
    </xf>
    <xf numFmtId="0" fontId="0" fillId="0" borderId="0" xfId="0" applyFont="1" applyAlignment="1">
      <alignment/>
    </xf>
    <xf numFmtId="0" fontId="0" fillId="0" borderId="0" xfId="0" applyBorder="1" applyAlignment="1">
      <alignment/>
    </xf>
    <xf numFmtId="9" fontId="0" fillId="0" borderId="0" xfId="0" applyNumberFormat="1" applyAlignment="1" applyProtection="1">
      <alignment/>
      <protection/>
    </xf>
    <xf numFmtId="10" fontId="0" fillId="0" borderId="0" xfId="0" applyNumberFormat="1" applyAlignment="1" applyProtection="1">
      <alignment/>
      <protection/>
    </xf>
    <xf numFmtId="0" fontId="2" fillId="0" borderId="0" xfId="0" applyFont="1" applyAlignment="1" applyProtection="1">
      <alignment horizontal="left"/>
      <protection/>
    </xf>
    <xf numFmtId="4" fontId="0" fillId="0" borderId="0" xfId="0" applyNumberFormat="1" applyAlignment="1" applyProtection="1">
      <alignment/>
      <protection/>
    </xf>
    <xf numFmtId="4" fontId="0" fillId="0" borderId="0" xfId="0" applyNumberFormat="1" applyFill="1" applyAlignment="1" applyProtection="1">
      <alignment/>
      <protection/>
    </xf>
    <xf numFmtId="2" fontId="0" fillId="0" borderId="0" xfId="0" applyNumberFormat="1" applyFont="1" applyAlignment="1" applyProtection="1">
      <alignment/>
      <protection/>
    </xf>
    <xf numFmtId="0" fontId="9" fillId="0" borderId="0" xfId="0" applyFont="1" applyAlignment="1" applyProtection="1">
      <alignment/>
      <protection/>
    </xf>
    <xf numFmtId="0" fontId="0" fillId="0" borderId="0" xfId="0" applyAlignment="1" applyProtection="1">
      <alignment horizontal="right"/>
      <protection/>
    </xf>
    <xf numFmtId="1" fontId="1" fillId="0" borderId="0" xfId="0" applyNumberFormat="1" applyFont="1" applyAlignment="1" applyProtection="1">
      <alignment/>
      <protection/>
    </xf>
    <xf numFmtId="0" fontId="1" fillId="0" borderId="0" xfId="0" applyFont="1" applyAlignment="1" applyProtection="1">
      <alignment horizontal="right"/>
      <protection/>
    </xf>
    <xf numFmtId="4" fontId="1" fillId="0" borderId="0" xfId="0" applyNumberFormat="1" applyFont="1" applyAlignment="1" applyProtection="1">
      <alignment/>
      <protection/>
    </xf>
    <xf numFmtId="0" fontId="11" fillId="0" borderId="0" xfId="0" applyFont="1" applyAlignment="1" applyProtection="1">
      <alignment/>
      <protection/>
    </xf>
    <xf numFmtId="1" fontId="4" fillId="0" borderId="0" xfId="0" applyNumberFormat="1" applyFont="1" applyAlignment="1" applyProtection="1">
      <alignment horizontal="right"/>
      <protection/>
    </xf>
    <xf numFmtId="0" fontId="4" fillId="0" borderId="0" xfId="0" applyFont="1" applyAlignment="1" applyProtection="1">
      <alignment horizontal="right"/>
      <protection/>
    </xf>
    <xf numFmtId="0" fontId="0" fillId="2" borderId="0" xfId="0" applyFont="1" applyFill="1" applyAlignment="1" applyProtection="1">
      <alignment/>
      <protection locked="0"/>
    </xf>
    <xf numFmtId="4" fontId="4" fillId="0" borderId="0" xfId="0" applyNumberFormat="1" applyFont="1" applyAlignment="1" applyProtection="1">
      <alignment/>
      <protection/>
    </xf>
    <xf numFmtId="10" fontId="10" fillId="0" borderId="0" xfId="0" applyNumberFormat="1" applyFont="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center"/>
      <protection/>
    </xf>
    <xf numFmtId="10" fontId="0" fillId="0" borderId="0" xfId="0" applyNumberFormat="1" applyFont="1" applyAlignment="1" applyProtection="1">
      <alignment/>
      <protection/>
    </xf>
    <xf numFmtId="2" fontId="0" fillId="2" borderId="0" xfId="0" applyNumberFormat="1" applyFill="1" applyAlignment="1" applyProtection="1">
      <alignment/>
      <protection locked="0"/>
    </xf>
    <xf numFmtId="0" fontId="12" fillId="0" borderId="0" xfId="0" applyFont="1" applyAlignment="1">
      <alignment/>
    </xf>
    <xf numFmtId="0" fontId="1" fillId="0" borderId="0" xfId="0" applyFont="1" applyAlignment="1">
      <alignment horizontal="right"/>
    </xf>
    <xf numFmtId="0" fontId="3" fillId="0" borderId="0" xfId="0" applyFont="1" applyFill="1" applyAlignment="1" applyProtection="1">
      <alignment/>
      <protection locked="0"/>
    </xf>
    <xf numFmtId="3" fontId="3" fillId="0" borderId="0" xfId="0" applyNumberFormat="1" applyFont="1" applyFill="1" applyAlignment="1" applyProtection="1">
      <alignment/>
      <protection locked="0"/>
    </xf>
    <xf numFmtId="3" fontId="0" fillId="0" borderId="0" xfId="0" applyNumberFormat="1" applyFill="1" applyAlignment="1" applyProtection="1">
      <alignment/>
      <protection/>
    </xf>
    <xf numFmtId="10" fontId="0" fillId="0" borderId="0" xfId="0" applyNumberFormat="1" applyFill="1" applyAlignment="1" applyProtection="1">
      <alignment/>
      <protection/>
    </xf>
    <xf numFmtId="4" fontId="0" fillId="2" borderId="0" xfId="0" applyNumberFormat="1" applyFill="1" applyAlignment="1" applyProtection="1">
      <alignment/>
      <protection locked="0"/>
    </xf>
    <xf numFmtId="182" fontId="0" fillId="2" borderId="0" xfId="0" applyNumberFormat="1" applyFill="1" applyAlignment="1" applyProtection="1">
      <alignment/>
      <protection locked="0"/>
    </xf>
    <xf numFmtId="2" fontId="0" fillId="0" borderId="0" xfId="0" applyNumberFormat="1" applyAlignment="1" applyProtection="1">
      <alignment/>
      <protection/>
    </xf>
    <xf numFmtId="3" fontId="0" fillId="0" borderId="0" xfId="0" applyNumberFormat="1" applyAlignment="1" applyProtection="1">
      <alignment/>
      <protection/>
    </xf>
    <xf numFmtId="181" fontId="0" fillId="0" borderId="0" xfId="0" applyNumberFormat="1" applyAlignment="1" applyProtection="1">
      <alignment/>
      <protection/>
    </xf>
    <xf numFmtId="1" fontId="0" fillId="0" borderId="0" xfId="0" applyNumberFormat="1" applyFont="1" applyAlignment="1" applyProtection="1">
      <alignment/>
      <protection/>
    </xf>
    <xf numFmtId="0" fontId="15" fillId="0" borderId="0" xfId="0" applyFont="1" applyAlignment="1" applyProtection="1">
      <alignment/>
      <protection/>
    </xf>
    <xf numFmtId="0" fontId="4" fillId="0" borderId="0" xfId="0" applyFont="1" applyAlignment="1">
      <alignment/>
    </xf>
    <xf numFmtId="0" fontId="0" fillId="0" borderId="0" xfId="0" applyFont="1" applyAlignment="1">
      <alignment horizontal="right"/>
    </xf>
    <xf numFmtId="0" fontId="0" fillId="0" borderId="0" xfId="0" applyAlignment="1">
      <alignment horizontal="right"/>
    </xf>
    <xf numFmtId="170" fontId="0" fillId="0" borderId="0" xfId="0" applyNumberFormat="1" applyAlignment="1">
      <alignment horizontal="right"/>
    </xf>
    <xf numFmtId="0" fontId="0" fillId="0" borderId="1" xfId="0" applyBorder="1" applyAlignment="1" applyProtection="1">
      <alignment/>
      <protection/>
    </xf>
    <xf numFmtId="0" fontId="0" fillId="0" borderId="0" xfId="0" applyBorder="1" applyAlignment="1" applyProtection="1">
      <alignment/>
      <protection/>
    </xf>
    <xf numFmtId="0" fontId="0" fillId="0" borderId="2" xfId="0" applyBorder="1" applyAlignment="1" applyProtection="1">
      <alignment/>
      <protection/>
    </xf>
    <xf numFmtId="1" fontId="0" fillId="0" borderId="0" xfId="0" applyNumberFormat="1" applyBorder="1" applyAlignment="1" applyProtection="1">
      <alignment/>
      <protection/>
    </xf>
    <xf numFmtId="0" fontId="1" fillId="0" borderId="2" xfId="0" applyFont="1" applyBorder="1" applyAlignment="1" applyProtection="1">
      <alignment/>
      <protection/>
    </xf>
    <xf numFmtId="0" fontId="0" fillId="0" borderId="0" xfId="0" applyFill="1" applyAlignment="1">
      <alignment/>
    </xf>
    <xf numFmtId="10" fontId="0" fillId="0" borderId="0" xfId="0" applyNumberFormat="1" applyAlignment="1">
      <alignment/>
    </xf>
    <xf numFmtId="0" fontId="17" fillId="0" borderId="0" xfId="0" applyFont="1" applyAlignment="1">
      <alignment/>
    </xf>
    <xf numFmtId="0" fontId="3" fillId="0" borderId="0" xfId="0" applyFont="1" applyAlignment="1">
      <alignment/>
    </xf>
    <xf numFmtId="0" fontId="0" fillId="0" borderId="3" xfId="0" applyBorder="1" applyAlignment="1" applyProtection="1">
      <alignment/>
      <protection/>
    </xf>
    <xf numFmtId="170" fontId="1" fillId="0" borderId="0" xfId="0" applyNumberFormat="1" applyFont="1" applyAlignment="1">
      <alignment/>
    </xf>
    <xf numFmtId="170" fontId="0" fillId="0" borderId="0" xfId="0" applyNumberFormat="1" applyAlignment="1">
      <alignment/>
    </xf>
    <xf numFmtId="183" fontId="0" fillId="2" borderId="0" xfId="0" applyNumberFormat="1" applyFill="1" applyAlignment="1" applyProtection="1">
      <alignment/>
      <protection locked="0"/>
    </xf>
    <xf numFmtId="0" fontId="11" fillId="0" borderId="0" xfId="0" applyFont="1" applyAlignment="1">
      <alignment/>
    </xf>
    <xf numFmtId="170" fontId="4" fillId="0" borderId="0" xfId="0" applyNumberFormat="1" applyFont="1" applyAlignment="1">
      <alignment/>
    </xf>
    <xf numFmtId="0" fontId="1" fillId="2" borderId="0" xfId="0" applyFont="1" applyFill="1" applyAlignment="1" applyProtection="1">
      <alignment/>
      <protection locked="0"/>
    </xf>
    <xf numFmtId="3" fontId="0" fillId="0" borderId="0" xfId="0" applyNumberFormat="1" applyAlignment="1">
      <alignment/>
    </xf>
    <xf numFmtId="168" fontId="0" fillId="2" borderId="0" xfId="0" applyNumberFormat="1" applyFill="1" applyAlignment="1" applyProtection="1">
      <alignment/>
      <protection locked="0"/>
    </xf>
    <xf numFmtId="168" fontId="0" fillId="0" borderId="0" xfId="0" applyNumberFormat="1" applyAlignment="1">
      <alignment/>
    </xf>
    <xf numFmtId="170" fontId="0" fillId="0" borderId="0" xfId="0" applyNumberFormat="1" applyFill="1" applyAlignment="1" applyProtection="1">
      <alignment/>
      <protection locked="0"/>
    </xf>
    <xf numFmtId="170" fontId="0" fillId="0" borderId="0" xfId="0" applyNumberFormat="1" applyFill="1" applyAlignment="1" applyProtection="1">
      <alignment/>
      <protection/>
    </xf>
    <xf numFmtId="0" fontId="0" fillId="0" borderId="0" xfId="0" applyFill="1" applyAlignment="1" applyProtection="1">
      <alignment/>
      <protection locked="0"/>
    </xf>
    <xf numFmtId="49" fontId="0" fillId="0" borderId="0" xfId="0" applyNumberFormat="1" applyAlignment="1" applyProtection="1">
      <alignment/>
      <protection/>
    </xf>
    <xf numFmtId="185" fontId="0" fillId="2" borderId="0" xfId="0" applyNumberFormat="1" applyFill="1" applyAlignment="1" applyProtection="1">
      <alignment horizontal="right"/>
      <protection locked="0"/>
    </xf>
    <xf numFmtId="0" fontId="0" fillId="0" borderId="4" xfId="0" applyBorder="1" applyAlignment="1" applyProtection="1">
      <alignment/>
      <protection/>
    </xf>
    <xf numFmtId="0" fontId="0" fillId="0" borderId="5" xfId="0" applyBorder="1" applyAlignment="1" applyProtection="1">
      <alignment/>
      <protection/>
    </xf>
    <xf numFmtId="185" fontId="0" fillId="2" borderId="0" xfId="0" applyNumberFormat="1" applyFill="1" applyAlignment="1" applyProtection="1">
      <alignment/>
      <protection locked="0"/>
    </xf>
    <xf numFmtId="0" fontId="0" fillId="0" borderId="6" xfId="0" applyBorder="1" applyAlignment="1" applyProtection="1">
      <alignment/>
      <protection/>
    </xf>
    <xf numFmtId="170" fontId="0" fillId="0" borderId="0" xfId="0" applyNumberFormat="1" applyFont="1" applyAlignment="1" applyProtection="1">
      <alignment/>
      <protection/>
    </xf>
    <xf numFmtId="170" fontId="1" fillId="0" borderId="0" xfId="0" applyNumberFormat="1" applyFont="1" applyAlignment="1" applyProtection="1">
      <alignment/>
      <protection/>
    </xf>
    <xf numFmtId="168" fontId="1" fillId="0" borderId="0" xfId="0" applyNumberFormat="1" applyFont="1" applyAlignment="1" applyProtection="1">
      <alignment/>
      <protection/>
    </xf>
    <xf numFmtId="0" fontId="0" fillId="0" borderId="0" xfId="0" applyFill="1" applyAlignment="1" applyProtection="1">
      <alignment/>
      <protection/>
    </xf>
    <xf numFmtId="0" fontId="0" fillId="0" borderId="7" xfId="0" applyBorder="1" applyAlignment="1" applyProtection="1">
      <alignment/>
      <protection/>
    </xf>
    <xf numFmtId="0" fontId="0" fillId="0" borderId="1" xfId="0" applyBorder="1" applyAlignment="1">
      <alignment/>
    </xf>
    <xf numFmtId="0" fontId="0" fillId="0" borderId="8" xfId="0" applyBorder="1" applyAlignment="1" applyProtection="1">
      <alignment/>
      <protection/>
    </xf>
    <xf numFmtId="0" fontId="6" fillId="0" borderId="0" xfId="0" applyFont="1" applyAlignment="1">
      <alignment/>
    </xf>
    <xf numFmtId="186" fontId="0" fillId="0" borderId="0" xfId="0" applyNumberFormat="1" applyAlignment="1">
      <alignment/>
    </xf>
    <xf numFmtId="0" fontId="5" fillId="0" borderId="2" xfId="0" applyFont="1" applyBorder="1" applyAlignment="1" applyProtection="1">
      <alignment/>
      <protection/>
    </xf>
    <xf numFmtId="2" fontId="15" fillId="0" borderId="0" xfId="0" applyNumberFormat="1" applyFont="1" applyAlignment="1" applyProtection="1">
      <alignment/>
      <protection/>
    </xf>
    <xf numFmtId="170" fontId="0" fillId="0" borderId="0" xfId="0" applyNumberFormat="1" applyBorder="1" applyAlignment="1" applyProtection="1">
      <alignment/>
      <protection/>
    </xf>
    <xf numFmtId="0" fontId="0" fillId="2" borderId="0" xfId="0" applyFont="1" applyFill="1" applyAlignment="1" applyProtection="1">
      <alignment horizontal="right"/>
      <protection locked="0"/>
    </xf>
    <xf numFmtId="0" fontId="5" fillId="0" borderId="0" xfId="0" applyFont="1" applyAlignment="1">
      <alignment/>
    </xf>
    <xf numFmtId="0" fontId="18" fillId="0" borderId="0" xfId="0" applyFont="1" applyAlignment="1" applyProtection="1">
      <alignment/>
      <protection/>
    </xf>
    <xf numFmtId="0" fontId="18" fillId="0" borderId="0" xfId="0" applyFont="1" applyAlignment="1" applyProtection="1">
      <alignment horizontal="right"/>
      <protection/>
    </xf>
    <xf numFmtId="170" fontId="5" fillId="0" borderId="0" xfId="0" applyNumberFormat="1" applyFont="1" applyAlignment="1">
      <alignment/>
    </xf>
    <xf numFmtId="0" fontId="19" fillId="0" borderId="0" xfId="0" applyFont="1" applyAlignment="1">
      <alignment/>
    </xf>
    <xf numFmtId="0" fontId="19" fillId="0" borderId="0" xfId="0" applyFont="1" applyAlignment="1" applyProtection="1">
      <alignment horizontal="right"/>
      <protection/>
    </xf>
    <xf numFmtId="3" fontId="19" fillId="0" borderId="0" xfId="0" applyNumberFormat="1" applyFont="1" applyFill="1" applyAlignment="1" applyProtection="1">
      <alignment/>
      <protection locked="0"/>
    </xf>
    <xf numFmtId="165" fontId="5" fillId="2" borderId="0" xfId="0" applyNumberFormat="1" applyFont="1" applyFill="1" applyAlignment="1" applyProtection="1">
      <alignment/>
      <protection locked="0"/>
    </xf>
    <xf numFmtId="0" fontId="3" fillId="3" borderId="0" xfId="0" applyFont="1" applyFill="1" applyAlignment="1" applyProtection="1">
      <alignment/>
      <protection locked="0"/>
    </xf>
    <xf numFmtId="1" fontId="0" fillId="2" borderId="0" xfId="0" applyNumberFormat="1" applyFill="1" applyAlignment="1" applyProtection="1">
      <alignment/>
      <protection locked="0"/>
    </xf>
    <xf numFmtId="179" fontId="0" fillId="0" borderId="0" xfId="0" applyNumberFormat="1" applyFont="1" applyAlignment="1">
      <alignment/>
    </xf>
    <xf numFmtId="170" fontId="18" fillId="0" borderId="0" xfId="0" applyNumberFormat="1" applyFont="1" applyAlignment="1">
      <alignment/>
    </xf>
    <xf numFmtId="170" fontId="1" fillId="0" borderId="0" xfId="0" applyNumberFormat="1" applyFont="1" applyBorder="1" applyAlignment="1" applyProtection="1">
      <alignment/>
      <protection/>
    </xf>
    <xf numFmtId="170" fontId="18" fillId="0" borderId="0" xfId="0" applyNumberFormat="1" applyFont="1" applyBorder="1" applyAlignment="1" applyProtection="1">
      <alignment/>
      <protection/>
    </xf>
    <xf numFmtId="0" fontId="0" fillId="0" borderId="9" xfId="0" applyBorder="1" applyAlignment="1" applyProtection="1">
      <alignment/>
      <protection/>
    </xf>
    <xf numFmtId="2" fontId="0" fillId="2" borderId="9" xfId="0" applyNumberFormat="1" applyFill="1" applyBorder="1" applyAlignment="1" applyProtection="1">
      <alignment/>
      <protection locked="0"/>
    </xf>
    <xf numFmtId="0" fontId="1" fillId="0" borderId="0" xfId="0" applyFont="1" applyAlignment="1" applyProtection="1">
      <alignment horizontal="left"/>
      <protection/>
    </xf>
    <xf numFmtId="1" fontId="0" fillId="0" borderId="5" xfId="0" applyNumberFormat="1" applyBorder="1" applyAlignment="1" applyProtection="1">
      <alignment/>
      <protection/>
    </xf>
    <xf numFmtId="0" fontId="0" fillId="0" borderId="6" xfId="0" applyBorder="1" applyAlignment="1">
      <alignment/>
    </xf>
    <xf numFmtId="0" fontId="0" fillId="0" borderId="8" xfId="0" applyBorder="1" applyAlignment="1">
      <alignment/>
    </xf>
    <xf numFmtId="0" fontId="0" fillId="0" borderId="3" xfId="0" applyBorder="1" applyAlignment="1">
      <alignment/>
    </xf>
    <xf numFmtId="0" fontId="1" fillId="0" borderId="0" xfId="0" applyFont="1" applyBorder="1" applyAlignment="1" applyProtection="1">
      <alignment/>
      <protection/>
    </xf>
    <xf numFmtId="0" fontId="0" fillId="2" borderId="0" xfId="0" applyFill="1" applyAlignment="1" applyProtection="1">
      <alignment horizontal="center"/>
      <protection locked="0"/>
    </xf>
    <xf numFmtId="44" fontId="4" fillId="2" borderId="0" xfId="0" applyNumberFormat="1" applyFont="1" applyFill="1" applyAlignment="1" applyProtection="1">
      <alignment/>
      <protection locked="0"/>
    </xf>
    <xf numFmtId="0" fontId="17" fillId="0" borderId="0" xfId="0" applyFont="1" applyAlignment="1">
      <alignment/>
    </xf>
    <xf numFmtId="0" fontId="21" fillId="2" borderId="0" xfId="0" applyNumberFormat="1" applyFont="1" applyFill="1" applyAlignment="1" applyProtection="1">
      <alignment horizontal="right"/>
      <protection locked="0"/>
    </xf>
    <xf numFmtId="183" fontId="0" fillId="2" borderId="0" xfId="0" applyNumberFormat="1" applyFont="1" applyFill="1" applyAlignment="1" applyProtection="1">
      <alignment/>
      <protection locked="0"/>
    </xf>
    <xf numFmtId="0" fontId="0" fillId="2" borderId="0" xfId="0" applyFill="1" applyAlignment="1" applyProtection="1">
      <alignment horizontal="left"/>
      <protection locked="0"/>
    </xf>
    <xf numFmtId="0" fontId="0" fillId="0" borderId="0" xfId="0" applyAlignment="1" applyProtection="1">
      <alignment/>
      <protection locked="0"/>
    </xf>
    <xf numFmtId="0" fontId="1" fillId="2" borderId="0" xfId="0" applyFont="1" applyFill="1" applyAlignment="1" applyProtection="1">
      <alignment/>
      <protection locked="0"/>
    </xf>
    <xf numFmtId="0" fontId="0" fillId="2" borderId="0" xfId="0" applyFill="1" applyAlignment="1" applyProtection="1">
      <alignment/>
      <protection locked="0"/>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609600</xdr:colOff>
      <xdr:row>27</xdr:row>
      <xdr:rowOff>133350</xdr:rowOff>
    </xdr:from>
    <xdr:to>
      <xdr:col>15</xdr:col>
      <xdr:colOff>314325</xdr:colOff>
      <xdr:row>31</xdr:row>
      <xdr:rowOff>0</xdr:rowOff>
    </xdr:to>
    <xdr:pic>
      <xdr:nvPicPr>
        <xdr:cNvPr id="1" name="Picture 83"/>
        <xdr:cNvPicPr preferRelativeResize="1">
          <a:picLocks noChangeAspect="1"/>
        </xdr:cNvPicPr>
      </xdr:nvPicPr>
      <xdr:blipFill>
        <a:blip r:embed="rId1"/>
        <a:stretch>
          <a:fillRect/>
        </a:stretch>
      </xdr:blipFill>
      <xdr:spPr>
        <a:xfrm>
          <a:off x="8334375" y="4876800"/>
          <a:ext cx="18383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295275</xdr:colOff>
      <xdr:row>6</xdr:row>
      <xdr:rowOff>152400</xdr:rowOff>
    </xdr:from>
    <xdr:to>
      <xdr:col>11</xdr:col>
      <xdr:colOff>904875</xdr:colOff>
      <xdr:row>10</xdr:row>
      <xdr:rowOff>114300</xdr:rowOff>
    </xdr:to>
    <xdr:pic>
      <xdr:nvPicPr>
        <xdr:cNvPr id="1" name="Picture 5"/>
        <xdr:cNvPicPr preferRelativeResize="1">
          <a:picLocks noChangeAspect="1"/>
        </xdr:cNvPicPr>
      </xdr:nvPicPr>
      <xdr:blipFill>
        <a:blip r:embed="rId1"/>
        <a:stretch>
          <a:fillRect/>
        </a:stretch>
      </xdr:blipFill>
      <xdr:spPr>
        <a:xfrm>
          <a:off x="6486525" y="1162050"/>
          <a:ext cx="19240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19</xdr:row>
      <xdr:rowOff>104775</xdr:rowOff>
    </xdr:from>
    <xdr:to>
      <xdr:col>13</xdr:col>
      <xdr:colOff>361950</xdr:colOff>
      <xdr:row>23</xdr:row>
      <xdr:rowOff>0</xdr:rowOff>
    </xdr:to>
    <xdr:pic>
      <xdr:nvPicPr>
        <xdr:cNvPr id="1" name="Picture 1"/>
        <xdr:cNvPicPr preferRelativeResize="1">
          <a:picLocks noChangeAspect="1"/>
        </xdr:cNvPicPr>
      </xdr:nvPicPr>
      <xdr:blipFill>
        <a:blip r:embed="rId1"/>
        <a:stretch>
          <a:fillRect/>
        </a:stretch>
      </xdr:blipFill>
      <xdr:spPr>
        <a:xfrm>
          <a:off x="6096000" y="3009900"/>
          <a:ext cx="179070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15</xdr:row>
      <xdr:rowOff>66675</xdr:rowOff>
    </xdr:from>
    <xdr:to>
      <xdr:col>13</xdr:col>
      <xdr:colOff>266700</xdr:colOff>
      <xdr:row>19</xdr:row>
      <xdr:rowOff>0</xdr:rowOff>
    </xdr:to>
    <xdr:pic>
      <xdr:nvPicPr>
        <xdr:cNvPr id="1" name="Picture 1"/>
        <xdr:cNvPicPr preferRelativeResize="1">
          <a:picLocks noChangeAspect="1"/>
        </xdr:cNvPicPr>
      </xdr:nvPicPr>
      <xdr:blipFill>
        <a:blip r:embed="rId1"/>
        <a:stretch>
          <a:fillRect/>
        </a:stretch>
      </xdr:blipFill>
      <xdr:spPr>
        <a:xfrm>
          <a:off x="6219825" y="2400300"/>
          <a:ext cx="221932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125</xdr:row>
      <xdr:rowOff>66675</xdr:rowOff>
    </xdr:from>
    <xdr:to>
      <xdr:col>7</xdr:col>
      <xdr:colOff>361950</xdr:colOff>
      <xdr:row>129</xdr:row>
      <xdr:rowOff>66675</xdr:rowOff>
    </xdr:to>
    <xdr:pic>
      <xdr:nvPicPr>
        <xdr:cNvPr id="1" name="Picture 1"/>
        <xdr:cNvPicPr preferRelativeResize="1">
          <a:picLocks noChangeAspect="1"/>
        </xdr:cNvPicPr>
      </xdr:nvPicPr>
      <xdr:blipFill>
        <a:blip r:embed="rId1"/>
        <a:stretch>
          <a:fillRect/>
        </a:stretch>
      </xdr:blipFill>
      <xdr:spPr>
        <a:xfrm>
          <a:off x="2105025" y="20316825"/>
          <a:ext cx="21907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L162"/>
  <sheetViews>
    <sheetView tabSelected="1" zoomScale="85" zoomScaleNormal="85" workbookViewId="0" topLeftCell="A1">
      <selection activeCell="N13" sqref="N13"/>
    </sheetView>
  </sheetViews>
  <sheetFormatPr defaultColWidth="9.140625" defaultRowHeight="12.75"/>
  <cols>
    <col min="1" max="1" width="3.28125" style="11" customWidth="1"/>
    <col min="2" max="2" width="7.57421875" style="11" customWidth="1"/>
    <col min="3" max="3" width="17.00390625" style="11" customWidth="1"/>
    <col min="4" max="4" width="12.421875" style="11" customWidth="1"/>
    <col min="5" max="5" width="8.28125" style="11" customWidth="1"/>
    <col min="6" max="6" width="13.28125" style="11" customWidth="1"/>
    <col min="7" max="7" width="10.140625" style="11" customWidth="1"/>
    <col min="8" max="8" width="12.140625" style="11" customWidth="1"/>
    <col min="9" max="9" width="4.7109375" style="11" customWidth="1"/>
    <col min="10" max="10" width="5.8515625" style="11" customWidth="1"/>
    <col min="11" max="11" width="11.421875" style="11" customWidth="1"/>
    <col min="12" max="13" width="9.7109375" style="11" customWidth="1"/>
    <col min="14" max="14" width="11.00390625" style="11" customWidth="1"/>
    <col min="15" max="15" width="11.28125" style="11" customWidth="1"/>
    <col min="16" max="16" width="12.8515625" style="11" customWidth="1"/>
    <col min="17" max="16384" width="9.7109375" style="11" customWidth="1"/>
  </cols>
  <sheetData>
    <row r="1" ht="14.25" customHeight="1"/>
    <row r="2" spans="2:11" ht="15.75">
      <c r="B2" s="12" t="s">
        <v>72</v>
      </c>
      <c r="H2" s="37" t="s">
        <v>335</v>
      </c>
      <c r="K2" s="12"/>
    </row>
    <row r="3" spans="2:28" ht="15.75">
      <c r="B3" s="34" t="s">
        <v>308</v>
      </c>
      <c r="H3" s="37"/>
      <c r="K3" s="12"/>
      <c r="AA3" s="4" t="s">
        <v>21</v>
      </c>
      <c r="AB3" s="4" t="s">
        <v>99</v>
      </c>
    </row>
    <row r="4" spans="1:28" ht="12.75" customHeight="1">
      <c r="A4" s="13"/>
      <c r="B4" s="12" t="s">
        <v>92</v>
      </c>
      <c r="C4" s="39"/>
      <c r="E4" s="39"/>
      <c r="F4" s="42" t="s">
        <v>32</v>
      </c>
      <c r="H4" s="37"/>
      <c r="I4" s="39"/>
      <c r="K4" s="12"/>
      <c r="AA4" s="10" t="s">
        <v>115</v>
      </c>
      <c r="AB4" s="5">
        <v>10</v>
      </c>
    </row>
    <row r="5" spans="2:28" s="39" customFormat="1" ht="15.75">
      <c r="B5" s="14" t="s">
        <v>143</v>
      </c>
      <c r="D5" s="11"/>
      <c r="F5" s="42">
        <v>1953</v>
      </c>
      <c r="G5" s="108">
        <v>2008</v>
      </c>
      <c r="H5" s="109">
        <f>+G5-F5</f>
        <v>55</v>
      </c>
      <c r="K5" s="12" t="s">
        <v>76</v>
      </c>
      <c r="O5" s="40" t="s">
        <v>73</v>
      </c>
      <c r="P5" s="41" t="s">
        <v>74</v>
      </c>
      <c r="Q5" s="41"/>
      <c r="R5" s="41" t="s">
        <v>98</v>
      </c>
      <c r="AA5" s="10" t="s">
        <v>108</v>
      </c>
      <c r="AB5" s="5">
        <v>13</v>
      </c>
    </row>
    <row r="6" spans="2:31" ht="12.75">
      <c r="B6" s="14" t="s">
        <v>23</v>
      </c>
      <c r="D6" s="11" t="s">
        <v>21</v>
      </c>
      <c r="F6" s="21" t="s">
        <v>0</v>
      </c>
      <c r="G6" s="61">
        <f>IF(AND(F6&gt;0,F6&lt;16),0,100)</f>
        <v>100</v>
      </c>
      <c r="J6" s="37" t="s">
        <v>55</v>
      </c>
      <c r="K6" s="14" t="s">
        <v>71</v>
      </c>
      <c r="O6" s="38">
        <f>+F28</f>
        <v>3717.0833333333335</v>
      </c>
      <c r="P6" s="38">
        <f>+F24</f>
        <v>44605</v>
      </c>
      <c r="Q6" s="28" t="s">
        <v>95</v>
      </c>
      <c r="R6" s="11" t="s">
        <v>96</v>
      </c>
      <c r="AA6" s="10" t="s">
        <v>109</v>
      </c>
      <c r="AB6" s="5">
        <v>15</v>
      </c>
      <c r="AD6" s="11" t="s">
        <v>89</v>
      </c>
      <c r="AE6" s="35" t="s">
        <v>86</v>
      </c>
    </row>
    <row r="7" spans="4:31" ht="12.75">
      <c r="D7" s="11" t="s">
        <v>22</v>
      </c>
      <c r="F7" s="20">
        <v>18</v>
      </c>
      <c r="G7" s="46" t="str">
        <f>IF(AND(F7&gt;0,F7&lt;I7+1)," ",V7)</f>
        <v> </v>
      </c>
      <c r="H7" s="11" t="s">
        <v>75</v>
      </c>
      <c r="I7" s="11">
        <f>VLOOKUP(F6,salaristabellen,22,FALSE)</f>
        <v>18</v>
      </c>
      <c r="J7" s="37" t="s">
        <v>56</v>
      </c>
      <c r="K7" s="14" t="s">
        <v>43</v>
      </c>
      <c r="O7" s="31">
        <f>IF($F$24/$F$9&lt;tabellen!F53,0,($F$24-tabellen!F53*$F$9)/12)*tabellen!$D53</f>
        <v>397.3825833333333</v>
      </c>
      <c r="P7" s="31">
        <f>IF($F$24/$F$9&lt;tabellen!F53,0,(+$F$24-tabellen!F53*$F$9))*tabellen!$D53</f>
        <v>4768.590999999999</v>
      </c>
      <c r="Q7" s="29">
        <f aca="true" t="shared" si="0" ref="Q7:Q16">+P7/P$6</f>
        <v>0.10690709561708328</v>
      </c>
      <c r="R7" s="47">
        <f aca="true" t="shared" si="1" ref="R7:R15">+P7/(12*F$10)</f>
        <v>0.12137525453064547</v>
      </c>
      <c r="S7" s="47"/>
      <c r="T7" s="47"/>
      <c r="U7" s="47"/>
      <c r="V7" s="45" t="s">
        <v>77</v>
      </c>
      <c r="AA7" s="10" t="s">
        <v>110</v>
      </c>
      <c r="AB7" s="5">
        <v>17</v>
      </c>
      <c r="AD7" s="11" t="s">
        <v>90</v>
      </c>
      <c r="AE7" s="35" t="s">
        <v>93</v>
      </c>
    </row>
    <row r="8" spans="4:30" ht="12.75">
      <c r="D8" s="11" t="s">
        <v>24</v>
      </c>
      <c r="F8" s="32">
        <f>VLOOKUP(F6,salaristabellen,F7+1,FALSE)</f>
        <v>3274</v>
      </c>
      <c r="J8" s="37" t="s">
        <v>57</v>
      </c>
      <c r="K8" s="14" t="s">
        <v>301</v>
      </c>
      <c r="O8" s="31">
        <f>IF($F$24/$F$9&lt;tabellen!F54,0,(+$F$24-tabellen!F54*$F$9)/12)*tabellen!$D54</f>
        <v>6.82625</v>
      </c>
      <c r="P8" s="31">
        <f>IF($F$24/$F$9&lt;tabellen!F54,0,(+$F$24-tabellen!F54*$F$9))*tabellen!$D54</f>
        <v>81.915</v>
      </c>
      <c r="Q8" s="29">
        <f t="shared" si="0"/>
        <v>0.001836453312408923</v>
      </c>
      <c r="R8" s="47">
        <f t="shared" si="1"/>
        <v>0.002084987782529017</v>
      </c>
      <c r="AA8" s="10" t="s">
        <v>111</v>
      </c>
      <c r="AB8" s="5">
        <v>10</v>
      </c>
      <c r="AD8" s="11" t="s">
        <v>91</v>
      </c>
    </row>
    <row r="9" spans="2:28" ht="12.75">
      <c r="B9" s="14" t="s">
        <v>25</v>
      </c>
      <c r="F9" s="22">
        <v>1</v>
      </c>
      <c r="J9" s="37" t="s">
        <v>58</v>
      </c>
      <c r="K9" s="14" t="s">
        <v>46</v>
      </c>
      <c r="L9" s="11" t="s">
        <v>48</v>
      </c>
      <c r="O9" s="31">
        <f>$F$24/12*tabellen!$D55</f>
        <v>68.76604166666667</v>
      </c>
      <c r="P9" s="31">
        <f>$F$24*tabellen!$D55</f>
        <v>825.1925</v>
      </c>
      <c r="Q9" s="29">
        <f t="shared" si="0"/>
        <v>0.0185</v>
      </c>
      <c r="R9" s="47">
        <f t="shared" si="1"/>
        <v>0.021003677967827327</v>
      </c>
      <c r="AA9" s="10" t="s">
        <v>112</v>
      </c>
      <c r="AB9" s="5">
        <v>11</v>
      </c>
    </row>
    <row r="10" spans="4:28" ht="12.75">
      <c r="D10" s="11" t="s">
        <v>26</v>
      </c>
      <c r="F10" s="32">
        <f>+F8*F9</f>
        <v>3274</v>
      </c>
      <c r="J10" s="37" t="s">
        <v>59</v>
      </c>
      <c r="K10" s="14" t="s">
        <v>286</v>
      </c>
      <c r="O10" s="31">
        <f>IF(H5&lt;55,IF($F$33&gt;tabellen!$H$56/12,tabellen!$H$56/12,$F$33)*(tabellen!$D56+tabellen!$D57+tabellen!D58-tabellen!E58),IF($F$33&gt;tabellen!$H$56/12,tabellen!$H$56/12,$F$33)*(tabellen!$D57+tabellen!D58-tabellen!E58))</f>
        <v>25.4217345</v>
      </c>
      <c r="P10" s="31">
        <f>IF(H5&lt;55,IF($H$33&gt;tabellen!$H$56,tabellen!$H$56,$H$33)*(tabellen!$D56+tabellen!$D57+tabellen!D58-tabellen!E58),IF($H$33&gt;tabellen!$H$56,tabellen!$H$56,$H$33)*(tabellen!$D57+tabellen!D58-tabellen!E58))</f>
        <v>305.06081399999994</v>
      </c>
      <c r="Q10" s="29">
        <f t="shared" si="0"/>
        <v>0.0068391618428427295</v>
      </c>
      <c r="R10" s="47">
        <f t="shared" si="1"/>
        <v>0.007764732590103847</v>
      </c>
      <c r="AA10" s="10" t="s">
        <v>113</v>
      </c>
      <c r="AB10" s="16">
        <v>13</v>
      </c>
    </row>
    <row r="11" spans="2:28" ht="12.75">
      <c r="B11" s="14" t="s">
        <v>39</v>
      </c>
      <c r="J11" s="37" t="s">
        <v>60</v>
      </c>
      <c r="K11" s="14" t="s">
        <v>122</v>
      </c>
      <c r="O11" s="31">
        <f>+F36</f>
        <v>187.39</v>
      </c>
      <c r="P11" s="31">
        <f>+H36</f>
        <v>2248.63</v>
      </c>
      <c r="Q11" s="29">
        <f t="shared" si="0"/>
        <v>0.05041206142809102</v>
      </c>
      <c r="R11" s="47">
        <f t="shared" si="1"/>
        <v>0.057234524536754226</v>
      </c>
      <c r="AA11" s="10" t="s">
        <v>114</v>
      </c>
      <c r="AB11" s="16">
        <v>15</v>
      </c>
    </row>
    <row r="12" spans="2:28" ht="12.75">
      <c r="B12" s="14"/>
      <c r="C12" s="35" t="s">
        <v>52</v>
      </c>
      <c r="D12" s="20" t="s">
        <v>0</v>
      </c>
      <c r="E12" s="21" t="s">
        <v>93</v>
      </c>
      <c r="F12" s="32">
        <f>ROUND(IF(E12="j",VLOOKUP(D12,uitlooptoeslag,2,FALSE))*IF(F9&gt;1,1,F9),2)</f>
        <v>0</v>
      </c>
      <c r="J12" s="37" t="s">
        <v>61</v>
      </c>
      <c r="K12" s="14" t="s">
        <v>64</v>
      </c>
      <c r="O12" s="31">
        <f>IF($F$33&gt;tabellen!$H$61*$F$9/12,tabellen!$H$61*$F$9/12,$F$33)*tabellen!$D61</f>
        <v>39.54492033333334</v>
      </c>
      <c r="P12" s="31">
        <f>IF($H$33&gt;tabellen!$H$61*$F$9,tabellen!$H$61*$F$9,$H$33)*tabellen!$D61</f>
        <v>474.539044</v>
      </c>
      <c r="Q12" s="29">
        <f t="shared" si="0"/>
        <v>0.010638696199977581</v>
      </c>
      <c r="R12" s="47">
        <f t="shared" si="1"/>
        <v>0.01207847291793932</v>
      </c>
      <c r="AA12" s="8" t="s">
        <v>3</v>
      </c>
      <c r="AB12" s="5">
        <v>13</v>
      </c>
    </row>
    <row r="13" spans="3:28" ht="12.75">
      <c r="C13" s="35" t="s">
        <v>40</v>
      </c>
      <c r="E13" s="28">
        <v>0.08</v>
      </c>
      <c r="F13" s="31">
        <f>ROUND(IF((F$10+F$12)*E13&lt;F9*tabellen!E81,F9*tabellen!E81,(F$10+F$12)*E13),2)</f>
        <v>261.92</v>
      </c>
      <c r="J13" s="37" t="s">
        <v>62</v>
      </c>
      <c r="K13" s="14" t="s">
        <v>65</v>
      </c>
      <c r="N13" s="129">
        <v>1</v>
      </c>
      <c r="O13" s="31">
        <f>+$F$33*IF(N13=1,tabellen!$D62,IF(N13=2,tabellen!$D63,tabellen!$D64))</f>
        <v>292.34994675</v>
      </c>
      <c r="P13" s="31">
        <f>+$H$33*IF(N13=1,tabellen!$D62,IF(N13=2,tabellen!$D63,tabellen!$D64))</f>
        <v>3508.1993609999995</v>
      </c>
      <c r="Q13" s="29">
        <f t="shared" si="0"/>
        <v>0.07865036119269139</v>
      </c>
      <c r="R13" s="47">
        <f t="shared" si="1"/>
        <v>0.08929442478619425</v>
      </c>
      <c r="AA13" s="8" t="s">
        <v>4</v>
      </c>
      <c r="AB13" s="5">
        <v>15</v>
      </c>
    </row>
    <row r="14" spans="3:28" ht="12.75">
      <c r="C14" s="35" t="s">
        <v>106</v>
      </c>
      <c r="E14" s="29">
        <f>+tabellen!E82</f>
        <v>0.063</v>
      </c>
      <c r="F14" s="31">
        <f>ROUND(+(F$10+F$12)*E14,2)</f>
        <v>206.26</v>
      </c>
      <c r="J14" s="37" t="s">
        <v>63</v>
      </c>
      <c r="K14" s="14" t="s">
        <v>66</v>
      </c>
      <c r="O14" s="31">
        <f>+$F$33*tabellen!$D65</f>
        <v>53.315026520833335</v>
      </c>
      <c r="P14" s="31">
        <f>+$H$33*tabellen!$D65</f>
        <v>639.7803182499999</v>
      </c>
      <c r="Q14" s="29">
        <f t="shared" si="0"/>
        <v>0.014343242198184059</v>
      </c>
      <c r="R14" s="47">
        <f t="shared" si="1"/>
        <v>0.016284369737578904</v>
      </c>
      <c r="AA14" s="8" t="s">
        <v>5</v>
      </c>
      <c r="AB14" s="5">
        <v>17</v>
      </c>
    </row>
    <row r="15" spans="3:28" ht="12.75">
      <c r="C15" s="35" t="s">
        <v>152</v>
      </c>
      <c r="E15" s="29"/>
      <c r="F15" s="31">
        <f>+tabellen!D77*F9</f>
        <v>31.71</v>
      </c>
      <c r="J15" s="37" t="s">
        <v>86</v>
      </c>
      <c r="K15" s="14" t="s">
        <v>280</v>
      </c>
      <c r="O15" s="31">
        <f>+G23/12</f>
        <v>65.9875</v>
      </c>
      <c r="P15" s="31">
        <f>+G23</f>
        <v>791.85</v>
      </c>
      <c r="Q15" s="29">
        <f t="shared" si="0"/>
        <v>0.01775249411500953</v>
      </c>
      <c r="R15" s="47">
        <f t="shared" si="1"/>
        <v>0.020155009163103237</v>
      </c>
      <c r="AA15" s="8" t="s">
        <v>6</v>
      </c>
      <c r="AB15" s="5">
        <v>16</v>
      </c>
    </row>
    <row r="16" spans="3:28" ht="12.75">
      <c r="C16" s="35" t="s">
        <v>150</v>
      </c>
      <c r="D16" s="60">
        <f>IF(G6=100,0,F6)</f>
        <v>0</v>
      </c>
      <c r="E16" s="29"/>
      <c r="F16" s="31">
        <f>VLOOKUP(D16,eindejaarsuitkering_OOP,2,TRUE)*F9/12</f>
        <v>0</v>
      </c>
      <c r="J16" s="37" t="s">
        <v>124</v>
      </c>
      <c r="K16" s="14" t="s">
        <v>279</v>
      </c>
      <c r="O16" s="31">
        <f>+F25/12</f>
        <v>26.191999999999997</v>
      </c>
      <c r="P16" s="31">
        <f>+F25</f>
        <v>314.304</v>
      </c>
      <c r="Q16" s="29">
        <f t="shared" si="0"/>
        <v>0.007046384934424391</v>
      </c>
      <c r="R16" s="47">
        <f>+P16/(12*F$10)</f>
        <v>0.008</v>
      </c>
      <c r="AA16" s="8" t="s">
        <v>7</v>
      </c>
      <c r="AB16" s="16">
        <v>18</v>
      </c>
    </row>
    <row r="17" spans="2:28" ht="12.75">
      <c r="B17" s="14" t="s">
        <v>41</v>
      </c>
      <c r="F17" s="31">
        <f>+F10+SUM(F12:F16)</f>
        <v>3773.89</v>
      </c>
      <c r="J17" s="37"/>
      <c r="K17" s="14" t="s">
        <v>41</v>
      </c>
      <c r="O17" s="31">
        <f>SUM(O6:O16)</f>
        <v>4880.259336437501</v>
      </c>
      <c r="P17" s="31">
        <f>SUM(P6:P16)</f>
        <v>58563.06203724998</v>
      </c>
      <c r="Q17" s="29">
        <f>+P17/P$6-1</f>
        <v>0.3129259508407125</v>
      </c>
      <c r="R17" s="47">
        <f>+P17/(12*F$10)-1</f>
        <v>0.4906093982195576</v>
      </c>
      <c r="AA17" s="8" t="s">
        <v>8</v>
      </c>
      <c r="AB17" s="16">
        <v>18</v>
      </c>
    </row>
    <row r="18" spans="2:28" ht="15.75">
      <c r="B18" s="14" t="s">
        <v>42</v>
      </c>
      <c r="F18" s="31">
        <f>+F17*12</f>
        <v>45286.68</v>
      </c>
      <c r="J18" s="41"/>
      <c r="K18" s="14" t="s">
        <v>97</v>
      </c>
      <c r="O18" s="31">
        <f>+F34</f>
        <v>77.14162604166667</v>
      </c>
      <c r="P18" s="31">
        <f>+H34</f>
        <v>925.6995125</v>
      </c>
      <c r="Q18" s="29">
        <f>+P18/P$6</f>
        <v>0.020753267851137763</v>
      </c>
      <c r="R18" s="47">
        <f>+P18/(12*F$10)</f>
        <v>0.02356188944461413</v>
      </c>
      <c r="AA18" s="8" t="s">
        <v>9</v>
      </c>
      <c r="AB18" s="16">
        <v>18</v>
      </c>
    </row>
    <row r="19" spans="2:28" ht="12.75" customHeight="1">
      <c r="B19" s="14" t="s">
        <v>88</v>
      </c>
      <c r="D19" s="20" t="s">
        <v>89</v>
      </c>
      <c r="E19" s="21" t="s">
        <v>93</v>
      </c>
      <c r="F19" s="32">
        <f>ROUND(IF(E19="j",VLOOKUP(D19,bindingstoelage,2,FALSE))*IF(F9&gt;1,1,F9),2)</f>
        <v>0</v>
      </c>
      <c r="J19" s="17"/>
      <c r="K19" s="14" t="s">
        <v>67</v>
      </c>
      <c r="O19" s="38">
        <f>+O17-O18</f>
        <v>4803.117710395834</v>
      </c>
      <c r="P19" s="38">
        <f>+P17-P18</f>
        <v>57637.36252474998</v>
      </c>
      <c r="Q19" s="29">
        <f>+P19/P$6-1</f>
        <v>0.2921726829895748</v>
      </c>
      <c r="R19" s="47">
        <f>+P19/(12*F$10)-1</f>
        <v>0.4670475087749435</v>
      </c>
      <c r="AA19" s="8" t="s">
        <v>10</v>
      </c>
      <c r="AB19" s="16">
        <v>11</v>
      </c>
    </row>
    <row r="20" spans="2:28" ht="12.75">
      <c r="B20" s="14" t="s">
        <v>307</v>
      </c>
      <c r="D20"/>
      <c r="E20"/>
      <c r="F20" s="32">
        <f>ROUND(F9*tabellen!E87,2)</f>
        <v>110</v>
      </c>
      <c r="K20" s="14" t="s">
        <v>94</v>
      </c>
      <c r="O20" s="29">
        <f>+(O19/O6-1)</f>
        <v>0.29217380394014136</v>
      </c>
      <c r="P20" s="29">
        <f>+(P19/P6-1)</f>
        <v>0.2921726829895748</v>
      </c>
      <c r="Q20" s="29"/>
      <c r="R20" s="47"/>
      <c r="AA20" s="8" t="s">
        <v>11</v>
      </c>
      <c r="AB20" s="16">
        <v>13</v>
      </c>
    </row>
    <row r="21" spans="1:28" s="39" customFormat="1" ht="15">
      <c r="A21" s="11"/>
      <c r="B21" s="14" t="s">
        <v>41</v>
      </c>
      <c r="C21" s="11"/>
      <c r="D21" s="11"/>
      <c r="E21" s="11"/>
      <c r="F21" s="32">
        <f>ROUND(SUM(F18:F20),0)</f>
        <v>45397</v>
      </c>
      <c r="G21" s="11"/>
      <c r="H21" s="11"/>
      <c r="J21" s="11"/>
      <c r="K21" s="14"/>
      <c r="L21" s="11"/>
      <c r="M21" s="11"/>
      <c r="N21" s="11"/>
      <c r="O21" s="29"/>
      <c r="P21" s="29"/>
      <c r="Q21" s="29"/>
      <c r="R21" s="47"/>
      <c r="AA21" s="8" t="s">
        <v>12</v>
      </c>
      <c r="AB21" s="16">
        <v>18</v>
      </c>
    </row>
    <row r="22" spans="2:28" ht="15.75">
      <c r="B22" s="14" t="s">
        <v>70</v>
      </c>
      <c r="E22" s="29">
        <v>0.019</v>
      </c>
      <c r="F22" s="32">
        <f>+(F21/(1+1.9%))*E22</f>
        <v>846.4602551521099</v>
      </c>
      <c r="K22" s="12" t="s">
        <v>68</v>
      </c>
      <c r="L22" s="12"/>
      <c r="M22" s="12"/>
      <c r="N22" s="12"/>
      <c r="O22" s="44">
        <f>+O19/F10-1</f>
        <v>0.46704878142817186</v>
      </c>
      <c r="P22" s="44">
        <f>+P19/(F10*12)-1</f>
        <v>0.4670475087749435</v>
      </c>
      <c r="Q22" s="29"/>
      <c r="R22" s="47"/>
      <c r="AA22" s="8" t="s">
        <v>13</v>
      </c>
      <c r="AB22" s="16">
        <v>20</v>
      </c>
    </row>
    <row r="23" spans="1:28" ht="15">
      <c r="A23" s="39"/>
      <c r="B23" s="14" t="s">
        <v>69</v>
      </c>
      <c r="F23" s="32">
        <v>791.85</v>
      </c>
      <c r="G23" s="104">
        <f>IF(F23&gt;F22,F22,F23)</f>
        <v>791.85</v>
      </c>
      <c r="AA23" s="8" t="s">
        <v>14</v>
      </c>
      <c r="AB23" s="16">
        <v>19</v>
      </c>
    </row>
    <row r="24" spans="1:28" ht="15.75">
      <c r="A24" s="39"/>
      <c r="B24" s="12" t="s">
        <v>71</v>
      </c>
      <c r="C24" s="39"/>
      <c r="D24" s="39"/>
      <c r="E24" s="39"/>
      <c r="F24" s="43">
        <f>ROUND(F21-IF(F23&gt;F22,F22,F23),0)</f>
        <v>44605</v>
      </c>
      <c r="G24" s="39"/>
      <c r="H24" s="39"/>
      <c r="K24" s="14"/>
      <c r="AA24" s="8" t="s">
        <v>0</v>
      </c>
      <c r="AB24" s="16">
        <v>18</v>
      </c>
    </row>
    <row r="25" spans="1:28" ht="15">
      <c r="A25" s="39"/>
      <c r="B25" s="14"/>
      <c r="C25" s="37" t="s">
        <v>277</v>
      </c>
      <c r="D25" s="15"/>
      <c r="E25" s="15"/>
      <c r="F25" s="38">
        <f>IF(F5&lt;1950,0,+(F10+F12)*tabellen!D79)*12</f>
        <v>314.304</v>
      </c>
      <c r="G25" s="39"/>
      <c r="H25" s="39"/>
      <c r="AA25" s="8" t="s">
        <v>15</v>
      </c>
      <c r="AB25" s="16">
        <v>18</v>
      </c>
    </row>
    <row r="26" spans="2:28" ht="12.75">
      <c r="B26" s="14"/>
      <c r="F26" s="19"/>
      <c r="AA26" s="8" t="s">
        <v>16</v>
      </c>
      <c r="AB26" s="16">
        <v>18</v>
      </c>
    </row>
    <row r="27" spans="1:28" ht="15.75" thickBot="1">
      <c r="A27" s="37" t="s">
        <v>55</v>
      </c>
      <c r="B27" s="13" t="s">
        <v>328</v>
      </c>
      <c r="F27" s="36" t="s">
        <v>73</v>
      </c>
      <c r="H27" s="14" t="s">
        <v>74</v>
      </c>
      <c r="AA27" s="8" t="s">
        <v>17</v>
      </c>
      <c r="AB27" s="16">
        <v>18</v>
      </c>
    </row>
    <row r="28" spans="1:28" ht="13.5" thickTop="1">
      <c r="A28" s="37" t="s">
        <v>56</v>
      </c>
      <c r="B28" s="14" t="s">
        <v>71</v>
      </c>
      <c r="F28" s="38">
        <f>+F24/12</f>
        <v>3717.0833333333335</v>
      </c>
      <c r="H28" s="38">
        <f>+F24</f>
        <v>44605</v>
      </c>
      <c r="J28" s="19"/>
      <c r="L28" s="90"/>
      <c r="M28" s="75"/>
      <c r="N28" s="75"/>
      <c r="O28" s="75"/>
      <c r="P28" s="91"/>
      <c r="Z28" s="8"/>
      <c r="AA28" s="8" t="s">
        <v>18</v>
      </c>
      <c r="AB28" s="16">
        <v>18</v>
      </c>
    </row>
    <row r="29" spans="1:28" ht="12.75">
      <c r="A29" s="37" t="s">
        <v>57</v>
      </c>
      <c r="B29" s="14" t="s">
        <v>43</v>
      </c>
      <c r="E29" s="31">
        <f>IF($F$24/$F$9&lt;tabellen!F53,0,(+$F$24-tabellen!F53*F9)/12*tabellen!$E53)</f>
        <v>177.70075</v>
      </c>
      <c r="G29" s="31">
        <f>IF($F$24/$F$9&lt;tabellen!F53,0,(+$F$24-tabellen!F53*F9)*tabellen!$E53)</f>
        <v>2132.409</v>
      </c>
      <c r="I29" s="19"/>
      <c r="L29" s="68"/>
      <c r="M29" s="67"/>
      <c r="N29" s="67"/>
      <c r="O29" s="69"/>
      <c r="P29" s="93"/>
      <c r="AA29" s="8" t="s">
        <v>19</v>
      </c>
      <c r="AB29" s="16">
        <v>1</v>
      </c>
    </row>
    <row r="30" spans="1:28" ht="15">
      <c r="A30" s="37" t="s">
        <v>58</v>
      </c>
      <c r="B30" s="14" t="s">
        <v>301</v>
      </c>
      <c r="E30" s="31">
        <f>IF($F$24/$F$9&lt;tabellen!F54,0,(+$F$24-tabellen!F54*$F$9)/12*tabellen!$E54)</f>
        <v>2.2754166666666666</v>
      </c>
      <c r="G30" s="31">
        <f>IF($F$24/$F$9&lt;tabellen!F54,0,(+$F$24-tabellen!F54*$F$9)*tabellen!$E54)</f>
        <v>27.305</v>
      </c>
      <c r="L30" s="103" t="s">
        <v>164</v>
      </c>
      <c r="M30" s="67"/>
      <c r="N30" s="67"/>
      <c r="O30" s="67"/>
      <c r="P30" s="93"/>
      <c r="S30" s="8"/>
      <c r="T30" s="8"/>
      <c r="U30" s="8"/>
      <c r="V30" s="8"/>
      <c r="W30" s="8"/>
      <c r="X30" s="8"/>
      <c r="Y30" s="8"/>
      <c r="Z30" s="8"/>
      <c r="AA30" s="8" t="s">
        <v>20</v>
      </c>
      <c r="AB30" s="16">
        <v>1</v>
      </c>
    </row>
    <row r="31" spans="1:28" ht="12.75">
      <c r="A31" s="37" t="s">
        <v>59</v>
      </c>
      <c r="B31" s="14" t="s">
        <v>46</v>
      </c>
      <c r="C31" s="11" t="s">
        <v>48</v>
      </c>
      <c r="E31" s="31">
        <f>$F$24/12*tabellen!$E55</f>
        <v>98.50270833333333</v>
      </c>
      <c r="G31" s="31">
        <f>$F$24*tabellen!$E55</f>
        <v>1182.0325</v>
      </c>
      <c r="L31" s="68"/>
      <c r="M31" s="67"/>
      <c r="N31" s="67"/>
      <c r="O31" s="67"/>
      <c r="P31" s="93"/>
      <c r="AA31" s="10">
        <v>1</v>
      </c>
      <c r="AB31" s="16">
        <v>7</v>
      </c>
    </row>
    <row r="32" spans="1:28" ht="13.5" thickBot="1">
      <c r="A32" s="37" t="s">
        <v>60</v>
      </c>
      <c r="B32" s="14" t="s">
        <v>51</v>
      </c>
      <c r="E32" s="31">
        <f>SUM(E29:E31)</f>
        <v>278.478875</v>
      </c>
      <c r="F32" s="19"/>
      <c r="G32" s="31">
        <f>SUM(G29:G31)</f>
        <v>3341.7465</v>
      </c>
      <c r="H32" s="19"/>
      <c r="I32" s="38"/>
      <c r="L32" s="98"/>
      <c r="M32" s="66"/>
      <c r="N32" s="66"/>
      <c r="O32" s="66"/>
      <c r="P32" s="100"/>
      <c r="AA32" s="10">
        <v>2</v>
      </c>
      <c r="AB32" s="16">
        <v>8</v>
      </c>
    </row>
    <row r="33" spans="1:28" ht="13.5" thickTop="1">
      <c r="A33" s="37" t="s">
        <v>61</v>
      </c>
      <c r="B33" s="14" t="s">
        <v>121</v>
      </c>
      <c r="F33" s="31">
        <f>+(F21+F25)/12-E32</f>
        <v>3530.7964583333332</v>
      </c>
      <c r="G33" s="19"/>
      <c r="H33" s="31">
        <f>+F21+F25-G32</f>
        <v>42369.557499999995</v>
      </c>
      <c r="AA33" s="10">
        <v>3</v>
      </c>
      <c r="AB33" s="16">
        <v>9</v>
      </c>
    </row>
    <row r="34" spans="1:28" ht="12.75">
      <c r="A34" s="37" t="s">
        <v>62</v>
      </c>
      <c r="B34" s="14" t="s">
        <v>53</v>
      </c>
      <c r="F34" s="31">
        <f>IF($F$33&lt;tabellen!$F$59/12,0,IF($F$33&gt;tabellen!$I$59,tabellen!$I$59,$F$33)-tabellen!$F$59/12)*tabellen!$E59</f>
        <v>77.14162604166667</v>
      </c>
      <c r="H34" s="31">
        <f>IF($H$33&lt;tabellen!$F$59,0,IF($H$33&gt;tabellen!$H$59,tabellen!$H$59,$H$33)-tabellen!$F$59)*tabellen!$E59</f>
        <v>925.6995125</v>
      </c>
      <c r="Z34" s="8"/>
      <c r="AA34" s="10">
        <v>4</v>
      </c>
      <c r="AB34" s="16">
        <v>11</v>
      </c>
    </row>
    <row r="35" spans="1:28" ht="12.75">
      <c r="A35" s="37" t="s">
        <v>63</v>
      </c>
      <c r="B35" s="14" t="s">
        <v>123</v>
      </c>
      <c r="E35" s="31"/>
      <c r="F35" s="31">
        <f>+F33-F34</f>
        <v>3453.6548322916665</v>
      </c>
      <c r="G35" s="31"/>
      <c r="H35" s="31">
        <f>+H33-H34</f>
        <v>41443.85798749999</v>
      </c>
      <c r="T35" s="10"/>
      <c r="U35" s="16"/>
      <c r="V35" s="33"/>
      <c r="W35" s="33"/>
      <c r="AA35" s="10">
        <v>5</v>
      </c>
      <c r="AB35" s="16">
        <v>12</v>
      </c>
    </row>
    <row r="36" spans="1:28" ht="12.75">
      <c r="A36" s="37" t="s">
        <v>86</v>
      </c>
      <c r="B36" s="14" t="s">
        <v>122</v>
      </c>
      <c r="F36" s="31">
        <f>+F39</f>
        <v>187.39</v>
      </c>
      <c r="G36" s="38"/>
      <c r="H36" s="31">
        <f>+H39</f>
        <v>2248.63</v>
      </c>
      <c r="T36" s="10"/>
      <c r="U36" s="16"/>
      <c r="V36" s="33"/>
      <c r="W36" s="33"/>
      <c r="AA36" s="10">
        <v>6</v>
      </c>
      <c r="AB36" s="16">
        <v>11</v>
      </c>
    </row>
    <row r="37" spans="1:28" ht="12.75">
      <c r="A37" s="37" t="s">
        <v>124</v>
      </c>
      <c r="B37" s="14" t="s">
        <v>127</v>
      </c>
      <c r="F37" s="38">
        <f>+F35+F36</f>
        <v>3641.0448322916664</v>
      </c>
      <c r="H37" s="38">
        <f>+H35+H36</f>
        <v>43692.48798749999</v>
      </c>
      <c r="T37" s="10"/>
      <c r="U37" s="16"/>
      <c r="V37" s="33"/>
      <c r="W37" s="33"/>
      <c r="AA37" s="10">
        <v>7</v>
      </c>
      <c r="AB37" s="16">
        <v>12</v>
      </c>
    </row>
    <row r="38" spans="1:28" ht="12.75">
      <c r="A38" s="37" t="s">
        <v>125</v>
      </c>
      <c r="B38" s="14" t="s">
        <v>128</v>
      </c>
      <c r="F38" s="31">
        <f>+F53</f>
        <v>1281.3378295624996</v>
      </c>
      <c r="H38" s="31">
        <f>+H53</f>
        <v>15376.053954749994</v>
      </c>
      <c r="T38" s="10"/>
      <c r="U38" s="16"/>
      <c r="V38" s="33"/>
      <c r="W38" s="33"/>
      <c r="AA38" s="10">
        <v>8</v>
      </c>
      <c r="AB38" s="16">
        <v>13</v>
      </c>
    </row>
    <row r="39" spans="1:28" ht="12.75">
      <c r="A39" s="37" t="s">
        <v>126</v>
      </c>
      <c r="B39" s="14" t="s">
        <v>129</v>
      </c>
      <c r="F39" s="11">
        <f>ROUND(IF(F35&gt;tabellen!I60,tabellen!I60,F35)*tabellen!E60,2)</f>
        <v>187.39</v>
      </c>
      <c r="H39" s="11">
        <f>ROUND(IF(H35&gt;tabellen!H60,tabellen!H60,H35)*tabellen!E60,2)</f>
        <v>2248.63</v>
      </c>
      <c r="S39" s="15"/>
      <c r="T39" s="10"/>
      <c r="U39" s="16"/>
      <c r="V39" s="33"/>
      <c r="W39" s="33"/>
      <c r="AA39" s="10">
        <v>9</v>
      </c>
      <c r="AB39" s="16">
        <v>10</v>
      </c>
    </row>
    <row r="40" spans="2:28" ht="12.75">
      <c r="B40" s="14" t="s">
        <v>130</v>
      </c>
      <c r="F40" s="38">
        <f>+F37-F38-F39</f>
        <v>2172.3170027291667</v>
      </c>
      <c r="H40" s="38">
        <f>+H37-H38-H39</f>
        <v>26067.804032749995</v>
      </c>
      <c r="R40" s="15"/>
      <c r="S40" s="15"/>
      <c r="T40" s="10"/>
      <c r="U40" s="16"/>
      <c r="V40" s="33"/>
      <c r="W40" s="33"/>
      <c r="AA40" s="10">
        <v>10</v>
      </c>
      <c r="AB40" s="16">
        <v>13</v>
      </c>
    </row>
    <row r="41" spans="18:37" ht="12.75">
      <c r="R41" s="15"/>
      <c r="AA41" s="10">
        <v>11</v>
      </c>
      <c r="AB41" s="16">
        <v>18</v>
      </c>
      <c r="AK41" s="16"/>
    </row>
    <row r="42" spans="27:37" ht="12.75">
      <c r="AA42" s="10">
        <v>12</v>
      </c>
      <c r="AB42" s="16">
        <v>16</v>
      </c>
      <c r="AK42" s="8"/>
    </row>
    <row r="43" spans="27:37" ht="12.75">
      <c r="AA43" s="10">
        <v>13</v>
      </c>
      <c r="AB43" s="16">
        <v>13</v>
      </c>
      <c r="AK43" s="8"/>
    </row>
    <row r="44" spans="2:38" ht="12.75">
      <c r="B44" s="11" t="s">
        <v>288</v>
      </c>
      <c r="AA44" s="10">
        <v>14</v>
      </c>
      <c r="AB44" s="16">
        <v>11</v>
      </c>
      <c r="AK44" s="8"/>
      <c r="AL44" s="16"/>
    </row>
    <row r="45" spans="2:38" ht="12.75">
      <c r="B45" s="11" t="s">
        <v>142</v>
      </c>
      <c r="F45" s="31">
        <f>+F37</f>
        <v>3641.0448322916664</v>
      </c>
      <c r="H45" s="31">
        <f>+H37</f>
        <v>43692.48798749999</v>
      </c>
      <c r="S45" s="15"/>
      <c r="AA45" s="10">
        <v>15</v>
      </c>
      <c r="AB45" s="16">
        <v>12</v>
      </c>
      <c r="AK45" s="8"/>
      <c r="AL45" s="16"/>
    </row>
    <row r="46" spans="2:37" ht="12.75">
      <c r="B46" s="11" t="s">
        <v>137</v>
      </c>
      <c r="F46" s="31">
        <f>+tabellen!C101/12</f>
        <v>172.83333333333334</v>
      </c>
      <c r="H46" s="31">
        <f>+tabellen!C101</f>
        <v>2074</v>
      </c>
      <c r="S46" s="15"/>
      <c r="AA46" s="10" t="s">
        <v>116</v>
      </c>
      <c r="AB46" s="16">
        <v>7</v>
      </c>
      <c r="AK46" s="8"/>
    </row>
    <row r="47" spans="2:37" ht="12.75">
      <c r="B47" s="11" t="s">
        <v>138</v>
      </c>
      <c r="F47" s="31">
        <f>IF(VLOOKUP(F5,arbeidskorting,2,TRUE)*H45&gt;VLOOKUP(F5,arbeidskorting,3,TRUE),VLOOKUP(F5,arbeidskorting,3,TRUE),VLOOKUP(F5,arbeidskorting,2,TRUE)*H45)/12</f>
        <v>120.25</v>
      </c>
      <c r="H47" s="31">
        <f>IF(VLOOKUP(F5,arbeidskorting,2,TRUE)*H45&gt;VLOOKUP(F5,arbeidskorting,3,TRUE),VLOOKUP(F5,arbeidskorting,3,TRUE),VLOOKUP(F5,arbeidskorting,2,TRUE)*H45)</f>
        <v>1443</v>
      </c>
      <c r="R47" s="15"/>
      <c r="S47" s="15"/>
      <c r="AA47" s="10" t="s">
        <v>117</v>
      </c>
      <c r="AB47" s="16">
        <v>8</v>
      </c>
      <c r="AK47" s="10"/>
    </row>
    <row r="48" spans="6:37" ht="12.75">
      <c r="F48" s="31">
        <f>+F45-F46-F47</f>
        <v>3347.961498958333</v>
      </c>
      <c r="H48" s="31">
        <f>+H45-H46-H47</f>
        <v>40175.48798749999</v>
      </c>
      <c r="R48" s="15"/>
      <c r="AA48" s="10" t="s">
        <v>118</v>
      </c>
      <c r="AB48" s="16">
        <v>7</v>
      </c>
      <c r="AK48" s="10"/>
    </row>
    <row r="49" spans="2:37" ht="12.75">
      <c r="B49" s="11" t="s">
        <v>144</v>
      </c>
      <c r="C49" s="31">
        <f>IF(H48&gt;tabellen!C95,tabellen!C95,H48)</f>
        <v>17579</v>
      </c>
      <c r="D49" s="29">
        <f>+tabellen!D95</f>
        <v>0.336</v>
      </c>
      <c r="E49" s="31">
        <f>+C49*D49/12</f>
        <v>492.21200000000005</v>
      </c>
      <c r="G49" s="31">
        <f>+C49*D49</f>
        <v>5906.544000000001</v>
      </c>
      <c r="R49" s="15"/>
      <c r="S49" s="15"/>
      <c r="AA49" s="10"/>
      <c r="AB49" s="16"/>
      <c r="AK49" s="10"/>
    </row>
    <row r="50" spans="2:28" ht="12.75">
      <c r="B50" s="11" t="s">
        <v>145</v>
      </c>
      <c r="C50" s="31">
        <f>IF((IF(H48&gt;tabellen!C96,tabellen!C96,H48)-tabellen!C95)&lt;0,0,IF(H48&gt;tabellen!C96,tabellen!C96,H48)-tabellen!C95)</f>
        <v>14010</v>
      </c>
      <c r="D50" s="29">
        <f>+tabellen!D96</f>
        <v>0.4185</v>
      </c>
      <c r="E50" s="31">
        <f>+C50*D50/12</f>
        <v>488.59874999999994</v>
      </c>
      <c r="G50" s="31">
        <f>+C50*D50</f>
        <v>5863.1849999999995</v>
      </c>
      <c r="R50" s="15"/>
      <c r="AA50" s="10"/>
      <c r="AB50" s="16"/>
    </row>
    <row r="51" spans="2:28" ht="12.75">
      <c r="B51" s="11" t="s">
        <v>146</v>
      </c>
      <c r="C51" s="31">
        <f>IF((IF(H48&gt;tabellen!C97,tabellen!C97,H48)-tabellen!C96)&lt;0,0,IF(H48&gt;tabellen!C97,tabellen!C97,H48)-tabellen!C96)</f>
        <v>8586.48798749999</v>
      </c>
      <c r="D51" s="28">
        <f>+tabellen!D97</f>
        <v>0.42</v>
      </c>
      <c r="E51" s="31">
        <f>+C51*D51/12</f>
        <v>300.52707956249964</v>
      </c>
      <c r="G51" s="31">
        <f>+C51*D51</f>
        <v>3606.3249547499954</v>
      </c>
      <c r="H51" s="17"/>
      <c r="AA51" s="10"/>
      <c r="AB51" s="16"/>
    </row>
    <row r="52" spans="2:28" ht="12.75">
      <c r="B52" s="11" t="s">
        <v>147</v>
      </c>
      <c r="C52" s="31">
        <f>IF((IF(H48&gt;tabellen!C98,tabellen!C98,H48)-tabellen!C97)&lt;0,0,IF(H48&gt;tabellen!C98,tabellen!C98,H48)-tabellen!C97)</f>
        <v>0</v>
      </c>
      <c r="D52" s="28">
        <f>+tabellen!D98</f>
        <v>0.52</v>
      </c>
      <c r="E52" s="31">
        <f>+C52*D52/12</f>
        <v>0</v>
      </c>
      <c r="G52" s="31">
        <f>+C52*D52</f>
        <v>0</v>
      </c>
      <c r="AA52" s="10"/>
      <c r="AB52" s="16"/>
    </row>
    <row r="53" spans="5:28" ht="12.75">
      <c r="E53" s="35" t="s">
        <v>148</v>
      </c>
      <c r="F53" s="31">
        <f>SUM(E49:E52)</f>
        <v>1281.3378295624996</v>
      </c>
      <c r="H53" s="31">
        <f>SUM(G49:G52)</f>
        <v>15376.053954749994</v>
      </c>
      <c r="AA53" s="10"/>
      <c r="AB53" s="16"/>
    </row>
    <row r="54" spans="6:28" ht="12.75">
      <c r="F54" s="31"/>
      <c r="H54" s="31"/>
      <c r="AA54" s="10"/>
      <c r="AB54" s="16"/>
    </row>
    <row r="55" spans="7:8" ht="12.75">
      <c r="G55" s="17"/>
      <c r="H55" s="17"/>
    </row>
    <row r="109" ht="12.75">
      <c r="K109" s="11">
        <v>0</v>
      </c>
    </row>
    <row r="110" ht="12.75">
      <c r="K110" s="11">
        <v>1</v>
      </c>
    </row>
    <row r="111" ht="12.75">
      <c r="K111" s="11">
        <v>2</v>
      </c>
    </row>
    <row r="112" ht="12.75">
      <c r="K112" s="11">
        <v>3</v>
      </c>
    </row>
    <row r="113" ht="12.75">
      <c r="K113" s="11">
        <v>4</v>
      </c>
    </row>
    <row r="114" ht="12.75">
      <c r="K114" s="11">
        <v>5</v>
      </c>
    </row>
    <row r="115" ht="12.75">
      <c r="K115" s="11">
        <v>6</v>
      </c>
    </row>
    <row r="116" ht="12.75">
      <c r="K116" s="11">
        <v>7</v>
      </c>
    </row>
    <row r="117" ht="12.75">
      <c r="K117" s="11">
        <v>8</v>
      </c>
    </row>
    <row r="118" ht="12.75">
      <c r="K118" s="11">
        <v>9</v>
      </c>
    </row>
    <row r="119" ht="12.75">
      <c r="K119" s="11">
        <v>10</v>
      </c>
    </row>
    <row r="120" ht="12.75">
      <c r="K120" s="11">
        <v>11</v>
      </c>
    </row>
    <row r="121" ht="12.75">
      <c r="K121" s="11">
        <v>12</v>
      </c>
    </row>
    <row r="122" ht="12.75">
      <c r="K122" s="11">
        <v>13</v>
      </c>
    </row>
    <row r="123" ht="12.75">
      <c r="K123" s="11">
        <v>14</v>
      </c>
    </row>
    <row r="124" ht="12.75">
      <c r="K124" s="11">
        <v>15</v>
      </c>
    </row>
    <row r="125" ht="12.75">
      <c r="K125" s="11">
        <v>16</v>
      </c>
    </row>
    <row r="126" ht="12.75">
      <c r="K126" s="11">
        <v>17</v>
      </c>
    </row>
    <row r="127" ht="12.75">
      <c r="K127" s="11">
        <v>18</v>
      </c>
    </row>
    <row r="128" ht="12.75">
      <c r="K128" s="11">
        <v>19</v>
      </c>
    </row>
    <row r="131" ht="12.75">
      <c r="I131" s="11" t="s">
        <v>30</v>
      </c>
    </row>
    <row r="132" ht="12.75">
      <c r="I132" s="18" t="e">
        <f aca="true" t="shared" si="2" ref="I132:I151">+F140-G140</f>
        <v>#REF!</v>
      </c>
    </row>
    <row r="133" ht="12.75">
      <c r="I133" s="18" t="e">
        <f t="shared" si="2"/>
        <v>#REF!</v>
      </c>
    </row>
    <row r="134" ht="12.75">
      <c r="I134" s="18" t="e">
        <f t="shared" si="2"/>
        <v>#REF!</v>
      </c>
    </row>
    <row r="135" ht="12.75">
      <c r="I135" s="18" t="e">
        <f t="shared" si="2"/>
        <v>#REF!</v>
      </c>
    </row>
    <row r="136" ht="12.75">
      <c r="I136" s="18" t="e">
        <f t="shared" si="2"/>
        <v>#REF!</v>
      </c>
    </row>
    <row r="137" ht="12.75">
      <c r="I137" s="18" t="e">
        <f t="shared" si="2"/>
        <v>#REF!</v>
      </c>
    </row>
    <row r="138" ht="12.75">
      <c r="I138" s="18" t="e">
        <f t="shared" si="2"/>
        <v>#REF!</v>
      </c>
    </row>
    <row r="139" spans="2:9" ht="12.75">
      <c r="B139" s="11" t="s">
        <v>21</v>
      </c>
      <c r="I139" s="18" t="e">
        <f t="shared" si="2"/>
        <v>#REF!</v>
      </c>
    </row>
    <row r="140" spans="2:9" ht="12.75">
      <c r="B140" s="11" t="str">
        <f>+$F$6</f>
        <v>LA</v>
      </c>
      <c r="C140" s="11" t="s">
        <v>29</v>
      </c>
      <c r="D140" s="11" t="s">
        <v>28</v>
      </c>
      <c r="F140" s="18" t="e">
        <f>IF(C141&gt;$I$7,VLOOKUP($B140,salaristabellen,$I$7+1,FALSE),VLOOKUP($B140,salaristabellen,C141+1,FALSE))*12*(1+#REF!)</f>
        <v>#REF!</v>
      </c>
      <c r="G140" s="18" t="e">
        <f>IF(D141&gt;$I$7,VLOOKUP($B140,salaristabellen,$I$7+1,FALSE),VLOOKUP($B140,salaristabellen,D141+1,FALSE))*12*(1+#REF!)</f>
        <v>#REF!</v>
      </c>
      <c r="I140" s="18" t="e">
        <f t="shared" si="2"/>
        <v>#REF!</v>
      </c>
    </row>
    <row r="141" spans="2:9" ht="12.75">
      <c r="B141" s="11" t="str">
        <f aca="true" t="shared" si="3" ref="B141:B159">+$F$6</f>
        <v>LA</v>
      </c>
      <c r="C141" s="11" t="e">
        <f>+$F$7+#REF!+K109</f>
        <v>#REF!</v>
      </c>
      <c r="D141" s="11">
        <f>+$F$7+K109</f>
        <v>18</v>
      </c>
      <c r="F141" s="18" t="e">
        <f>IF(C142&gt;$I$7,VLOOKUP($B141,salaristabellen,$I$7+1,FALSE),VLOOKUP($B141,salaristabellen,C142+1,FALSE))*12*(1+#REF!)</f>
        <v>#REF!</v>
      </c>
      <c r="G141" s="18" t="e">
        <f>IF(D142&gt;$I$7,VLOOKUP($B141,salaristabellen,$I$7+1,FALSE),VLOOKUP($B141,salaristabellen,D142+1,FALSE))*12*(1+#REF!)</f>
        <v>#REF!</v>
      </c>
      <c r="I141" s="18" t="e">
        <f t="shared" si="2"/>
        <v>#REF!</v>
      </c>
    </row>
    <row r="142" spans="2:9" ht="12.75">
      <c r="B142" s="11" t="str">
        <f t="shared" si="3"/>
        <v>LA</v>
      </c>
      <c r="C142" s="11" t="e">
        <f>+$F$7+#REF!+K110</f>
        <v>#REF!</v>
      </c>
      <c r="D142" s="11">
        <f aca="true" t="shared" si="4" ref="D142:D160">+$F$7+K110</f>
        <v>19</v>
      </c>
      <c r="F142" s="18" t="e">
        <f>IF(C143&gt;$I$7,VLOOKUP($B142,salaristabellen,$I$7+1,FALSE),VLOOKUP($B142,salaristabellen,C143+1,FALSE))*12*(1+#REF!)</f>
        <v>#REF!</v>
      </c>
      <c r="G142" s="18" t="e">
        <f>IF(D143&gt;$I$7,VLOOKUP($B142,salaristabellen,$I$7+1,FALSE),VLOOKUP($B142,salaristabellen,D143+1,FALSE))*12*(1+#REF!)</f>
        <v>#REF!</v>
      </c>
      <c r="I142" s="18" t="e">
        <f t="shared" si="2"/>
        <v>#REF!</v>
      </c>
    </row>
    <row r="143" spans="2:9" ht="12.75">
      <c r="B143" s="11" t="str">
        <f t="shared" si="3"/>
        <v>LA</v>
      </c>
      <c r="C143" s="11" t="e">
        <f>+$F$7+#REF!+K111</f>
        <v>#REF!</v>
      </c>
      <c r="D143" s="11">
        <f t="shared" si="4"/>
        <v>20</v>
      </c>
      <c r="F143" s="18" t="e">
        <f>IF(C144&gt;$I$7,VLOOKUP($B143,salaristabellen,$I$7+1,FALSE),VLOOKUP($B143,salaristabellen,C144+1,FALSE))*12*(1+#REF!)</f>
        <v>#REF!</v>
      </c>
      <c r="G143" s="18" t="e">
        <f>IF(D144&gt;$I$7,VLOOKUP($B143,salaristabellen,$I$7+1,FALSE),VLOOKUP($B143,salaristabellen,D144+1,FALSE))*12*(1+#REF!)</f>
        <v>#REF!</v>
      </c>
      <c r="I143" s="18" t="e">
        <f t="shared" si="2"/>
        <v>#REF!</v>
      </c>
    </row>
    <row r="144" spans="2:9" ht="12.75">
      <c r="B144" s="11" t="str">
        <f t="shared" si="3"/>
        <v>LA</v>
      </c>
      <c r="C144" s="11" t="e">
        <f>+$F$7+#REF!+K112</f>
        <v>#REF!</v>
      </c>
      <c r="D144" s="11">
        <f t="shared" si="4"/>
        <v>21</v>
      </c>
      <c r="F144" s="18" t="e">
        <f>IF(C145&gt;$I$7,VLOOKUP($B144,salaristabellen,$I$7+1,FALSE),VLOOKUP($B144,salaristabellen,C145+1,FALSE))*12*(1+#REF!)</f>
        <v>#REF!</v>
      </c>
      <c r="G144" s="18" t="e">
        <f>IF(D145&gt;$I$7,VLOOKUP($B144,salaristabellen,$I$7+1,FALSE),VLOOKUP($B144,salaristabellen,D145+1,FALSE))*12*(1+#REF!)</f>
        <v>#REF!</v>
      </c>
      <c r="I144" s="18" t="e">
        <f t="shared" si="2"/>
        <v>#REF!</v>
      </c>
    </row>
    <row r="145" spans="2:9" ht="12.75">
      <c r="B145" s="11" t="str">
        <f t="shared" si="3"/>
        <v>LA</v>
      </c>
      <c r="C145" s="11" t="e">
        <f>+$F$7+#REF!+K113</f>
        <v>#REF!</v>
      </c>
      <c r="D145" s="11">
        <f t="shared" si="4"/>
        <v>22</v>
      </c>
      <c r="F145" s="18" t="e">
        <f>IF(C146&gt;$I$7,VLOOKUP($B145,salaristabellen,$I$7+1,FALSE),VLOOKUP($B145,salaristabellen,C146+1,FALSE))*12*(1+#REF!)</f>
        <v>#REF!</v>
      </c>
      <c r="G145" s="18" t="e">
        <f>IF(D146&gt;$I$7,VLOOKUP($B145,salaristabellen,$I$7+1,FALSE),VLOOKUP($B145,salaristabellen,D146+1,FALSE))*12*(1+#REF!)</f>
        <v>#REF!</v>
      </c>
      <c r="I145" s="18" t="e">
        <f t="shared" si="2"/>
        <v>#REF!</v>
      </c>
    </row>
    <row r="146" spans="2:9" ht="12.75">
      <c r="B146" s="11" t="str">
        <f t="shared" si="3"/>
        <v>LA</v>
      </c>
      <c r="C146" s="11" t="e">
        <f>+$F$7+#REF!+K114</f>
        <v>#REF!</v>
      </c>
      <c r="D146" s="11">
        <f t="shared" si="4"/>
        <v>23</v>
      </c>
      <c r="F146" s="18" t="e">
        <f>IF(C147&gt;$I$7,VLOOKUP($B146,salaristabellen,$I$7+1,FALSE),VLOOKUP($B146,salaristabellen,C147+1,FALSE))*12*(1+#REF!)</f>
        <v>#REF!</v>
      </c>
      <c r="G146" s="18" t="e">
        <f>IF(D147&gt;$I$7,VLOOKUP($B146,salaristabellen,$I$7+1,FALSE),VLOOKUP($B146,salaristabellen,D147+1,FALSE))*12*(1+#REF!)</f>
        <v>#REF!</v>
      </c>
      <c r="I146" s="18" t="e">
        <f t="shared" si="2"/>
        <v>#REF!</v>
      </c>
    </row>
    <row r="147" spans="2:9" ht="12.75">
      <c r="B147" s="11" t="str">
        <f t="shared" si="3"/>
        <v>LA</v>
      </c>
      <c r="C147" s="11" t="e">
        <f>+$F$7+#REF!+K115</f>
        <v>#REF!</v>
      </c>
      <c r="D147" s="11">
        <f t="shared" si="4"/>
        <v>24</v>
      </c>
      <c r="F147" s="18" t="e">
        <f>IF(C148&gt;$I$7,VLOOKUP($B147,salaristabellen,$I$7+1,FALSE),VLOOKUP($B147,salaristabellen,C148+1,FALSE))*12*(1+#REF!)</f>
        <v>#REF!</v>
      </c>
      <c r="G147" s="18" t="e">
        <f>IF(D148&gt;$I$7,VLOOKUP($B147,salaristabellen,$I$7+1,FALSE),VLOOKUP($B147,salaristabellen,D148+1,FALSE))*12*(1+#REF!)</f>
        <v>#REF!</v>
      </c>
      <c r="I147" s="18" t="e">
        <f t="shared" si="2"/>
        <v>#REF!</v>
      </c>
    </row>
    <row r="148" spans="2:9" ht="12.75">
      <c r="B148" s="11" t="str">
        <f t="shared" si="3"/>
        <v>LA</v>
      </c>
      <c r="C148" s="11" t="e">
        <f>+$F$7+#REF!+K116</f>
        <v>#REF!</v>
      </c>
      <c r="D148" s="11">
        <f t="shared" si="4"/>
        <v>25</v>
      </c>
      <c r="F148" s="18" t="e">
        <f>IF(C149&gt;$I$7,VLOOKUP($B148,salaristabellen,$I$7+1,FALSE),VLOOKUP($B148,salaristabellen,C149+1,FALSE))*12*(1+#REF!)</f>
        <v>#REF!</v>
      </c>
      <c r="G148" s="18" t="e">
        <f>IF(D149&gt;$I$7,VLOOKUP($B148,salaristabellen,$I$7+1,FALSE),VLOOKUP($B148,salaristabellen,D149+1,FALSE))*12*(1+#REF!)</f>
        <v>#REF!</v>
      </c>
      <c r="I148" s="18" t="e">
        <f t="shared" si="2"/>
        <v>#REF!</v>
      </c>
    </row>
    <row r="149" spans="2:9" ht="12.75">
      <c r="B149" s="11" t="str">
        <f t="shared" si="3"/>
        <v>LA</v>
      </c>
      <c r="C149" s="11" t="e">
        <f>+$F$7+#REF!+K117</f>
        <v>#REF!</v>
      </c>
      <c r="D149" s="11">
        <f t="shared" si="4"/>
        <v>26</v>
      </c>
      <c r="F149" s="18" t="e">
        <f>IF(C150&gt;$I$7,VLOOKUP($B149,salaristabellen,$I$7+1,FALSE),VLOOKUP($B149,salaristabellen,C150+1,FALSE))*12*(1+#REF!)</f>
        <v>#REF!</v>
      </c>
      <c r="G149" s="18" t="e">
        <f>IF(D150&gt;$I$7,VLOOKUP($B149,salaristabellen,$I$7+1,FALSE),VLOOKUP($B149,salaristabellen,D150+1,FALSE))*12*(1+#REF!)</f>
        <v>#REF!</v>
      </c>
      <c r="I149" s="18" t="e">
        <f t="shared" si="2"/>
        <v>#REF!</v>
      </c>
    </row>
    <row r="150" spans="2:9" ht="12.75">
      <c r="B150" s="11" t="str">
        <f t="shared" si="3"/>
        <v>LA</v>
      </c>
      <c r="C150" s="11" t="e">
        <f>+$F$7+#REF!+K118</f>
        <v>#REF!</v>
      </c>
      <c r="D150" s="11">
        <f t="shared" si="4"/>
        <v>27</v>
      </c>
      <c r="F150" s="18" t="e">
        <f>IF(C151&gt;$I$7,VLOOKUP($B150,salaristabellen,$I$7+1,FALSE),VLOOKUP($B150,salaristabellen,C151+1,FALSE))*12*(1+#REF!)</f>
        <v>#REF!</v>
      </c>
      <c r="G150" s="18" t="e">
        <f>IF(D151&gt;$I$7,VLOOKUP($B150,salaristabellen,$I$7+1,FALSE),VLOOKUP($B150,salaristabellen,D151+1,FALSE))*12*(1+#REF!)</f>
        <v>#REF!</v>
      </c>
      <c r="I150" s="18" t="e">
        <f t="shared" si="2"/>
        <v>#REF!</v>
      </c>
    </row>
    <row r="151" spans="2:9" ht="12.75">
      <c r="B151" s="11" t="str">
        <f t="shared" si="3"/>
        <v>LA</v>
      </c>
      <c r="C151" s="11" t="e">
        <f>+$F$7+#REF!+K119</f>
        <v>#REF!</v>
      </c>
      <c r="D151" s="11">
        <f t="shared" si="4"/>
        <v>28</v>
      </c>
      <c r="F151" s="18" t="e">
        <f>IF(C152&gt;$I$7,VLOOKUP($B151,salaristabellen,$I$7+1,FALSE),VLOOKUP($B151,salaristabellen,C152+1,FALSE))*12*(1+#REF!)</f>
        <v>#REF!</v>
      </c>
      <c r="G151" s="18" t="e">
        <f>IF(D152&gt;$I$7,VLOOKUP($B151,salaristabellen,$I$7+1,FALSE),VLOOKUP($B151,salaristabellen,D152+1,FALSE))*12*(1+#REF!)</f>
        <v>#REF!</v>
      </c>
      <c r="I151" s="18" t="e">
        <f t="shared" si="2"/>
        <v>#REF!</v>
      </c>
    </row>
    <row r="152" spans="2:7" ht="12.75">
      <c r="B152" s="11" t="str">
        <f t="shared" si="3"/>
        <v>LA</v>
      </c>
      <c r="C152" s="11" t="e">
        <f>+$F$7+#REF!+K120</f>
        <v>#REF!</v>
      </c>
      <c r="D152" s="11">
        <f t="shared" si="4"/>
        <v>29</v>
      </c>
      <c r="F152" s="18" t="e">
        <f>IF(C153&gt;$I$7,VLOOKUP($B152,salaristabellen,$I$7+1,FALSE),VLOOKUP($B152,salaristabellen,C153+1,FALSE))*12*(1+#REF!)</f>
        <v>#REF!</v>
      </c>
      <c r="G152" s="18" t="e">
        <f>IF(D153&gt;$I$7,VLOOKUP($B152,salaristabellen,$I$7+1,FALSE),VLOOKUP($B152,salaristabellen,D153+1,FALSE))*12*(1+#REF!)</f>
        <v>#REF!</v>
      </c>
    </row>
    <row r="153" spans="2:9" ht="12.75">
      <c r="B153" s="11" t="str">
        <f t="shared" si="3"/>
        <v>LA</v>
      </c>
      <c r="C153" s="11" t="e">
        <f>+$F$7+#REF!+K121</f>
        <v>#REF!</v>
      </c>
      <c r="D153" s="11">
        <f t="shared" si="4"/>
        <v>30</v>
      </c>
      <c r="F153" s="18" t="e">
        <f>IF(C154&gt;$I$7,VLOOKUP($B153,salaristabellen,$I$7+1,FALSE),VLOOKUP($B153,salaristabellen,C154+1,FALSE))*12*(1+#REF!)</f>
        <v>#REF!</v>
      </c>
      <c r="G153" s="18" t="e">
        <f>IF(D154&gt;$I$7,VLOOKUP($B153,salaristabellen,$I$7+1,FALSE),VLOOKUP($B153,salaristabellen,D154+1,FALSE))*12*(1+#REF!)</f>
        <v>#REF!</v>
      </c>
      <c r="I153" s="18" t="e">
        <f>SUM(I132:I151)</f>
        <v>#REF!</v>
      </c>
    </row>
    <row r="154" spans="2:9" ht="12.75">
      <c r="B154" s="11" t="str">
        <f t="shared" si="3"/>
        <v>LA</v>
      </c>
      <c r="C154" s="11" t="e">
        <f>+$F$7+#REF!+K122</f>
        <v>#REF!</v>
      </c>
      <c r="D154" s="11">
        <f t="shared" si="4"/>
        <v>31</v>
      </c>
      <c r="F154" s="18" t="e">
        <f>IF(C155&gt;$I$7,VLOOKUP($B154,salaristabellen,$I$7+1,FALSE),VLOOKUP($B154,salaristabellen,C155+1,FALSE))*12*(1+#REF!)</f>
        <v>#REF!</v>
      </c>
      <c r="G154" s="18" t="e">
        <f>IF(D155&gt;$I$7,VLOOKUP($B154,salaristabellen,$I$7+1,FALSE),VLOOKUP($B154,salaristabellen,D155+1,FALSE))*12*(1+#REF!)</f>
        <v>#REF!</v>
      </c>
      <c r="I154" s="18">
        <f>IF(F55=0,0,+I153/F55)</f>
        <v>0</v>
      </c>
    </row>
    <row r="155" spans="2:7" ht="12.75">
      <c r="B155" s="11" t="str">
        <f t="shared" si="3"/>
        <v>LA</v>
      </c>
      <c r="C155" s="11" t="e">
        <f>+$F$7+#REF!+K123</f>
        <v>#REF!</v>
      </c>
      <c r="D155" s="11">
        <f t="shared" si="4"/>
        <v>32</v>
      </c>
      <c r="F155" s="18" t="e">
        <f>IF(C156&gt;$I$7,VLOOKUP($B155,salaristabellen,$I$7+1,FALSE),VLOOKUP($B155,salaristabellen,C156+1,FALSE))*12*(1+#REF!)</f>
        <v>#REF!</v>
      </c>
      <c r="G155" s="18" t="e">
        <f>IF(D156&gt;$I$7,VLOOKUP($B155,salaristabellen,$I$7+1,FALSE),VLOOKUP($B155,salaristabellen,D156+1,FALSE))*12*(1+#REF!)</f>
        <v>#REF!</v>
      </c>
    </row>
    <row r="156" spans="2:7" ht="12.75">
      <c r="B156" s="11" t="str">
        <f t="shared" si="3"/>
        <v>LA</v>
      </c>
      <c r="C156" s="11" t="e">
        <f>+$F$7+#REF!+K124</f>
        <v>#REF!</v>
      </c>
      <c r="D156" s="11">
        <f t="shared" si="4"/>
        <v>33</v>
      </c>
      <c r="F156" s="18" t="e">
        <f>IF(C157&gt;$I$7,VLOOKUP($B156,salaristabellen,$I$7+1,FALSE),VLOOKUP($B156,salaristabellen,C157+1,FALSE))*12*(1+#REF!)</f>
        <v>#REF!</v>
      </c>
      <c r="G156" s="18" t="e">
        <f>IF(D157&gt;$I$7,VLOOKUP($B156,salaristabellen,$I$7+1,FALSE),VLOOKUP($B156,salaristabellen,D157+1,FALSE))*12*(1+#REF!)</f>
        <v>#REF!</v>
      </c>
    </row>
    <row r="157" spans="2:7" ht="12.75">
      <c r="B157" s="11" t="str">
        <f t="shared" si="3"/>
        <v>LA</v>
      </c>
      <c r="C157" s="11" t="e">
        <f>+$F$7+#REF!+K125</f>
        <v>#REF!</v>
      </c>
      <c r="D157" s="11">
        <f t="shared" si="4"/>
        <v>34</v>
      </c>
      <c r="F157" s="18" t="e">
        <f>IF(C158&gt;$I$7,VLOOKUP($B157,salaristabellen,$I$7+1,FALSE),VLOOKUP($B157,salaristabellen,C158+1,FALSE))*12*(1+#REF!)</f>
        <v>#REF!</v>
      </c>
      <c r="G157" s="18" t="e">
        <f>IF(D158&gt;$I$7,VLOOKUP($B157,salaristabellen,$I$7+1,FALSE),VLOOKUP($B157,salaristabellen,D158+1,FALSE))*12*(1+#REF!)</f>
        <v>#REF!</v>
      </c>
    </row>
    <row r="158" spans="2:7" ht="12.75">
      <c r="B158" s="11" t="str">
        <f t="shared" si="3"/>
        <v>LA</v>
      </c>
      <c r="C158" s="11" t="e">
        <f>+$F$7+#REF!+K126</f>
        <v>#REF!</v>
      </c>
      <c r="D158" s="11">
        <f t="shared" si="4"/>
        <v>35</v>
      </c>
      <c r="F158" s="18" t="e">
        <f>IF(C159&gt;$I$7,VLOOKUP($B158,salaristabellen,$I$7+1,FALSE),VLOOKUP($B158,salaristabellen,C159+1,FALSE))*12*(1+#REF!)</f>
        <v>#REF!</v>
      </c>
      <c r="G158" s="18" t="e">
        <f>IF(D159&gt;$I$7,VLOOKUP($B158,salaristabellen,$I$7+1,FALSE),VLOOKUP($B158,salaristabellen,D159+1,FALSE))*12*(1+#REF!)</f>
        <v>#REF!</v>
      </c>
    </row>
    <row r="159" spans="2:7" ht="12.75">
      <c r="B159" s="11" t="str">
        <f t="shared" si="3"/>
        <v>LA</v>
      </c>
      <c r="C159" s="11" t="e">
        <f>+$F$7+#REF!+K127</f>
        <v>#REF!</v>
      </c>
      <c r="D159" s="11">
        <f t="shared" si="4"/>
        <v>36</v>
      </c>
      <c r="F159" s="18" t="e">
        <f>IF(C160&gt;$I$7,VLOOKUP($B159,salaristabellen,$I$7+1,FALSE),VLOOKUP($B159,salaristabellen,C160+1,FALSE))*12*(1+#REF!)</f>
        <v>#REF!</v>
      </c>
      <c r="G159" s="18" t="e">
        <f>IF(D160&gt;$I$7,VLOOKUP($B159,salaristabellen,$I$7+1,FALSE),VLOOKUP($B159,salaristabellen,D160+1,FALSE))*12*(1+#REF!)</f>
        <v>#REF!</v>
      </c>
    </row>
    <row r="160" spans="3:4" ht="12.75">
      <c r="C160" s="11" t="e">
        <f>+$F$7+#REF!+K128</f>
        <v>#REF!</v>
      </c>
      <c r="D160" s="11">
        <f t="shared" si="4"/>
        <v>37</v>
      </c>
    </row>
    <row r="162" ht="12.75">
      <c r="G162" s="11" t="s">
        <v>31</v>
      </c>
    </row>
  </sheetData>
  <sheetProtection password="DE55" sheet="1" objects="1" scenarios="1"/>
  <dataValidations count="5">
    <dataValidation type="list" allowBlank="1" showInputMessage="1" showErrorMessage="1" sqref="F6">
      <formula1>$AA$4:$AA$48</formula1>
    </dataValidation>
    <dataValidation type="list" allowBlank="1" showInputMessage="1" showErrorMessage="1" sqref="D19">
      <formula1>$AD$6:$AD$8</formula1>
    </dataValidation>
    <dataValidation type="list" allowBlank="1" showInputMessage="1" showErrorMessage="1" sqref="D12">
      <formula1>$AA$24:$AA$27</formula1>
    </dataValidation>
    <dataValidation type="list" allowBlank="1" showInputMessage="1" showErrorMessage="1" sqref="E12 E19">
      <formula1>$AE$6:$AE$7</formula1>
    </dataValidation>
    <dataValidation type="list" allowBlank="1" showInputMessage="1" showErrorMessage="1" sqref="N13">
      <formula1>"1,2,3"</formula1>
    </dataValidation>
  </dataValidations>
  <printOptions gridLines="1"/>
  <pageMargins left="0.75" right="0.75" top="1" bottom="1" header="0.5" footer="0.5"/>
  <pageSetup fitToHeight="1" fitToWidth="1" horizontalDpi="600" verticalDpi="600" orientation="landscape" paperSize="9" scale="73" r:id="rId4"/>
  <headerFooter alignWithMargins="0">
    <oddHeader>&amp;L&amp;"Arial,Vet"&amp;A&amp;C&amp;"Arial,Vet"&amp;D&amp;R&amp;"Arial,Vet"&amp;F</oddHeader>
    <oddFooter>&amp;L&amp;"Arial,Vet"&amp;8gemaakt door keizer, vos/abb&amp;R&amp;"Arial,Vet"&amp;P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2:AB44"/>
  <sheetViews>
    <sheetView zoomScale="85" zoomScaleNormal="85" workbookViewId="0" topLeftCell="A1">
      <selection activeCell="G4" sqref="G4:I4"/>
    </sheetView>
  </sheetViews>
  <sheetFormatPr defaultColWidth="9.140625" defaultRowHeight="12.75"/>
  <cols>
    <col min="1" max="1" width="5.00390625" style="0" customWidth="1"/>
    <col min="2" max="2" width="9.7109375" style="0" customWidth="1"/>
    <col min="3" max="3" width="10.28125" style="0" customWidth="1"/>
    <col min="4" max="4" width="10.28125" style="0" bestFit="1" customWidth="1"/>
    <col min="5" max="5" width="5.28125" style="0" customWidth="1"/>
    <col min="6" max="6" width="10.57421875" style="0" bestFit="1" customWidth="1"/>
    <col min="7" max="7" width="12.140625" style="0" bestFit="1" customWidth="1"/>
    <col min="8" max="8" width="12.28125" style="0" bestFit="1" customWidth="1"/>
    <col min="9" max="9" width="17.28125" style="0" customWidth="1"/>
    <col min="10" max="10" width="4.8515625" style="0" customWidth="1"/>
    <col min="11" max="11" width="14.8515625" style="0" customWidth="1"/>
    <col min="12" max="12" width="14.140625" style="0" bestFit="1" customWidth="1"/>
    <col min="13" max="13" width="2.28125" style="0" customWidth="1"/>
  </cols>
  <sheetData>
    <row r="1" ht="9.75" customHeight="1"/>
    <row r="2" ht="15.75">
      <c r="B2" s="62" t="s">
        <v>159</v>
      </c>
    </row>
    <row r="3" spans="24:28" s="26" customFormat="1" ht="13.5" customHeight="1">
      <c r="X3" s="63" t="s">
        <v>160</v>
      </c>
      <c r="AA3" s="10" t="s">
        <v>115</v>
      </c>
      <c r="AB3" s="51">
        <v>11</v>
      </c>
    </row>
    <row r="4" spans="2:28" s="26" customFormat="1" ht="13.5" customHeight="1">
      <c r="B4" s="26" t="s">
        <v>161</v>
      </c>
      <c r="G4" s="134" t="s">
        <v>162</v>
      </c>
      <c r="H4" s="135"/>
      <c r="I4" s="135"/>
      <c r="X4" s="63" t="s">
        <v>163</v>
      </c>
      <c r="AA4" s="10" t="s">
        <v>108</v>
      </c>
      <c r="AB4" s="51">
        <v>13</v>
      </c>
    </row>
    <row r="5" spans="2:28" ht="13.5" customHeight="1">
      <c r="B5" t="s">
        <v>23</v>
      </c>
      <c r="D5" s="11" t="s">
        <v>21</v>
      </c>
      <c r="G5" s="106" t="s">
        <v>0</v>
      </c>
      <c r="AA5" s="10" t="s">
        <v>109</v>
      </c>
      <c r="AB5" s="51">
        <v>15</v>
      </c>
    </row>
    <row r="6" spans="4:28" ht="13.5" customHeight="1">
      <c r="D6" t="s">
        <v>22</v>
      </c>
      <c r="G6" s="21">
        <v>8</v>
      </c>
      <c r="H6" s="64"/>
      <c r="AA6" s="10" t="s">
        <v>110</v>
      </c>
      <c r="AB6" s="51">
        <v>17</v>
      </c>
    </row>
    <row r="7" spans="4:28" ht="13.5" customHeight="1" thickBot="1">
      <c r="D7" t="s">
        <v>24</v>
      </c>
      <c r="G7" s="65">
        <f>VLOOKUP(G5,salaristabellen,G6+1,FALSE)</f>
        <v>2591</v>
      </c>
      <c r="I7" s="66"/>
      <c r="J7" s="66"/>
      <c r="K7" s="66"/>
      <c r="L7" s="66"/>
      <c r="M7" s="67"/>
      <c r="N7" s="67"/>
      <c r="AA7" s="10" t="s">
        <v>111</v>
      </c>
      <c r="AB7" s="51">
        <v>10</v>
      </c>
    </row>
    <row r="8" spans="2:28" ht="13.5" customHeight="1" thickTop="1">
      <c r="B8" t="s">
        <v>25</v>
      </c>
      <c r="G8" s="22">
        <v>1</v>
      </c>
      <c r="I8" s="90"/>
      <c r="J8" s="75"/>
      <c r="K8" s="75"/>
      <c r="L8" s="124"/>
      <c r="M8" s="68"/>
      <c r="N8" s="67"/>
      <c r="AA8" s="10" t="s">
        <v>112</v>
      </c>
      <c r="AB8" s="51">
        <v>11</v>
      </c>
    </row>
    <row r="9" spans="4:28" ht="13.5" customHeight="1">
      <c r="D9" t="s">
        <v>26</v>
      </c>
      <c r="G9" s="65">
        <f>+G7*G8</f>
        <v>2591</v>
      </c>
      <c r="I9" s="70" t="s">
        <v>164</v>
      </c>
      <c r="J9" s="67"/>
      <c r="K9" s="67"/>
      <c r="L9" s="93"/>
      <c r="M9" s="68"/>
      <c r="N9" s="67"/>
      <c r="AA9" s="10" t="s">
        <v>165</v>
      </c>
      <c r="AB9" s="52">
        <v>13</v>
      </c>
    </row>
    <row r="10" spans="7:28" ht="13.5" customHeight="1">
      <c r="G10" s="65"/>
      <c r="I10" s="68"/>
      <c r="J10" s="27"/>
      <c r="K10" s="27"/>
      <c r="L10" s="125"/>
      <c r="M10" s="68"/>
      <c r="N10" s="67"/>
      <c r="AA10" s="10" t="s">
        <v>114</v>
      </c>
      <c r="AB10" s="52">
        <v>15</v>
      </c>
    </row>
    <row r="11" spans="2:28" ht="13.5" customHeight="1" thickBot="1">
      <c r="B11" t="s">
        <v>166</v>
      </c>
      <c r="G11" s="21" t="s">
        <v>160</v>
      </c>
      <c r="I11" s="98"/>
      <c r="J11" s="99"/>
      <c r="K11" s="99"/>
      <c r="L11" s="126"/>
      <c r="M11" s="68"/>
      <c r="N11" s="67"/>
      <c r="AA11" s="8" t="s">
        <v>3</v>
      </c>
      <c r="AB11" s="51">
        <v>13</v>
      </c>
    </row>
    <row r="12" spans="2:28" ht="13.5" customHeight="1" thickTop="1">
      <c r="B12" s="71" t="s">
        <v>167</v>
      </c>
      <c r="G12" s="64" t="s">
        <v>168</v>
      </c>
      <c r="H12" s="64" t="s">
        <v>169</v>
      </c>
      <c r="I12" s="75"/>
      <c r="J12" s="127"/>
      <c r="K12" s="127"/>
      <c r="L12" s="127"/>
      <c r="M12" s="67"/>
      <c r="N12" s="67"/>
      <c r="AA12" s="8" t="s">
        <v>4</v>
      </c>
      <c r="AB12" s="51">
        <v>15</v>
      </c>
    </row>
    <row r="13" spans="4:28" ht="13.5" customHeight="1">
      <c r="D13" s="71" t="s">
        <v>170</v>
      </c>
      <c r="G13">
        <f>ROUND(415*G8,0)</f>
        <v>415</v>
      </c>
      <c r="H13" s="102">
        <f>ROUND(233*G8,0)</f>
        <v>233</v>
      </c>
      <c r="I13" s="67"/>
      <c r="J13" s="27"/>
      <c r="K13" s="27"/>
      <c r="L13" s="27"/>
      <c r="M13" s="67"/>
      <c r="N13" s="67"/>
      <c r="AA13" s="8" t="s">
        <v>5</v>
      </c>
      <c r="AB13" s="51">
        <v>17</v>
      </c>
    </row>
    <row r="14" spans="2:28" ht="13.5" customHeight="1">
      <c r="B14" s="71"/>
      <c r="D14" t="s">
        <v>171</v>
      </c>
      <c r="G14" s="20">
        <v>415</v>
      </c>
      <c r="H14" s="116">
        <v>233</v>
      </c>
      <c r="I14" s="128"/>
      <c r="J14" s="27"/>
      <c r="K14" s="27"/>
      <c r="L14" s="27"/>
      <c r="M14" s="67"/>
      <c r="N14" s="67"/>
      <c r="AA14" s="8" t="s">
        <v>6</v>
      </c>
      <c r="AB14" s="51">
        <v>16</v>
      </c>
    </row>
    <row r="15" spans="4:28" ht="13.5" customHeight="1">
      <c r="D15" t="s">
        <v>172</v>
      </c>
      <c r="G15" s="72">
        <f>+G14/G13</f>
        <v>1</v>
      </c>
      <c r="H15" s="72">
        <f>+H14/H13</f>
        <v>1</v>
      </c>
      <c r="I15" s="67"/>
      <c r="J15" s="27"/>
      <c r="K15" s="27"/>
      <c r="L15" s="27"/>
      <c r="M15" s="67"/>
      <c r="N15" s="67"/>
      <c r="AA15" s="8" t="s">
        <v>7</v>
      </c>
      <c r="AB15" s="52">
        <v>18</v>
      </c>
    </row>
    <row r="16" spans="2:28" ht="13.5" customHeight="1">
      <c r="B16" t="s">
        <v>173</v>
      </c>
      <c r="G16" s="20">
        <v>6</v>
      </c>
      <c r="H16" s="73" t="str">
        <f>IF(G16&lt;2.999,"moet minimaal 3 gehele maanden zijn"," ")</f>
        <v> </v>
      </c>
      <c r="I16" s="67"/>
      <c r="J16" s="27"/>
      <c r="K16" s="27"/>
      <c r="L16" s="27"/>
      <c r="M16" s="67"/>
      <c r="N16" s="67"/>
      <c r="AA16" s="8" t="s">
        <v>8</v>
      </c>
      <c r="AB16" s="52">
        <v>18</v>
      </c>
    </row>
    <row r="17" spans="2:28" ht="13.5" customHeight="1">
      <c r="B17" s="74" t="s">
        <v>174</v>
      </c>
      <c r="I17" s="67"/>
      <c r="J17" s="67"/>
      <c r="K17" s="67"/>
      <c r="L17" s="67"/>
      <c r="M17" s="67"/>
      <c r="N17" s="67"/>
      <c r="AA17" s="8" t="s">
        <v>9</v>
      </c>
      <c r="AB17" s="52">
        <v>18</v>
      </c>
    </row>
    <row r="18" spans="2:28" ht="13.5" customHeight="1">
      <c r="B18" s="1" t="s">
        <v>298</v>
      </c>
      <c r="G18" s="117">
        <f>ROUND(IF(G11="ja",+(H14/H13),G14/G13)*(3/G16)*G8,4)</f>
        <v>0.5</v>
      </c>
      <c r="I18" s="105"/>
      <c r="J18" s="67"/>
      <c r="K18" s="67"/>
      <c r="L18" s="67"/>
      <c r="M18" s="67"/>
      <c r="N18" s="67"/>
      <c r="AA18" s="8" t="s">
        <v>10</v>
      </c>
      <c r="AB18" s="52">
        <v>11</v>
      </c>
    </row>
    <row r="19" spans="2:28" ht="13.5" customHeight="1">
      <c r="B19" s="1" t="s">
        <v>175</v>
      </c>
      <c r="G19" s="72">
        <f>ROUND(+IF(G11="ja",H14,G14)/ROUND((IF(G11="ja",233,415)*G8),0)*1.35/G16,4)</f>
        <v>0.225</v>
      </c>
      <c r="I19" s="119">
        <f>+G19*G9</f>
        <v>582.975</v>
      </c>
      <c r="J19" s="67"/>
      <c r="K19" s="120">
        <f>+G18*0.45*G7</f>
        <v>582.975</v>
      </c>
      <c r="L19" s="67"/>
      <c r="AA19" s="8" t="s">
        <v>11</v>
      </c>
      <c r="AB19" s="52">
        <v>13</v>
      </c>
    </row>
    <row r="20" spans="2:28" ht="13.5" customHeight="1">
      <c r="B20" s="1" t="s">
        <v>299</v>
      </c>
      <c r="G20" s="72">
        <f>ROUND((3*H15/G16),4)-G19</f>
        <v>0.275</v>
      </c>
      <c r="I20" s="76">
        <f>+G20*G9</f>
        <v>712.5250000000001</v>
      </c>
      <c r="J20" s="77"/>
      <c r="K20" s="118">
        <f>+G18*0.55*G7</f>
        <v>712.5250000000001</v>
      </c>
      <c r="AA20" s="8" t="s">
        <v>12</v>
      </c>
      <c r="AB20" s="52">
        <v>18</v>
      </c>
    </row>
    <row r="21" spans="2:28" ht="13.5" customHeight="1">
      <c r="B21" s="1" t="s">
        <v>176</v>
      </c>
      <c r="G21" s="72">
        <f>1-ROUND(1/0.45*G19,4)</f>
        <v>0.5</v>
      </c>
      <c r="I21" s="76">
        <f>+G21*G9</f>
        <v>1295.5</v>
      </c>
      <c r="AA21" s="8" t="s">
        <v>13</v>
      </c>
      <c r="AB21" s="52">
        <v>20</v>
      </c>
    </row>
    <row r="22" spans="2:28" ht="13.5" customHeight="1">
      <c r="B22" s="1" t="s">
        <v>177</v>
      </c>
      <c r="G22" s="72">
        <f>+G20+G21</f>
        <v>0.775</v>
      </c>
      <c r="I22" s="76">
        <f>SUM(I20:I21)</f>
        <v>2008.025</v>
      </c>
      <c r="AA22" s="8" t="s">
        <v>14</v>
      </c>
      <c r="AB22" s="52">
        <v>19</v>
      </c>
    </row>
    <row r="23" spans="2:28" ht="13.5" customHeight="1">
      <c r="B23" s="1" t="s">
        <v>178</v>
      </c>
      <c r="I23" s="76">
        <f>+I20*G16</f>
        <v>4275.150000000001</v>
      </c>
      <c r="AA23" s="8" t="s">
        <v>0</v>
      </c>
      <c r="AB23" s="52">
        <v>18</v>
      </c>
    </row>
    <row r="24" spans="2:28" ht="13.5" customHeight="1">
      <c r="B24" s="1" t="s">
        <v>179</v>
      </c>
      <c r="G24" s="78">
        <v>0.515</v>
      </c>
      <c r="I24" s="76">
        <f>+I23*(1+G24)</f>
        <v>6476.852250000002</v>
      </c>
      <c r="J24" s="77"/>
      <c r="K24" s="76">
        <f>+I24/G$16</f>
        <v>1079.4753750000002</v>
      </c>
      <c r="L24" t="s">
        <v>73</v>
      </c>
      <c r="AA24" s="8" t="s">
        <v>15</v>
      </c>
      <c r="AB24" s="52">
        <v>18</v>
      </c>
    </row>
    <row r="25" spans="9:28" ht="13.5" customHeight="1">
      <c r="I25" s="77"/>
      <c r="AA25" s="8" t="s">
        <v>16</v>
      </c>
      <c r="AB25" s="52">
        <v>18</v>
      </c>
    </row>
    <row r="26" spans="1:28" ht="13.5" customHeight="1">
      <c r="A26" s="79"/>
      <c r="B26" s="62" t="s">
        <v>180</v>
      </c>
      <c r="C26" s="79"/>
      <c r="D26" s="79"/>
      <c r="E26" s="79"/>
      <c r="F26" s="79"/>
      <c r="G26" s="79"/>
      <c r="H26" s="79"/>
      <c r="I26" s="80">
        <f>+I24</f>
        <v>6476.852250000002</v>
      </c>
      <c r="J26" s="80"/>
      <c r="K26" s="80">
        <f>+I26/G$16</f>
        <v>1079.4753750000002</v>
      </c>
      <c r="L26" t="s">
        <v>73</v>
      </c>
      <c r="M26" s="79"/>
      <c r="AA26" s="10">
        <v>8</v>
      </c>
      <c r="AB26" s="52">
        <v>13</v>
      </c>
    </row>
    <row r="27" spans="1:28" ht="13.5" customHeight="1">
      <c r="A27" s="79"/>
      <c r="B27" s="62"/>
      <c r="C27" s="79"/>
      <c r="D27" s="79"/>
      <c r="E27" s="79"/>
      <c r="F27" s="79"/>
      <c r="G27" s="79"/>
      <c r="H27" s="79"/>
      <c r="I27" s="80"/>
      <c r="J27" s="80"/>
      <c r="K27" s="80"/>
      <c r="L27" s="79"/>
      <c r="M27" s="79"/>
      <c r="AA27" s="10">
        <v>9</v>
      </c>
      <c r="AB27" s="52">
        <v>10</v>
      </c>
    </row>
    <row r="28" spans="1:28" ht="13.5" customHeight="1">
      <c r="A28" s="79"/>
      <c r="B28" s="107" t="s">
        <v>295</v>
      </c>
      <c r="C28" s="79"/>
      <c r="D28" s="79"/>
      <c r="E28" s="79"/>
      <c r="F28" s="79"/>
      <c r="G28" s="79"/>
      <c r="H28" s="79"/>
      <c r="I28" s="80"/>
      <c r="J28" s="80"/>
      <c r="K28" s="80"/>
      <c r="L28" s="79"/>
      <c r="M28" s="79"/>
      <c r="AA28" s="10">
        <v>10</v>
      </c>
      <c r="AB28" s="52">
        <v>13</v>
      </c>
    </row>
    <row r="29" spans="1:28" ht="13.5" customHeight="1">
      <c r="A29" s="79"/>
      <c r="B29" s="107" t="s">
        <v>296</v>
      </c>
      <c r="C29" s="79"/>
      <c r="D29" s="79"/>
      <c r="E29" s="79"/>
      <c r="F29" s="79"/>
      <c r="G29" s="79"/>
      <c r="H29" s="130">
        <v>532.44</v>
      </c>
      <c r="I29" s="110" t="s">
        <v>287</v>
      </c>
      <c r="J29" s="80"/>
      <c r="K29" s="80"/>
      <c r="L29" s="79"/>
      <c r="M29" s="79"/>
      <c r="AA29" s="10">
        <v>11</v>
      </c>
      <c r="AB29" s="52">
        <v>18</v>
      </c>
    </row>
    <row r="30" spans="2:28" s="111" customFormat="1" ht="13.5" customHeight="1">
      <c r="B30" s="107" t="s">
        <v>289</v>
      </c>
      <c r="C30" s="79"/>
      <c r="D30" s="79"/>
      <c r="E30" s="79"/>
      <c r="F30" s="79"/>
      <c r="G30" s="79"/>
      <c r="H30" s="79"/>
      <c r="I30" s="80"/>
      <c r="J30" s="80"/>
      <c r="K30" s="80"/>
      <c r="L30" s="79"/>
      <c r="AA30" s="112">
        <v>12</v>
      </c>
      <c r="AB30" s="113">
        <v>16</v>
      </c>
    </row>
    <row r="31" spans="1:28" s="79" customFormat="1" ht="13.5" customHeight="1">
      <c r="A31"/>
      <c r="B31" s="107" t="s">
        <v>290</v>
      </c>
      <c r="C31" s="111"/>
      <c r="D31" s="114">
        <v>191</v>
      </c>
      <c r="E31" s="111"/>
      <c r="F31" s="107" t="s">
        <v>291</v>
      </c>
      <c r="G31" s="111"/>
      <c r="H31" s="111"/>
      <c r="I31" s="110"/>
      <c r="J31" s="110"/>
      <c r="K31" s="110"/>
      <c r="L31" s="111"/>
      <c r="M31"/>
      <c r="N31"/>
      <c r="AA31" s="10">
        <v>13</v>
      </c>
      <c r="AB31" s="52">
        <v>13</v>
      </c>
    </row>
    <row r="32" spans="27:28" ht="18" customHeight="1">
      <c r="AA32" s="10">
        <v>14</v>
      </c>
      <c r="AB32" s="52">
        <v>11</v>
      </c>
    </row>
    <row r="33" spans="1:28" ht="13.5" customHeight="1">
      <c r="A33" s="50"/>
      <c r="B33" s="62" t="s">
        <v>181</v>
      </c>
      <c r="C33" s="62"/>
      <c r="G33" s="1" t="s">
        <v>182</v>
      </c>
      <c r="H33" s="136" t="s">
        <v>183</v>
      </c>
      <c r="I33" s="135"/>
      <c r="J33" s="135"/>
      <c r="AA33" s="10">
        <v>15</v>
      </c>
      <c r="AB33" s="52">
        <v>12</v>
      </c>
    </row>
    <row r="34" spans="2:28" ht="13.5" customHeight="1">
      <c r="B34" s="1" t="s">
        <v>184</v>
      </c>
      <c r="C34" s="1"/>
      <c r="AA34" s="10" t="s">
        <v>19</v>
      </c>
      <c r="AB34" s="52">
        <v>1</v>
      </c>
    </row>
    <row r="35" spans="2:28" ht="13.5" customHeight="1">
      <c r="B35" s="1" t="s">
        <v>185</v>
      </c>
      <c r="C35" s="1"/>
      <c r="G35" s="23">
        <v>600</v>
      </c>
      <c r="I35" t="s">
        <v>186</v>
      </c>
      <c r="AA35" s="10" t="s">
        <v>20</v>
      </c>
      <c r="AB35" s="52">
        <v>1</v>
      </c>
    </row>
    <row r="36" spans="2:28" ht="13.5" customHeight="1">
      <c r="B36" s="1" t="s">
        <v>187</v>
      </c>
      <c r="C36" s="1"/>
      <c r="G36" s="24">
        <v>0.75</v>
      </c>
      <c r="I36" t="s">
        <v>186</v>
      </c>
      <c r="AA36" s="64" t="s">
        <v>116</v>
      </c>
      <c r="AB36" s="52">
        <v>7</v>
      </c>
    </row>
    <row r="37" spans="2:28" ht="13.5" customHeight="1">
      <c r="B37" s="1"/>
      <c r="C37" s="1"/>
      <c r="D37" s="1"/>
      <c r="E37" s="50" t="s">
        <v>188</v>
      </c>
      <c r="AA37" s="10" t="s">
        <v>117</v>
      </c>
      <c r="AB37" s="52">
        <v>8</v>
      </c>
    </row>
    <row r="38" spans="2:28" ht="13.5" customHeight="1">
      <c r="B38" s="1" t="s">
        <v>189</v>
      </c>
      <c r="C38" s="1"/>
      <c r="D38" s="81">
        <v>20</v>
      </c>
      <c r="E38" s="81">
        <v>40</v>
      </c>
      <c r="G38" s="78">
        <v>0.375</v>
      </c>
      <c r="I38" t="s">
        <v>190</v>
      </c>
      <c r="AA38" s="10" t="s">
        <v>118</v>
      </c>
      <c r="AB38" s="52">
        <v>7</v>
      </c>
    </row>
    <row r="39" spans="2:9" ht="13.5" customHeight="1">
      <c r="B39" s="1" t="s">
        <v>191</v>
      </c>
      <c r="C39" s="1"/>
      <c r="G39" s="20">
        <v>1.8</v>
      </c>
      <c r="I39" t="s">
        <v>192</v>
      </c>
    </row>
    <row r="40" spans="2:7" ht="13.5" customHeight="1">
      <c r="B40" s="1" t="s">
        <v>193</v>
      </c>
      <c r="C40" s="1"/>
      <c r="G40" s="82">
        <f>ROUND(G35*G36*G38*G39,0)</f>
        <v>304</v>
      </c>
    </row>
    <row r="41" spans="2:9" ht="13.5" customHeight="1">
      <c r="B41" s="1" t="s">
        <v>194</v>
      </c>
      <c r="C41" s="1"/>
      <c r="G41" s="78">
        <v>1</v>
      </c>
      <c r="I41" t="s">
        <v>195</v>
      </c>
    </row>
    <row r="42" spans="2:7" ht="13.5" customHeight="1">
      <c r="B42" s="1" t="s">
        <v>196</v>
      </c>
      <c r="C42" s="1"/>
      <c r="G42" s="82">
        <f>ROUND(G40*G41/(E38-D38),0)</f>
        <v>15</v>
      </c>
    </row>
    <row r="43" spans="2:9" ht="13.5" customHeight="1">
      <c r="B43" s="1" t="s">
        <v>197</v>
      </c>
      <c r="C43" s="1"/>
      <c r="G43" s="83">
        <v>6300</v>
      </c>
      <c r="I43" t="s">
        <v>195</v>
      </c>
    </row>
    <row r="44" spans="2:9" ht="13.5" customHeight="1">
      <c r="B44" s="1" t="s">
        <v>198</v>
      </c>
      <c r="C44" s="1"/>
      <c r="G44" s="84">
        <f>+G42*G43</f>
        <v>94500</v>
      </c>
      <c r="I44" t="s">
        <v>199</v>
      </c>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sheetData>
  <sheetProtection password="DE55" sheet="1" objects="1" scenarios="1"/>
  <mergeCells count="2">
    <mergeCell ref="G4:I4"/>
    <mergeCell ref="H33:J33"/>
  </mergeCells>
  <dataValidations count="2">
    <dataValidation type="list" allowBlank="1" showInputMessage="1" showErrorMessage="1" sqref="G11">
      <formula1>$X$3:$X$4</formula1>
    </dataValidation>
    <dataValidation type="list" allowBlank="1" showInputMessage="1" showErrorMessage="1" sqref="G5">
      <formula1>$AA$3:$AA$38</formula1>
    </dataValidation>
  </dataValidations>
  <printOptions gridLines="1"/>
  <pageMargins left="0.75" right="0.75" top="1" bottom="1" header="0.5" footer="0.5"/>
  <pageSetup horizontalDpi="600" verticalDpi="600" orientation="landscape" paperSize="9" scale="87" r:id="rId4"/>
  <headerFooter alignWithMargins="0">
    <oddHeader>&amp;L&amp;"Arial,Vet"&amp;A&amp;C&amp;"Arial,Vet"&amp;D&amp;R&amp;"Arial,Vet"&amp;F</oddHeader>
    <oddFooter>&amp;L&amp;"Arial,Vet"&amp;9gemaakt door keizer, vos/abb&amp;R&amp;"Arial,Vet"&amp;P</oddFooter>
  </headerFooter>
  <rowBreaks count="1" manualBreakCount="1">
    <brk id="31" min="1" max="12"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3:AU104"/>
  <sheetViews>
    <sheetView zoomScale="95" zoomScaleNormal="95" workbookViewId="0" topLeftCell="A1">
      <selection activeCell="G6" sqref="G6:H6"/>
    </sheetView>
  </sheetViews>
  <sheetFormatPr defaultColWidth="9.140625" defaultRowHeight="12.75"/>
  <cols>
    <col min="1" max="1" width="1.7109375" style="11" customWidth="1"/>
    <col min="2" max="2" width="4.57421875" style="11" customWidth="1"/>
    <col min="3" max="5" width="9.7109375" style="11" customWidth="1"/>
    <col min="6" max="6" width="9.00390625" style="11" customWidth="1"/>
    <col min="7" max="7" width="13.7109375" style="11" customWidth="1"/>
    <col min="8" max="8" width="14.421875" style="11" customWidth="1"/>
    <col min="9" max="9" width="14.00390625" style="11" customWidth="1"/>
    <col min="10" max="10" width="4.8515625" style="11" customWidth="1"/>
    <col min="11" max="11" width="10.7109375" style="11" customWidth="1"/>
    <col min="12" max="12" width="5.00390625" style="11" customWidth="1"/>
    <col min="13" max="13" width="5.7109375" style="11" customWidth="1"/>
    <col min="14" max="16384" width="9.7109375" style="11" customWidth="1"/>
  </cols>
  <sheetData>
    <row r="1" ht="4.5" customHeight="1"/>
    <row r="2" ht="7.5" customHeight="1"/>
    <row r="3" spans="3:47" ht="15.75">
      <c r="C3" s="12" t="s">
        <v>200</v>
      </c>
      <c r="AC3"/>
      <c r="AD3"/>
      <c r="AE3"/>
      <c r="AF3"/>
      <c r="AG3"/>
      <c r="AH3"/>
      <c r="AI3"/>
      <c r="AJ3"/>
      <c r="AK3"/>
      <c r="AL3"/>
      <c r="AM3"/>
      <c r="AN3"/>
      <c r="AO3"/>
      <c r="AP3"/>
      <c r="AQ3"/>
      <c r="AR3"/>
      <c r="AS3"/>
      <c r="AT3"/>
      <c r="AU3"/>
    </row>
    <row r="4" spans="3:47" ht="12.75">
      <c r="C4" s="14" t="s">
        <v>201</v>
      </c>
      <c r="Z4" s="10" t="s">
        <v>115</v>
      </c>
      <c r="AA4" s="51">
        <v>11</v>
      </c>
      <c r="AC4"/>
      <c r="AD4"/>
      <c r="AE4"/>
      <c r="AF4"/>
      <c r="AG4"/>
      <c r="AH4"/>
      <c r="AI4"/>
      <c r="AJ4"/>
      <c r="AK4"/>
      <c r="AL4"/>
      <c r="AM4"/>
      <c r="AN4"/>
      <c r="AO4"/>
      <c r="AP4"/>
      <c r="AQ4"/>
      <c r="AR4"/>
      <c r="AS4"/>
      <c r="AT4"/>
      <c r="AU4"/>
    </row>
    <row r="5" spans="3:47" ht="9" customHeight="1">
      <c r="C5" s="13"/>
      <c r="Z5" s="10" t="s">
        <v>108</v>
      </c>
      <c r="AA5" s="51">
        <v>13</v>
      </c>
      <c r="AC5"/>
      <c r="AD5"/>
      <c r="AE5"/>
      <c r="AF5"/>
      <c r="AG5"/>
      <c r="AH5"/>
      <c r="AI5"/>
      <c r="AJ5"/>
      <c r="AK5"/>
      <c r="AL5"/>
      <c r="AM5"/>
      <c r="AN5"/>
      <c r="AO5"/>
      <c r="AP5"/>
      <c r="AQ5"/>
      <c r="AR5"/>
      <c r="AS5"/>
      <c r="AT5"/>
      <c r="AU5"/>
    </row>
    <row r="6" spans="3:47" ht="12.75">
      <c r="C6" s="14" t="s">
        <v>161</v>
      </c>
      <c r="D6" s="15"/>
      <c r="E6" s="15"/>
      <c r="G6" s="137" t="s">
        <v>32</v>
      </c>
      <c r="H6" s="137"/>
      <c r="Z6" s="10" t="s">
        <v>109</v>
      </c>
      <c r="AA6" s="51">
        <v>15</v>
      </c>
      <c r="AC6"/>
      <c r="AD6"/>
      <c r="AE6"/>
      <c r="AF6"/>
      <c r="AG6"/>
      <c r="AH6"/>
      <c r="AI6"/>
      <c r="AJ6"/>
      <c r="AK6"/>
      <c r="AL6"/>
      <c r="AM6"/>
      <c r="AN6"/>
      <c r="AO6"/>
      <c r="AP6"/>
      <c r="AQ6"/>
      <c r="AR6"/>
      <c r="AS6"/>
      <c r="AT6"/>
      <c r="AU6"/>
    </row>
    <row r="7" spans="3:47" ht="12.75">
      <c r="C7" s="14" t="s">
        <v>202</v>
      </c>
      <c r="D7" s="15"/>
      <c r="E7" s="15"/>
      <c r="G7"/>
      <c r="H7"/>
      <c r="Z7" s="10" t="s">
        <v>110</v>
      </c>
      <c r="AA7" s="51">
        <v>17</v>
      </c>
      <c r="AC7"/>
      <c r="AD7"/>
      <c r="AE7"/>
      <c r="AF7"/>
      <c r="AG7"/>
      <c r="AH7"/>
      <c r="AI7"/>
      <c r="AJ7"/>
      <c r="AK7"/>
      <c r="AL7"/>
      <c r="AM7"/>
      <c r="AN7"/>
      <c r="AO7"/>
      <c r="AP7"/>
      <c r="AQ7"/>
      <c r="AR7"/>
      <c r="AS7"/>
      <c r="AT7"/>
      <c r="AU7"/>
    </row>
    <row r="8" spans="5:47" ht="12.75">
      <c r="E8" s="11" t="s">
        <v>21</v>
      </c>
      <c r="G8" s="132" t="s">
        <v>0</v>
      </c>
      <c r="Z8" s="10" t="s">
        <v>111</v>
      </c>
      <c r="AA8" s="51">
        <v>10</v>
      </c>
      <c r="AC8"/>
      <c r="AD8"/>
      <c r="AE8"/>
      <c r="AF8"/>
      <c r="AG8"/>
      <c r="AH8"/>
      <c r="AI8"/>
      <c r="AJ8"/>
      <c r="AK8"/>
      <c r="AL8"/>
      <c r="AM8"/>
      <c r="AN8"/>
      <c r="AO8"/>
      <c r="AP8"/>
      <c r="AQ8"/>
      <c r="AR8"/>
      <c r="AS8"/>
      <c r="AT8"/>
      <c r="AU8"/>
    </row>
    <row r="9" spans="5:47" ht="12.75">
      <c r="E9" s="11" t="s">
        <v>22</v>
      </c>
      <c r="G9" s="20">
        <v>14</v>
      </c>
      <c r="I9" s="11" t="s">
        <v>203</v>
      </c>
      <c r="J9" s="11">
        <f>VLOOKUP(G$8,salaristabellen,22,FALSE)</f>
        <v>18</v>
      </c>
      <c r="Z9" s="10" t="s">
        <v>112</v>
      </c>
      <c r="AA9" s="51">
        <v>11</v>
      </c>
      <c r="AC9"/>
      <c r="AD9"/>
      <c r="AE9"/>
      <c r="AF9"/>
      <c r="AG9"/>
      <c r="AH9"/>
      <c r="AI9"/>
      <c r="AJ9"/>
      <c r="AK9"/>
      <c r="AL9"/>
      <c r="AM9"/>
      <c r="AN9"/>
      <c r="AO9"/>
      <c r="AP9"/>
      <c r="AQ9"/>
      <c r="AR9"/>
      <c r="AS9"/>
      <c r="AT9"/>
      <c r="AU9"/>
    </row>
    <row r="10" spans="5:47" ht="12.75">
      <c r="E10" s="11" t="s">
        <v>24</v>
      </c>
      <c r="G10" s="85">
        <f>VLOOKUP(G8,salaristabellen,G9+1,FALSE)</f>
        <v>2900</v>
      </c>
      <c r="I10"/>
      <c r="J10"/>
      <c r="Z10" s="10" t="s">
        <v>113</v>
      </c>
      <c r="AA10" s="52">
        <v>13</v>
      </c>
      <c r="AC10"/>
      <c r="AD10"/>
      <c r="AE10"/>
      <c r="AF10"/>
      <c r="AG10"/>
      <c r="AH10"/>
      <c r="AI10"/>
      <c r="AJ10"/>
      <c r="AK10"/>
      <c r="AL10"/>
      <c r="AM10"/>
      <c r="AN10"/>
      <c r="AO10"/>
      <c r="AP10"/>
      <c r="AQ10"/>
      <c r="AR10"/>
      <c r="AS10"/>
      <c r="AT10"/>
      <c r="AU10"/>
    </row>
    <row r="11" spans="3:47" ht="12.75">
      <c r="C11" s="14" t="s">
        <v>25</v>
      </c>
      <c r="G11" s="22">
        <v>1</v>
      </c>
      <c r="Z11" s="10" t="s">
        <v>114</v>
      </c>
      <c r="AA11" s="52">
        <v>15</v>
      </c>
      <c r="AC11"/>
      <c r="AD11"/>
      <c r="AE11"/>
      <c r="AF11"/>
      <c r="AG11"/>
      <c r="AH11"/>
      <c r="AI11"/>
      <c r="AJ11"/>
      <c r="AK11"/>
      <c r="AL11"/>
      <c r="AM11"/>
      <c r="AN11"/>
      <c r="AO11"/>
      <c r="AP11"/>
      <c r="AQ11"/>
      <c r="AR11"/>
      <c r="AS11"/>
      <c r="AT11"/>
      <c r="AU11"/>
    </row>
    <row r="12" spans="5:47" ht="12.75">
      <c r="E12" s="11" t="s">
        <v>26</v>
      </c>
      <c r="G12" s="86">
        <f>ROUND(+G10*G11,2)</f>
        <v>2900</v>
      </c>
      <c r="Z12" s="8" t="s">
        <v>3</v>
      </c>
      <c r="AA12" s="5">
        <v>13</v>
      </c>
      <c r="AC12"/>
      <c r="AD12"/>
      <c r="AE12"/>
      <c r="AF12"/>
      <c r="AG12"/>
      <c r="AH12"/>
      <c r="AI12"/>
      <c r="AJ12"/>
      <c r="AK12"/>
      <c r="AL12"/>
      <c r="AM12"/>
      <c r="AN12"/>
      <c r="AO12"/>
      <c r="AP12"/>
      <c r="AQ12"/>
      <c r="AR12"/>
      <c r="AS12"/>
      <c r="AT12"/>
      <c r="AU12"/>
    </row>
    <row r="13" spans="3:47" ht="12.75">
      <c r="C13" s="14" t="s">
        <v>204</v>
      </c>
      <c r="G13" s="20">
        <v>38</v>
      </c>
      <c r="Z13" s="8" t="s">
        <v>4</v>
      </c>
      <c r="AA13" s="5">
        <v>15</v>
      </c>
      <c r="AC13"/>
      <c r="AD13"/>
      <c r="AE13"/>
      <c r="AF13"/>
      <c r="AG13"/>
      <c r="AH13"/>
      <c r="AI13"/>
      <c r="AJ13"/>
      <c r="AK13"/>
      <c r="AL13"/>
      <c r="AM13"/>
      <c r="AN13"/>
      <c r="AO13"/>
      <c r="AP13"/>
      <c r="AQ13"/>
      <c r="AR13"/>
      <c r="AS13"/>
      <c r="AT13"/>
      <c r="AU13"/>
    </row>
    <row r="14" spans="3:47" ht="12.75">
      <c r="C14" s="11" t="s">
        <v>205</v>
      </c>
      <c r="G14" s="20">
        <v>65</v>
      </c>
      <c r="Z14" s="8" t="s">
        <v>5</v>
      </c>
      <c r="AA14" s="5">
        <v>17</v>
      </c>
      <c r="AC14"/>
      <c r="AD14"/>
      <c r="AE14"/>
      <c r="AF14"/>
      <c r="AG14"/>
      <c r="AH14"/>
      <c r="AI14"/>
      <c r="AJ14"/>
      <c r="AK14"/>
      <c r="AL14"/>
      <c r="AM14"/>
      <c r="AN14"/>
      <c r="AO14"/>
      <c r="AP14"/>
      <c r="AQ14"/>
      <c r="AR14"/>
      <c r="AS14"/>
      <c r="AT14"/>
      <c r="AU14"/>
    </row>
    <row r="15" spans="7:47" ht="12.75">
      <c r="G15" s="87"/>
      <c r="Z15" s="8" t="s">
        <v>6</v>
      </c>
      <c r="AA15" s="5">
        <v>16</v>
      </c>
      <c r="AC15"/>
      <c r="AD15"/>
      <c r="AE15"/>
      <c r="AF15"/>
      <c r="AG15"/>
      <c r="AH15"/>
      <c r="AI15"/>
      <c r="AJ15"/>
      <c r="AK15"/>
      <c r="AL15"/>
      <c r="AM15"/>
      <c r="AN15"/>
      <c r="AO15"/>
      <c r="AP15"/>
      <c r="AQ15"/>
      <c r="AR15"/>
      <c r="AS15"/>
      <c r="AT15"/>
      <c r="AU15"/>
    </row>
    <row r="16" spans="3:47" ht="12.75">
      <c r="C16" s="14" t="s">
        <v>206</v>
      </c>
      <c r="Y16" s="8"/>
      <c r="Z16" s="8" t="s">
        <v>7</v>
      </c>
      <c r="AA16" s="16">
        <v>18</v>
      </c>
      <c r="AC16"/>
      <c r="AD16"/>
      <c r="AE16"/>
      <c r="AF16"/>
      <c r="AG16"/>
      <c r="AH16"/>
      <c r="AI16"/>
      <c r="AJ16"/>
      <c r="AK16"/>
      <c r="AL16"/>
      <c r="AM16"/>
      <c r="AN16"/>
      <c r="AO16"/>
      <c r="AP16"/>
      <c r="AQ16"/>
      <c r="AR16"/>
      <c r="AS16"/>
      <c r="AT16"/>
      <c r="AU16"/>
    </row>
    <row r="17" spans="4:47" ht="12.75">
      <c r="D17"/>
      <c r="E17" s="11" t="s">
        <v>21</v>
      </c>
      <c r="F17"/>
      <c r="G17" s="132" t="s">
        <v>10</v>
      </c>
      <c r="I17" s="11" t="s">
        <v>203</v>
      </c>
      <c r="J17" s="11">
        <f>VLOOKUP(G17,salaristabellen,22,FALSE)</f>
        <v>11</v>
      </c>
      <c r="Y17" s="88"/>
      <c r="Z17" s="8" t="s">
        <v>8</v>
      </c>
      <c r="AA17" s="16">
        <v>18</v>
      </c>
      <c r="AC17"/>
      <c r="AD17"/>
      <c r="AE17"/>
      <c r="AF17"/>
      <c r="AG17"/>
      <c r="AH17"/>
      <c r="AI17"/>
      <c r="AJ17"/>
      <c r="AK17"/>
      <c r="AL17"/>
      <c r="AM17"/>
      <c r="AN17"/>
      <c r="AO17"/>
      <c r="AP17"/>
      <c r="AQ17"/>
      <c r="AR17"/>
      <c r="AS17"/>
      <c r="AT17"/>
      <c r="AU17"/>
    </row>
    <row r="18" spans="4:47" ht="12.75">
      <c r="D18"/>
      <c r="E18" t="s">
        <v>22</v>
      </c>
      <c r="F18"/>
      <c r="G18" s="20">
        <v>8</v>
      </c>
      <c r="I18"/>
      <c r="J18"/>
      <c r="Z18" s="8" t="s">
        <v>9</v>
      </c>
      <c r="AA18" s="16">
        <v>18</v>
      </c>
      <c r="AC18"/>
      <c r="AD18"/>
      <c r="AE18"/>
      <c r="AF18"/>
      <c r="AG18"/>
      <c r="AH18"/>
      <c r="AI18"/>
      <c r="AJ18"/>
      <c r="AK18"/>
      <c r="AL18"/>
      <c r="AM18"/>
      <c r="AN18"/>
      <c r="AO18"/>
      <c r="AP18"/>
      <c r="AQ18"/>
      <c r="AR18"/>
      <c r="AS18"/>
      <c r="AT18"/>
      <c r="AU18"/>
    </row>
    <row r="19" spans="4:47" ht="13.5" thickBot="1">
      <c r="D19"/>
      <c r="E19" t="s">
        <v>24</v>
      </c>
      <c r="F19"/>
      <c r="G19" s="77">
        <f>VLOOKUP(G17,salaristabellen,G18+1,FALSE)</f>
        <v>3063</v>
      </c>
      <c r="Z19" s="8" t="s">
        <v>10</v>
      </c>
      <c r="AA19" s="16">
        <v>11</v>
      </c>
      <c r="AC19"/>
      <c r="AD19"/>
      <c r="AE19"/>
      <c r="AF19"/>
      <c r="AG19"/>
      <c r="AH19"/>
      <c r="AI19"/>
      <c r="AJ19"/>
      <c r="AK19"/>
      <c r="AL19"/>
      <c r="AM19"/>
      <c r="AN19"/>
      <c r="AO19"/>
      <c r="AP19"/>
      <c r="AQ19"/>
      <c r="AR19"/>
      <c r="AS19"/>
      <c r="AT19"/>
      <c r="AU19"/>
    </row>
    <row r="20" spans="3:47" ht="13.5" thickTop="1">
      <c r="C20" s="14" t="s">
        <v>207</v>
      </c>
      <c r="D20"/>
      <c r="E20"/>
      <c r="F20"/>
      <c r="G20" s="89" t="s">
        <v>163</v>
      </c>
      <c r="I20" s="90"/>
      <c r="J20" s="75"/>
      <c r="K20" s="75"/>
      <c r="L20" s="75"/>
      <c r="M20" s="75"/>
      <c r="N20" s="91"/>
      <c r="Z20" s="8" t="s">
        <v>11</v>
      </c>
      <c r="AA20" s="16">
        <v>13</v>
      </c>
      <c r="AC20"/>
      <c r="AD20"/>
      <c r="AE20"/>
      <c r="AF20"/>
      <c r="AG20"/>
      <c r="AH20"/>
      <c r="AI20"/>
      <c r="AJ20"/>
      <c r="AK20"/>
      <c r="AL20"/>
      <c r="AM20"/>
      <c r="AN20"/>
      <c r="AO20"/>
      <c r="AP20"/>
      <c r="AQ20"/>
      <c r="AR20"/>
      <c r="AS20"/>
      <c r="AT20"/>
      <c r="AU20"/>
    </row>
    <row r="21" spans="4:47" ht="12.75">
      <c r="D21"/>
      <c r="E21" t="s">
        <v>208</v>
      </c>
      <c r="F21"/>
      <c r="G21" s="92">
        <v>0</v>
      </c>
      <c r="I21" s="68"/>
      <c r="J21" s="67"/>
      <c r="K21" s="67"/>
      <c r="L21" s="69"/>
      <c r="M21" s="67"/>
      <c r="N21" s="93"/>
      <c r="Z21" s="8" t="s">
        <v>12</v>
      </c>
      <c r="AA21" s="16">
        <v>18</v>
      </c>
      <c r="AC21" t="s">
        <v>160</v>
      </c>
      <c r="AD21"/>
      <c r="AE21"/>
      <c r="AF21"/>
      <c r="AG21"/>
      <c r="AH21"/>
      <c r="AI21"/>
      <c r="AJ21"/>
      <c r="AK21"/>
      <c r="AL21"/>
      <c r="AM21"/>
      <c r="AN21"/>
      <c r="AO21"/>
      <c r="AP21"/>
      <c r="AQ21"/>
      <c r="AR21"/>
      <c r="AS21"/>
      <c r="AT21"/>
      <c r="AU21"/>
    </row>
    <row r="22" spans="3:47" ht="12.75">
      <c r="C22" s="14"/>
      <c r="D22"/>
      <c r="E22" s="11" t="s">
        <v>26</v>
      </c>
      <c r="F22"/>
      <c r="G22" s="86">
        <f>ROUND(IF(G20="ja",G19*G21,G19*G11),2)</f>
        <v>3063</v>
      </c>
      <c r="I22" s="70" t="s">
        <v>164</v>
      </c>
      <c r="J22" s="67"/>
      <c r="K22" s="67"/>
      <c r="L22" s="67"/>
      <c r="M22" s="67"/>
      <c r="N22" s="93"/>
      <c r="Z22" s="8" t="s">
        <v>13</v>
      </c>
      <c r="AA22" s="16">
        <v>20</v>
      </c>
      <c r="AC22" t="s">
        <v>163</v>
      </c>
      <c r="AD22"/>
      <c r="AE22"/>
      <c r="AF22"/>
      <c r="AG22"/>
      <c r="AH22"/>
      <c r="AI22"/>
      <c r="AJ22"/>
      <c r="AK22"/>
      <c r="AL22"/>
      <c r="AM22"/>
      <c r="AN22"/>
      <c r="AO22"/>
      <c r="AP22"/>
      <c r="AQ22"/>
      <c r="AR22"/>
      <c r="AS22"/>
      <c r="AT22"/>
      <c r="AU22"/>
    </row>
    <row r="23" spans="9:27" ht="12.75">
      <c r="I23" s="68"/>
      <c r="J23" s="27"/>
      <c r="K23" s="27"/>
      <c r="L23" s="27"/>
      <c r="M23" s="67"/>
      <c r="N23" s="93"/>
      <c r="Z23" s="8" t="s">
        <v>14</v>
      </c>
      <c r="AA23" s="16">
        <v>19</v>
      </c>
    </row>
    <row r="24" spans="3:27" ht="13.5" thickBot="1">
      <c r="C24" s="14" t="s">
        <v>209</v>
      </c>
      <c r="G24" s="94">
        <f>+G22-G12</f>
        <v>163</v>
      </c>
      <c r="H24" s="15"/>
      <c r="I24" s="68"/>
      <c r="J24" s="27"/>
      <c r="K24" s="27"/>
      <c r="L24" s="27"/>
      <c r="M24" s="67"/>
      <c r="N24" s="93"/>
      <c r="Z24" s="8" t="s">
        <v>0</v>
      </c>
      <c r="AA24" s="16">
        <v>18</v>
      </c>
    </row>
    <row r="25" spans="3:27" ht="13.5" thickTop="1">
      <c r="C25" s="14" t="s">
        <v>210</v>
      </c>
      <c r="G25" s="133">
        <v>0.515</v>
      </c>
      <c r="H25" s="15"/>
      <c r="I25" s="75"/>
      <c r="J25" s="75"/>
      <c r="K25" s="75"/>
      <c r="L25" s="75"/>
      <c r="M25" s="75"/>
      <c r="N25" s="75"/>
      <c r="Z25" s="8" t="s">
        <v>15</v>
      </c>
      <c r="AA25" s="16">
        <v>18</v>
      </c>
    </row>
    <row r="26" spans="3:27" ht="12.75">
      <c r="C26" s="14" t="s">
        <v>211</v>
      </c>
      <c r="G26" s="95">
        <f>+G24*12*(1+G25)</f>
        <v>2963.34</v>
      </c>
      <c r="I26" s="67"/>
      <c r="J26" s="67"/>
      <c r="K26" s="67"/>
      <c r="L26" s="67"/>
      <c r="M26" s="67"/>
      <c r="N26" s="67"/>
      <c r="Z26" s="8" t="s">
        <v>16</v>
      </c>
      <c r="AA26" s="16">
        <v>18</v>
      </c>
    </row>
    <row r="27" spans="3:27" ht="12.75">
      <c r="C27" s="14" t="s">
        <v>212</v>
      </c>
      <c r="G27" s="11">
        <f>+G14-G13</f>
        <v>27</v>
      </c>
      <c r="Z27" s="8" t="s">
        <v>17</v>
      </c>
      <c r="AA27" s="16">
        <v>18</v>
      </c>
    </row>
    <row r="28" spans="3:27" ht="12.75">
      <c r="C28" s="14" t="s">
        <v>213</v>
      </c>
      <c r="G28" s="96">
        <f>IF(G20="nee",K104*G11,K104*G21)</f>
        <v>2285.29333333333</v>
      </c>
      <c r="H28" s="17"/>
      <c r="M28" s="19"/>
      <c r="Z28" s="8" t="s">
        <v>18</v>
      </c>
      <c r="AA28" s="16">
        <v>18</v>
      </c>
    </row>
    <row r="29" spans="3:27" ht="12.75">
      <c r="C29" s="14" t="s">
        <v>214</v>
      </c>
      <c r="G29" s="96">
        <f>+K103*G11</f>
        <v>61702.91999999991</v>
      </c>
      <c r="M29" s="19"/>
      <c r="Z29" s="10" t="s">
        <v>19</v>
      </c>
      <c r="AA29" s="16">
        <v>1</v>
      </c>
    </row>
    <row r="30" spans="13:27" ht="12.75">
      <c r="M30" s="19"/>
      <c r="Z30" s="10" t="s">
        <v>20</v>
      </c>
      <c r="AA30" s="16">
        <v>1</v>
      </c>
    </row>
    <row r="31" spans="13:27" ht="12.75">
      <c r="M31" s="19"/>
      <c r="Z31" s="10">
        <v>1</v>
      </c>
      <c r="AA31" s="16">
        <v>7</v>
      </c>
    </row>
    <row r="32" spans="13:27" ht="12.75">
      <c r="M32" s="19"/>
      <c r="Z32" s="10">
        <v>2</v>
      </c>
      <c r="AA32" s="16">
        <v>8</v>
      </c>
    </row>
    <row r="33" spans="13:27" ht="12.75">
      <c r="M33" s="19"/>
      <c r="Z33" s="10">
        <v>3</v>
      </c>
      <c r="AA33" s="16">
        <v>9</v>
      </c>
    </row>
    <row r="34" spans="13:27" ht="12.75">
      <c r="M34" s="19"/>
      <c r="Z34" s="10">
        <v>4</v>
      </c>
      <c r="AA34" s="16">
        <v>11</v>
      </c>
    </row>
    <row r="35" spans="13:27" ht="12.75">
      <c r="M35" s="19"/>
      <c r="Z35" s="10">
        <v>5</v>
      </c>
      <c r="AA35" s="16">
        <v>12</v>
      </c>
    </row>
    <row r="36" spans="13:27" ht="12.75">
      <c r="M36" s="19"/>
      <c r="Z36" s="10">
        <v>6</v>
      </c>
      <c r="AA36" s="16">
        <v>11</v>
      </c>
    </row>
    <row r="37" spans="13:27" ht="12.75">
      <c r="M37" s="19"/>
      <c r="Z37" s="10">
        <v>7</v>
      </c>
      <c r="AA37" s="16">
        <v>12</v>
      </c>
    </row>
    <row r="38" spans="12:27" ht="12.75">
      <c r="L38" s="19"/>
      <c r="Z38" s="10">
        <v>8</v>
      </c>
      <c r="AA38" s="16">
        <v>13</v>
      </c>
    </row>
    <row r="39" spans="12:27" ht="12.75">
      <c r="L39" s="19"/>
      <c r="Z39" s="10">
        <v>9</v>
      </c>
      <c r="AA39" s="16">
        <v>10</v>
      </c>
    </row>
    <row r="40" spans="12:27" ht="12.75">
      <c r="L40" s="19"/>
      <c r="Z40" s="10">
        <v>10</v>
      </c>
      <c r="AA40" s="16">
        <v>13</v>
      </c>
    </row>
    <row r="41" spans="12:27" ht="12.75">
      <c r="L41" s="19"/>
      <c r="Z41" s="10">
        <v>11</v>
      </c>
      <c r="AA41" s="16">
        <v>18</v>
      </c>
    </row>
    <row r="42" spans="12:27" ht="12.75">
      <c r="L42" s="19"/>
      <c r="Z42" s="10">
        <v>12</v>
      </c>
      <c r="AA42" s="16">
        <v>16</v>
      </c>
    </row>
    <row r="43" spans="12:27" ht="12.75">
      <c r="L43" s="19"/>
      <c r="Z43" s="10">
        <v>13</v>
      </c>
      <c r="AA43" s="16">
        <v>13</v>
      </c>
    </row>
    <row r="44" spans="12:27" ht="12.75">
      <c r="L44" s="19"/>
      <c r="Z44" s="10">
        <v>14</v>
      </c>
      <c r="AA44" s="16">
        <v>11</v>
      </c>
    </row>
    <row r="45" spans="12:27" ht="12.75">
      <c r="L45" s="19"/>
      <c r="Z45" s="10">
        <v>15</v>
      </c>
      <c r="AA45" s="16">
        <v>12</v>
      </c>
    </row>
    <row r="46" spans="12:27" ht="12.75">
      <c r="L46" s="19"/>
      <c r="Z46" s="64" t="s">
        <v>116</v>
      </c>
      <c r="AA46" s="16">
        <v>7</v>
      </c>
    </row>
    <row r="47" spans="12:27" ht="12.75">
      <c r="L47" s="19"/>
      <c r="Z47" s="64" t="s">
        <v>117</v>
      </c>
      <c r="AA47" s="16">
        <v>8</v>
      </c>
    </row>
    <row r="48" spans="12:27" ht="12.75">
      <c r="L48" s="19"/>
      <c r="Z48" s="64" t="s">
        <v>118</v>
      </c>
      <c r="AA48" s="16">
        <v>7</v>
      </c>
    </row>
    <row r="49" ht="12.75">
      <c r="L49" s="19"/>
    </row>
    <row r="50" ht="12.75">
      <c r="L50" s="19"/>
    </row>
    <row r="51" ht="12.75">
      <c r="L51" s="19"/>
    </row>
    <row r="53" spans="2:11" ht="12.75">
      <c r="B53" s="11" t="s">
        <v>215</v>
      </c>
      <c r="E53" s="11" t="s">
        <v>216</v>
      </c>
      <c r="K53" s="11" t="s">
        <v>30</v>
      </c>
    </row>
    <row r="54" spans="2:13" ht="12.75">
      <c r="B54" s="11" t="str">
        <f aca="true" t="shared" si="0" ref="B54:B99">+$G$17</f>
        <v>AA</v>
      </c>
      <c r="C54" s="11">
        <f>+$G$18+M54</f>
        <v>8</v>
      </c>
      <c r="E54" s="11" t="str">
        <f aca="true" t="shared" si="1" ref="E54:E99">+$G$8</f>
        <v>LA</v>
      </c>
      <c r="F54" s="11">
        <f>+$G$9+M54</f>
        <v>14</v>
      </c>
      <c r="H54" s="18">
        <f aca="true" t="shared" si="2" ref="H54:H99">IF(M54+1&gt;$G$27,0,IF(C54&gt;$J$17,VLOOKUP($B54,salaristabellen,$J$17+1,FALSE),VLOOKUP($B54,salaristabellen,C54+1,FALSE))*12*(1+G$25))</f>
        <v>55685.340000000004</v>
      </c>
      <c r="I54" s="18">
        <f aca="true" t="shared" si="3" ref="I54:I99">IF(M54+1&gt;$G$27,0,IF(F54&gt;$J$9,VLOOKUP($E54,salaristabellen,$J$9+1,FALSE),VLOOKUP($E54,salaristabellen,F54+1,FALSE))*12*(1+G$25))</f>
        <v>52722.00000000001</v>
      </c>
      <c r="K54" s="18">
        <f aca="true" t="shared" si="4" ref="K54:K99">+H54-I54</f>
        <v>2963.3399999999965</v>
      </c>
      <c r="M54" s="11">
        <v>0</v>
      </c>
    </row>
    <row r="55" spans="2:13" ht="12.75">
      <c r="B55" s="11" t="str">
        <f t="shared" si="0"/>
        <v>AA</v>
      </c>
      <c r="C55" s="11">
        <f aca="true" t="shared" si="5" ref="C55:C99">+$G$18+M55</f>
        <v>9</v>
      </c>
      <c r="E55" s="11" t="str">
        <f t="shared" si="1"/>
        <v>LA</v>
      </c>
      <c r="F55" s="11">
        <f aca="true" t="shared" si="6" ref="F55:F99">+$G$9+M55</f>
        <v>15</v>
      </c>
      <c r="H55" s="18">
        <f t="shared" si="2"/>
        <v>57576.060000000005</v>
      </c>
      <c r="I55" s="18">
        <f t="shared" si="3"/>
        <v>53685.54</v>
      </c>
      <c r="K55" s="18">
        <f t="shared" si="4"/>
        <v>3890.520000000004</v>
      </c>
      <c r="M55" s="11">
        <v>1</v>
      </c>
    </row>
    <row r="56" spans="2:13" ht="12.75">
      <c r="B56" s="11" t="str">
        <f t="shared" si="0"/>
        <v>AA</v>
      </c>
      <c r="C56" s="11">
        <f t="shared" si="5"/>
        <v>10</v>
      </c>
      <c r="E56" s="11" t="str">
        <f t="shared" si="1"/>
        <v>LA</v>
      </c>
      <c r="F56" s="11">
        <f t="shared" si="6"/>
        <v>16</v>
      </c>
      <c r="H56" s="18">
        <f t="shared" si="2"/>
        <v>59684.94</v>
      </c>
      <c r="I56" s="18">
        <f t="shared" si="3"/>
        <v>55630.8</v>
      </c>
      <c r="K56" s="18">
        <f t="shared" si="4"/>
        <v>4054.1399999999994</v>
      </c>
      <c r="M56" s="11">
        <v>2</v>
      </c>
    </row>
    <row r="57" spans="2:13" ht="12.75">
      <c r="B57" s="11" t="str">
        <f t="shared" si="0"/>
        <v>AA</v>
      </c>
      <c r="C57" s="11">
        <f t="shared" si="5"/>
        <v>11</v>
      </c>
      <c r="E57" s="11" t="str">
        <f t="shared" si="1"/>
        <v>LA</v>
      </c>
      <c r="F57" s="11">
        <f t="shared" si="6"/>
        <v>17</v>
      </c>
      <c r="H57" s="18">
        <f t="shared" si="2"/>
        <v>61557.48</v>
      </c>
      <c r="I57" s="18">
        <f t="shared" si="3"/>
        <v>57594.240000000005</v>
      </c>
      <c r="K57" s="18">
        <f t="shared" si="4"/>
        <v>3963.239999999998</v>
      </c>
      <c r="M57" s="11">
        <v>3</v>
      </c>
    </row>
    <row r="58" spans="2:13" ht="12.75">
      <c r="B58" s="11" t="str">
        <f t="shared" si="0"/>
        <v>AA</v>
      </c>
      <c r="C58" s="11">
        <f t="shared" si="5"/>
        <v>12</v>
      </c>
      <c r="E58" s="11" t="str">
        <f t="shared" si="1"/>
        <v>LA</v>
      </c>
      <c r="F58" s="11">
        <f t="shared" si="6"/>
        <v>18</v>
      </c>
      <c r="H58" s="18">
        <f t="shared" si="2"/>
        <v>61557.48</v>
      </c>
      <c r="I58" s="18">
        <f t="shared" si="3"/>
        <v>59521.32000000001</v>
      </c>
      <c r="K58" s="18">
        <f t="shared" si="4"/>
        <v>2036.1599999999962</v>
      </c>
      <c r="M58" s="11">
        <v>4</v>
      </c>
    </row>
    <row r="59" spans="2:13" ht="12.75">
      <c r="B59" s="11" t="str">
        <f t="shared" si="0"/>
        <v>AA</v>
      </c>
      <c r="C59" s="11">
        <f t="shared" si="5"/>
        <v>13</v>
      </c>
      <c r="E59" s="11" t="str">
        <f t="shared" si="1"/>
        <v>LA</v>
      </c>
      <c r="F59" s="11">
        <f t="shared" si="6"/>
        <v>19</v>
      </c>
      <c r="H59" s="18">
        <f t="shared" si="2"/>
        <v>61557.48</v>
      </c>
      <c r="I59" s="18">
        <f t="shared" si="3"/>
        <v>59521.32000000001</v>
      </c>
      <c r="K59" s="18">
        <f t="shared" si="4"/>
        <v>2036.1599999999962</v>
      </c>
      <c r="M59" s="11">
        <v>5</v>
      </c>
    </row>
    <row r="60" spans="2:13" ht="12.75">
      <c r="B60" s="11" t="str">
        <f t="shared" si="0"/>
        <v>AA</v>
      </c>
      <c r="C60" s="11">
        <f t="shared" si="5"/>
        <v>14</v>
      </c>
      <c r="E60" s="11" t="str">
        <f t="shared" si="1"/>
        <v>LA</v>
      </c>
      <c r="F60" s="11">
        <f t="shared" si="6"/>
        <v>20</v>
      </c>
      <c r="H60" s="18">
        <f t="shared" si="2"/>
        <v>61557.48</v>
      </c>
      <c r="I60" s="18">
        <f t="shared" si="3"/>
        <v>59521.32000000001</v>
      </c>
      <c r="K60" s="18">
        <f t="shared" si="4"/>
        <v>2036.1599999999962</v>
      </c>
      <c r="M60" s="11">
        <v>6</v>
      </c>
    </row>
    <row r="61" spans="2:13" ht="12.75">
      <c r="B61" s="11" t="str">
        <f t="shared" si="0"/>
        <v>AA</v>
      </c>
      <c r="C61" s="11">
        <f t="shared" si="5"/>
        <v>15</v>
      </c>
      <c r="E61" s="11" t="str">
        <f t="shared" si="1"/>
        <v>LA</v>
      </c>
      <c r="F61" s="11">
        <f t="shared" si="6"/>
        <v>21</v>
      </c>
      <c r="H61" s="18">
        <f t="shared" si="2"/>
        <v>61557.48</v>
      </c>
      <c r="I61" s="18">
        <f t="shared" si="3"/>
        <v>59521.32000000001</v>
      </c>
      <c r="K61" s="18">
        <f t="shared" si="4"/>
        <v>2036.1599999999962</v>
      </c>
      <c r="M61" s="11">
        <v>7</v>
      </c>
    </row>
    <row r="62" spans="2:13" ht="12.75">
      <c r="B62" s="11" t="str">
        <f t="shared" si="0"/>
        <v>AA</v>
      </c>
      <c r="C62" s="11">
        <f t="shared" si="5"/>
        <v>16</v>
      </c>
      <c r="E62" s="11" t="str">
        <f t="shared" si="1"/>
        <v>LA</v>
      </c>
      <c r="F62" s="11">
        <f t="shared" si="6"/>
        <v>22</v>
      </c>
      <c r="H62" s="18">
        <f t="shared" si="2"/>
        <v>61557.48</v>
      </c>
      <c r="I62" s="18">
        <f t="shared" si="3"/>
        <v>59521.32000000001</v>
      </c>
      <c r="K62" s="18">
        <f t="shared" si="4"/>
        <v>2036.1599999999962</v>
      </c>
      <c r="M62" s="11">
        <v>8</v>
      </c>
    </row>
    <row r="63" spans="2:13" ht="12.75">
      <c r="B63" s="11" t="str">
        <f t="shared" si="0"/>
        <v>AA</v>
      </c>
      <c r="C63" s="11">
        <f t="shared" si="5"/>
        <v>17</v>
      </c>
      <c r="E63" s="11" t="str">
        <f t="shared" si="1"/>
        <v>LA</v>
      </c>
      <c r="F63" s="11">
        <f t="shared" si="6"/>
        <v>23</v>
      </c>
      <c r="H63" s="18">
        <f t="shared" si="2"/>
        <v>61557.48</v>
      </c>
      <c r="I63" s="18">
        <f t="shared" si="3"/>
        <v>59521.32000000001</v>
      </c>
      <c r="K63" s="18">
        <f t="shared" si="4"/>
        <v>2036.1599999999962</v>
      </c>
      <c r="M63" s="11">
        <v>9</v>
      </c>
    </row>
    <row r="64" spans="2:13" ht="12.75">
      <c r="B64" s="11" t="str">
        <f t="shared" si="0"/>
        <v>AA</v>
      </c>
      <c r="C64" s="11">
        <f t="shared" si="5"/>
        <v>18</v>
      </c>
      <c r="E64" s="11" t="str">
        <f t="shared" si="1"/>
        <v>LA</v>
      </c>
      <c r="F64" s="11">
        <f t="shared" si="6"/>
        <v>24</v>
      </c>
      <c r="H64" s="18">
        <f t="shared" si="2"/>
        <v>61557.48</v>
      </c>
      <c r="I64" s="18">
        <f t="shared" si="3"/>
        <v>59521.32000000001</v>
      </c>
      <c r="K64" s="18">
        <f t="shared" si="4"/>
        <v>2036.1599999999962</v>
      </c>
      <c r="M64" s="11">
        <v>10</v>
      </c>
    </row>
    <row r="65" spans="2:13" ht="12.75">
      <c r="B65" s="11" t="str">
        <f t="shared" si="0"/>
        <v>AA</v>
      </c>
      <c r="C65" s="11">
        <f t="shared" si="5"/>
        <v>19</v>
      </c>
      <c r="E65" s="11" t="str">
        <f t="shared" si="1"/>
        <v>LA</v>
      </c>
      <c r="F65" s="11">
        <f t="shared" si="6"/>
        <v>25</v>
      </c>
      <c r="H65" s="18">
        <f t="shared" si="2"/>
        <v>61557.48</v>
      </c>
      <c r="I65" s="18">
        <f t="shared" si="3"/>
        <v>59521.32000000001</v>
      </c>
      <c r="K65" s="18">
        <f t="shared" si="4"/>
        <v>2036.1599999999962</v>
      </c>
      <c r="M65" s="11">
        <v>11</v>
      </c>
    </row>
    <row r="66" spans="2:13" ht="12.75">
      <c r="B66" s="11" t="str">
        <f t="shared" si="0"/>
        <v>AA</v>
      </c>
      <c r="C66" s="11">
        <f t="shared" si="5"/>
        <v>20</v>
      </c>
      <c r="E66" s="11" t="str">
        <f t="shared" si="1"/>
        <v>LA</v>
      </c>
      <c r="F66" s="11">
        <f t="shared" si="6"/>
        <v>26</v>
      </c>
      <c r="H66" s="18">
        <f t="shared" si="2"/>
        <v>61557.48</v>
      </c>
      <c r="I66" s="18">
        <f t="shared" si="3"/>
        <v>59521.32000000001</v>
      </c>
      <c r="K66" s="18">
        <f t="shared" si="4"/>
        <v>2036.1599999999962</v>
      </c>
      <c r="M66" s="11">
        <v>12</v>
      </c>
    </row>
    <row r="67" spans="2:13" ht="12.75">
      <c r="B67" s="11" t="str">
        <f t="shared" si="0"/>
        <v>AA</v>
      </c>
      <c r="C67" s="11">
        <f t="shared" si="5"/>
        <v>21</v>
      </c>
      <c r="E67" s="11" t="str">
        <f t="shared" si="1"/>
        <v>LA</v>
      </c>
      <c r="F67" s="11">
        <f t="shared" si="6"/>
        <v>27</v>
      </c>
      <c r="H67" s="18">
        <f t="shared" si="2"/>
        <v>61557.48</v>
      </c>
      <c r="I67" s="18">
        <f t="shared" si="3"/>
        <v>59521.32000000001</v>
      </c>
      <c r="K67" s="18">
        <f t="shared" si="4"/>
        <v>2036.1599999999962</v>
      </c>
      <c r="M67" s="11">
        <v>13</v>
      </c>
    </row>
    <row r="68" spans="2:13" ht="12.75">
      <c r="B68" s="11" t="str">
        <f t="shared" si="0"/>
        <v>AA</v>
      </c>
      <c r="C68" s="11">
        <f t="shared" si="5"/>
        <v>22</v>
      </c>
      <c r="E68" s="11" t="str">
        <f t="shared" si="1"/>
        <v>LA</v>
      </c>
      <c r="F68" s="11">
        <f t="shared" si="6"/>
        <v>28</v>
      </c>
      <c r="H68" s="18">
        <f t="shared" si="2"/>
        <v>61557.48</v>
      </c>
      <c r="I68" s="18">
        <f t="shared" si="3"/>
        <v>59521.32000000001</v>
      </c>
      <c r="K68" s="18">
        <f t="shared" si="4"/>
        <v>2036.1599999999962</v>
      </c>
      <c r="M68" s="11">
        <v>14</v>
      </c>
    </row>
    <row r="69" spans="2:13" ht="12.75">
      <c r="B69" s="11" t="str">
        <f t="shared" si="0"/>
        <v>AA</v>
      </c>
      <c r="C69" s="11">
        <f t="shared" si="5"/>
        <v>23</v>
      </c>
      <c r="E69" s="11" t="str">
        <f t="shared" si="1"/>
        <v>LA</v>
      </c>
      <c r="F69" s="11">
        <f t="shared" si="6"/>
        <v>29</v>
      </c>
      <c r="H69" s="18">
        <f t="shared" si="2"/>
        <v>61557.48</v>
      </c>
      <c r="I69" s="18">
        <f t="shared" si="3"/>
        <v>59521.32000000001</v>
      </c>
      <c r="K69" s="18">
        <f t="shared" si="4"/>
        <v>2036.1599999999962</v>
      </c>
      <c r="M69" s="11">
        <v>15</v>
      </c>
    </row>
    <row r="70" spans="2:13" ht="12.75">
      <c r="B70" s="11" t="str">
        <f t="shared" si="0"/>
        <v>AA</v>
      </c>
      <c r="C70" s="11">
        <f t="shared" si="5"/>
        <v>24</v>
      </c>
      <c r="E70" s="11" t="str">
        <f t="shared" si="1"/>
        <v>LA</v>
      </c>
      <c r="F70" s="11">
        <f t="shared" si="6"/>
        <v>30</v>
      </c>
      <c r="H70" s="18">
        <f t="shared" si="2"/>
        <v>61557.48</v>
      </c>
      <c r="I70" s="18">
        <f t="shared" si="3"/>
        <v>59521.32000000001</v>
      </c>
      <c r="K70" s="18">
        <f t="shared" si="4"/>
        <v>2036.1599999999962</v>
      </c>
      <c r="M70" s="11">
        <v>16</v>
      </c>
    </row>
    <row r="71" spans="2:13" ht="12.75">
      <c r="B71" s="11" t="str">
        <f t="shared" si="0"/>
        <v>AA</v>
      </c>
      <c r="C71" s="11">
        <f t="shared" si="5"/>
        <v>25</v>
      </c>
      <c r="E71" s="11" t="str">
        <f t="shared" si="1"/>
        <v>LA</v>
      </c>
      <c r="F71" s="11">
        <f t="shared" si="6"/>
        <v>31</v>
      </c>
      <c r="H71" s="18">
        <f t="shared" si="2"/>
        <v>61557.48</v>
      </c>
      <c r="I71" s="18">
        <f t="shared" si="3"/>
        <v>59521.32000000001</v>
      </c>
      <c r="K71" s="18">
        <f t="shared" si="4"/>
        <v>2036.1599999999962</v>
      </c>
      <c r="M71" s="11">
        <v>17</v>
      </c>
    </row>
    <row r="72" spans="2:13" ht="12.75">
      <c r="B72" s="11" t="str">
        <f t="shared" si="0"/>
        <v>AA</v>
      </c>
      <c r="C72" s="11">
        <f t="shared" si="5"/>
        <v>26</v>
      </c>
      <c r="E72" s="11" t="str">
        <f t="shared" si="1"/>
        <v>LA</v>
      </c>
      <c r="F72" s="11">
        <f t="shared" si="6"/>
        <v>32</v>
      </c>
      <c r="H72" s="18">
        <f t="shared" si="2"/>
        <v>61557.48</v>
      </c>
      <c r="I72" s="18">
        <f t="shared" si="3"/>
        <v>59521.32000000001</v>
      </c>
      <c r="K72" s="18">
        <f t="shared" si="4"/>
        <v>2036.1599999999962</v>
      </c>
      <c r="M72" s="11">
        <v>18</v>
      </c>
    </row>
    <row r="73" spans="2:13" ht="12.75">
      <c r="B73" s="11" t="str">
        <f t="shared" si="0"/>
        <v>AA</v>
      </c>
      <c r="C73" s="11">
        <f t="shared" si="5"/>
        <v>27</v>
      </c>
      <c r="E73" s="11" t="str">
        <f t="shared" si="1"/>
        <v>LA</v>
      </c>
      <c r="F73" s="11">
        <f t="shared" si="6"/>
        <v>33</v>
      </c>
      <c r="H73" s="18">
        <f t="shared" si="2"/>
        <v>61557.48</v>
      </c>
      <c r="I73" s="18">
        <f t="shared" si="3"/>
        <v>59521.32000000001</v>
      </c>
      <c r="K73" s="18">
        <f t="shared" si="4"/>
        <v>2036.1599999999962</v>
      </c>
      <c r="M73" s="11">
        <v>19</v>
      </c>
    </row>
    <row r="74" spans="2:13" ht="12.75">
      <c r="B74" s="11" t="str">
        <f t="shared" si="0"/>
        <v>AA</v>
      </c>
      <c r="C74" s="11">
        <f t="shared" si="5"/>
        <v>28</v>
      </c>
      <c r="E74" s="11" t="str">
        <f t="shared" si="1"/>
        <v>LA</v>
      </c>
      <c r="F74" s="11">
        <f t="shared" si="6"/>
        <v>34</v>
      </c>
      <c r="H74" s="18">
        <f t="shared" si="2"/>
        <v>61557.48</v>
      </c>
      <c r="I74" s="18">
        <f t="shared" si="3"/>
        <v>59521.32000000001</v>
      </c>
      <c r="K74" s="18">
        <f t="shared" si="4"/>
        <v>2036.1599999999962</v>
      </c>
      <c r="M74" s="11">
        <v>20</v>
      </c>
    </row>
    <row r="75" spans="2:13" ht="12.75">
      <c r="B75" s="11" t="str">
        <f t="shared" si="0"/>
        <v>AA</v>
      </c>
      <c r="C75" s="11">
        <f t="shared" si="5"/>
        <v>29</v>
      </c>
      <c r="E75" s="11" t="str">
        <f t="shared" si="1"/>
        <v>LA</v>
      </c>
      <c r="F75" s="11">
        <f t="shared" si="6"/>
        <v>35</v>
      </c>
      <c r="H75" s="18">
        <f t="shared" si="2"/>
        <v>61557.48</v>
      </c>
      <c r="I75" s="18">
        <f t="shared" si="3"/>
        <v>59521.32000000001</v>
      </c>
      <c r="K75" s="18">
        <f t="shared" si="4"/>
        <v>2036.1599999999962</v>
      </c>
      <c r="M75" s="11">
        <v>21</v>
      </c>
    </row>
    <row r="76" spans="2:13" ht="12.75">
      <c r="B76" s="11" t="str">
        <f t="shared" si="0"/>
        <v>AA</v>
      </c>
      <c r="C76" s="11">
        <f t="shared" si="5"/>
        <v>30</v>
      </c>
      <c r="E76" s="11" t="str">
        <f t="shared" si="1"/>
        <v>LA</v>
      </c>
      <c r="F76" s="11">
        <f t="shared" si="6"/>
        <v>36</v>
      </c>
      <c r="H76" s="18">
        <f t="shared" si="2"/>
        <v>61557.48</v>
      </c>
      <c r="I76" s="18">
        <f t="shared" si="3"/>
        <v>59521.32000000001</v>
      </c>
      <c r="K76" s="18">
        <f t="shared" si="4"/>
        <v>2036.1599999999962</v>
      </c>
      <c r="M76" s="11">
        <v>22</v>
      </c>
    </row>
    <row r="77" spans="2:13" ht="12.75">
      <c r="B77" s="11" t="str">
        <f t="shared" si="0"/>
        <v>AA</v>
      </c>
      <c r="C77" s="11">
        <f t="shared" si="5"/>
        <v>31</v>
      </c>
      <c r="E77" s="11" t="str">
        <f t="shared" si="1"/>
        <v>LA</v>
      </c>
      <c r="F77" s="11">
        <f t="shared" si="6"/>
        <v>37</v>
      </c>
      <c r="H77" s="18">
        <f t="shared" si="2"/>
        <v>61557.48</v>
      </c>
      <c r="I77" s="18">
        <f t="shared" si="3"/>
        <v>59521.32000000001</v>
      </c>
      <c r="K77" s="18">
        <f t="shared" si="4"/>
        <v>2036.1599999999962</v>
      </c>
      <c r="M77" s="11">
        <v>23</v>
      </c>
    </row>
    <row r="78" spans="2:13" ht="12.75">
      <c r="B78" s="11" t="str">
        <f t="shared" si="0"/>
        <v>AA</v>
      </c>
      <c r="C78" s="11">
        <f t="shared" si="5"/>
        <v>32</v>
      </c>
      <c r="E78" s="11" t="str">
        <f t="shared" si="1"/>
        <v>LA</v>
      </c>
      <c r="F78" s="11">
        <f t="shared" si="6"/>
        <v>38</v>
      </c>
      <c r="H78" s="18">
        <f t="shared" si="2"/>
        <v>61557.48</v>
      </c>
      <c r="I78" s="18">
        <f t="shared" si="3"/>
        <v>59521.32000000001</v>
      </c>
      <c r="K78" s="18">
        <f t="shared" si="4"/>
        <v>2036.1599999999962</v>
      </c>
      <c r="M78" s="11">
        <v>24</v>
      </c>
    </row>
    <row r="79" spans="2:13" ht="12.75">
      <c r="B79" s="11" t="str">
        <f t="shared" si="0"/>
        <v>AA</v>
      </c>
      <c r="C79" s="11">
        <f t="shared" si="5"/>
        <v>33</v>
      </c>
      <c r="E79" s="11" t="str">
        <f t="shared" si="1"/>
        <v>LA</v>
      </c>
      <c r="F79" s="11">
        <f t="shared" si="6"/>
        <v>39</v>
      </c>
      <c r="H79" s="18">
        <f t="shared" si="2"/>
        <v>61557.48</v>
      </c>
      <c r="I79" s="18">
        <f t="shared" si="3"/>
        <v>59521.32000000001</v>
      </c>
      <c r="K79" s="18">
        <f t="shared" si="4"/>
        <v>2036.1599999999962</v>
      </c>
      <c r="M79" s="11">
        <v>25</v>
      </c>
    </row>
    <row r="80" spans="2:13" ht="12.75">
      <c r="B80" s="11" t="str">
        <f t="shared" si="0"/>
        <v>AA</v>
      </c>
      <c r="C80" s="11">
        <f t="shared" si="5"/>
        <v>34</v>
      </c>
      <c r="E80" s="11" t="str">
        <f t="shared" si="1"/>
        <v>LA</v>
      </c>
      <c r="F80" s="11">
        <f t="shared" si="6"/>
        <v>40</v>
      </c>
      <c r="H80" s="18">
        <f t="shared" si="2"/>
        <v>61557.48</v>
      </c>
      <c r="I80" s="18">
        <f t="shared" si="3"/>
        <v>59521.32000000001</v>
      </c>
      <c r="K80" s="18">
        <f t="shared" si="4"/>
        <v>2036.1599999999962</v>
      </c>
      <c r="M80" s="11">
        <v>26</v>
      </c>
    </row>
    <row r="81" spans="2:13" ht="12.75">
      <c r="B81" s="11" t="str">
        <f t="shared" si="0"/>
        <v>AA</v>
      </c>
      <c r="C81" s="11">
        <f t="shared" si="5"/>
        <v>35</v>
      </c>
      <c r="E81" s="11" t="str">
        <f t="shared" si="1"/>
        <v>LA</v>
      </c>
      <c r="F81" s="11">
        <f t="shared" si="6"/>
        <v>41</v>
      </c>
      <c r="H81" s="18">
        <f t="shared" si="2"/>
        <v>0</v>
      </c>
      <c r="I81" s="18">
        <f t="shared" si="3"/>
        <v>0</v>
      </c>
      <c r="K81" s="18">
        <f t="shared" si="4"/>
        <v>0</v>
      </c>
      <c r="M81" s="11">
        <v>27</v>
      </c>
    </row>
    <row r="82" spans="2:13" ht="12.75">
      <c r="B82" s="11" t="str">
        <f t="shared" si="0"/>
        <v>AA</v>
      </c>
      <c r="C82" s="11">
        <f t="shared" si="5"/>
        <v>36</v>
      </c>
      <c r="E82" s="11" t="str">
        <f t="shared" si="1"/>
        <v>LA</v>
      </c>
      <c r="F82" s="11">
        <f t="shared" si="6"/>
        <v>42</v>
      </c>
      <c r="H82" s="18">
        <f t="shared" si="2"/>
        <v>0</v>
      </c>
      <c r="I82" s="18">
        <f t="shared" si="3"/>
        <v>0</v>
      </c>
      <c r="K82" s="18">
        <f t="shared" si="4"/>
        <v>0</v>
      </c>
      <c r="M82" s="11">
        <v>28</v>
      </c>
    </row>
    <row r="83" spans="2:13" ht="12.75">
      <c r="B83" s="11" t="str">
        <f t="shared" si="0"/>
        <v>AA</v>
      </c>
      <c r="C83" s="11">
        <f t="shared" si="5"/>
        <v>37</v>
      </c>
      <c r="E83" s="11" t="str">
        <f t="shared" si="1"/>
        <v>LA</v>
      </c>
      <c r="F83" s="11">
        <f t="shared" si="6"/>
        <v>43</v>
      </c>
      <c r="H83" s="18">
        <f t="shared" si="2"/>
        <v>0</v>
      </c>
      <c r="I83" s="18">
        <f t="shared" si="3"/>
        <v>0</v>
      </c>
      <c r="K83" s="18">
        <f t="shared" si="4"/>
        <v>0</v>
      </c>
      <c r="M83" s="11">
        <v>29</v>
      </c>
    </row>
    <row r="84" spans="2:13" ht="12.75">
      <c r="B84" s="11" t="str">
        <f t="shared" si="0"/>
        <v>AA</v>
      </c>
      <c r="C84" s="11">
        <f t="shared" si="5"/>
        <v>38</v>
      </c>
      <c r="E84" s="11" t="str">
        <f t="shared" si="1"/>
        <v>LA</v>
      </c>
      <c r="F84" s="11">
        <f t="shared" si="6"/>
        <v>44</v>
      </c>
      <c r="H84" s="18">
        <f t="shared" si="2"/>
        <v>0</v>
      </c>
      <c r="I84" s="18">
        <f t="shared" si="3"/>
        <v>0</v>
      </c>
      <c r="K84" s="18">
        <f t="shared" si="4"/>
        <v>0</v>
      </c>
      <c r="M84" s="11">
        <v>30</v>
      </c>
    </row>
    <row r="85" spans="2:13" ht="12.75">
      <c r="B85" s="11" t="str">
        <f t="shared" si="0"/>
        <v>AA</v>
      </c>
      <c r="C85" s="11">
        <f t="shared" si="5"/>
        <v>39</v>
      </c>
      <c r="E85" s="11" t="str">
        <f t="shared" si="1"/>
        <v>LA</v>
      </c>
      <c r="F85" s="11">
        <f t="shared" si="6"/>
        <v>45</v>
      </c>
      <c r="H85" s="18">
        <f t="shared" si="2"/>
        <v>0</v>
      </c>
      <c r="I85" s="18">
        <f t="shared" si="3"/>
        <v>0</v>
      </c>
      <c r="K85" s="18">
        <f t="shared" si="4"/>
        <v>0</v>
      </c>
      <c r="M85" s="11">
        <v>31</v>
      </c>
    </row>
    <row r="86" spans="2:13" ht="12.75">
      <c r="B86" s="11" t="str">
        <f t="shared" si="0"/>
        <v>AA</v>
      </c>
      <c r="C86" s="11">
        <f t="shared" si="5"/>
        <v>40</v>
      </c>
      <c r="E86" s="11" t="str">
        <f t="shared" si="1"/>
        <v>LA</v>
      </c>
      <c r="F86" s="11">
        <f t="shared" si="6"/>
        <v>46</v>
      </c>
      <c r="H86" s="18">
        <f t="shared" si="2"/>
        <v>0</v>
      </c>
      <c r="I86" s="18">
        <f t="shared" si="3"/>
        <v>0</v>
      </c>
      <c r="K86" s="18">
        <f t="shared" si="4"/>
        <v>0</v>
      </c>
      <c r="M86" s="11">
        <v>32</v>
      </c>
    </row>
    <row r="87" spans="2:13" ht="12.75">
      <c r="B87" s="11" t="str">
        <f t="shared" si="0"/>
        <v>AA</v>
      </c>
      <c r="C87" s="11">
        <f t="shared" si="5"/>
        <v>41</v>
      </c>
      <c r="E87" s="11" t="str">
        <f t="shared" si="1"/>
        <v>LA</v>
      </c>
      <c r="F87" s="11">
        <f t="shared" si="6"/>
        <v>47</v>
      </c>
      <c r="H87" s="18">
        <f t="shared" si="2"/>
        <v>0</v>
      </c>
      <c r="I87" s="18">
        <f t="shared" si="3"/>
        <v>0</v>
      </c>
      <c r="K87" s="18">
        <f t="shared" si="4"/>
        <v>0</v>
      </c>
      <c r="M87" s="11">
        <v>33</v>
      </c>
    </row>
    <row r="88" spans="2:13" ht="12.75">
      <c r="B88" s="11" t="str">
        <f t="shared" si="0"/>
        <v>AA</v>
      </c>
      <c r="C88" s="11">
        <f t="shared" si="5"/>
        <v>42</v>
      </c>
      <c r="E88" s="11" t="str">
        <f t="shared" si="1"/>
        <v>LA</v>
      </c>
      <c r="F88" s="11">
        <f t="shared" si="6"/>
        <v>48</v>
      </c>
      <c r="H88" s="18">
        <f t="shared" si="2"/>
        <v>0</v>
      </c>
      <c r="I88" s="18">
        <f t="shared" si="3"/>
        <v>0</v>
      </c>
      <c r="K88" s="18">
        <f t="shared" si="4"/>
        <v>0</v>
      </c>
      <c r="M88" s="11">
        <v>34</v>
      </c>
    </row>
    <row r="89" spans="2:13" ht="12.75">
      <c r="B89" s="11" t="str">
        <f t="shared" si="0"/>
        <v>AA</v>
      </c>
      <c r="C89" s="11">
        <f t="shared" si="5"/>
        <v>43</v>
      </c>
      <c r="E89" s="11" t="str">
        <f t="shared" si="1"/>
        <v>LA</v>
      </c>
      <c r="F89" s="11">
        <f t="shared" si="6"/>
        <v>49</v>
      </c>
      <c r="H89" s="18">
        <f t="shared" si="2"/>
        <v>0</v>
      </c>
      <c r="I89" s="18">
        <f t="shared" si="3"/>
        <v>0</v>
      </c>
      <c r="K89" s="18">
        <f t="shared" si="4"/>
        <v>0</v>
      </c>
      <c r="M89" s="11">
        <v>35</v>
      </c>
    </row>
    <row r="90" spans="2:13" ht="12.75">
      <c r="B90" s="11" t="str">
        <f t="shared" si="0"/>
        <v>AA</v>
      </c>
      <c r="C90" s="11">
        <f t="shared" si="5"/>
        <v>44</v>
      </c>
      <c r="E90" s="11" t="str">
        <f t="shared" si="1"/>
        <v>LA</v>
      </c>
      <c r="F90" s="11">
        <f t="shared" si="6"/>
        <v>50</v>
      </c>
      <c r="H90" s="18">
        <f t="shared" si="2"/>
        <v>0</v>
      </c>
      <c r="I90" s="18">
        <f t="shared" si="3"/>
        <v>0</v>
      </c>
      <c r="K90" s="18">
        <f t="shared" si="4"/>
        <v>0</v>
      </c>
      <c r="M90" s="11">
        <v>36</v>
      </c>
    </row>
    <row r="91" spans="2:13" ht="12.75">
      <c r="B91" s="11" t="str">
        <f t="shared" si="0"/>
        <v>AA</v>
      </c>
      <c r="C91" s="11">
        <f t="shared" si="5"/>
        <v>45</v>
      </c>
      <c r="E91" s="11" t="str">
        <f t="shared" si="1"/>
        <v>LA</v>
      </c>
      <c r="F91" s="11">
        <f t="shared" si="6"/>
        <v>51</v>
      </c>
      <c r="H91" s="18">
        <f t="shared" si="2"/>
        <v>0</v>
      </c>
      <c r="I91" s="18">
        <f t="shared" si="3"/>
        <v>0</v>
      </c>
      <c r="K91" s="18">
        <f t="shared" si="4"/>
        <v>0</v>
      </c>
      <c r="M91" s="11">
        <v>37</v>
      </c>
    </row>
    <row r="92" spans="2:13" ht="12.75">
      <c r="B92" s="11" t="str">
        <f t="shared" si="0"/>
        <v>AA</v>
      </c>
      <c r="C92" s="11">
        <f t="shared" si="5"/>
        <v>46</v>
      </c>
      <c r="E92" s="11" t="str">
        <f t="shared" si="1"/>
        <v>LA</v>
      </c>
      <c r="F92" s="11">
        <f t="shared" si="6"/>
        <v>52</v>
      </c>
      <c r="H92" s="18">
        <f t="shared" si="2"/>
        <v>0</v>
      </c>
      <c r="I92" s="18">
        <f t="shared" si="3"/>
        <v>0</v>
      </c>
      <c r="K92" s="18">
        <f t="shared" si="4"/>
        <v>0</v>
      </c>
      <c r="M92" s="11">
        <v>38</v>
      </c>
    </row>
    <row r="93" spans="2:13" ht="12.75">
      <c r="B93" s="11" t="str">
        <f t="shared" si="0"/>
        <v>AA</v>
      </c>
      <c r="C93" s="11">
        <f t="shared" si="5"/>
        <v>47</v>
      </c>
      <c r="E93" s="11" t="str">
        <f t="shared" si="1"/>
        <v>LA</v>
      </c>
      <c r="F93" s="11">
        <f t="shared" si="6"/>
        <v>53</v>
      </c>
      <c r="H93" s="18">
        <f t="shared" si="2"/>
        <v>0</v>
      </c>
      <c r="I93" s="18">
        <f t="shared" si="3"/>
        <v>0</v>
      </c>
      <c r="K93" s="18">
        <f t="shared" si="4"/>
        <v>0</v>
      </c>
      <c r="M93" s="11">
        <v>39</v>
      </c>
    </row>
    <row r="94" spans="2:13" ht="12.75">
      <c r="B94" s="11" t="str">
        <f t="shared" si="0"/>
        <v>AA</v>
      </c>
      <c r="C94" s="11">
        <f t="shared" si="5"/>
        <v>48</v>
      </c>
      <c r="E94" s="11" t="str">
        <f t="shared" si="1"/>
        <v>LA</v>
      </c>
      <c r="F94" s="11">
        <f t="shared" si="6"/>
        <v>54</v>
      </c>
      <c r="H94" s="18">
        <f t="shared" si="2"/>
        <v>0</v>
      </c>
      <c r="I94" s="18">
        <f t="shared" si="3"/>
        <v>0</v>
      </c>
      <c r="K94" s="18">
        <f t="shared" si="4"/>
        <v>0</v>
      </c>
      <c r="M94" s="11">
        <v>40</v>
      </c>
    </row>
    <row r="95" spans="2:13" ht="12.75">
      <c r="B95" s="11" t="str">
        <f t="shared" si="0"/>
        <v>AA</v>
      </c>
      <c r="C95" s="11">
        <f t="shared" si="5"/>
        <v>49</v>
      </c>
      <c r="E95" s="11" t="str">
        <f t="shared" si="1"/>
        <v>LA</v>
      </c>
      <c r="F95" s="11">
        <f t="shared" si="6"/>
        <v>55</v>
      </c>
      <c r="H95" s="18">
        <f t="shared" si="2"/>
        <v>0</v>
      </c>
      <c r="I95" s="18">
        <f t="shared" si="3"/>
        <v>0</v>
      </c>
      <c r="K95" s="18">
        <f t="shared" si="4"/>
        <v>0</v>
      </c>
      <c r="M95" s="11">
        <v>41</v>
      </c>
    </row>
    <row r="96" spans="2:13" ht="12.75">
      <c r="B96" s="11" t="str">
        <f t="shared" si="0"/>
        <v>AA</v>
      </c>
      <c r="C96" s="11">
        <f t="shared" si="5"/>
        <v>50</v>
      </c>
      <c r="E96" s="11" t="str">
        <f t="shared" si="1"/>
        <v>LA</v>
      </c>
      <c r="F96" s="11">
        <f t="shared" si="6"/>
        <v>56</v>
      </c>
      <c r="H96" s="18">
        <f t="shared" si="2"/>
        <v>0</v>
      </c>
      <c r="I96" s="18">
        <f t="shared" si="3"/>
        <v>0</v>
      </c>
      <c r="K96" s="18">
        <f t="shared" si="4"/>
        <v>0</v>
      </c>
      <c r="M96" s="11">
        <v>42</v>
      </c>
    </row>
    <row r="97" spans="2:13" ht="12.75">
      <c r="B97" s="11" t="str">
        <f t="shared" si="0"/>
        <v>AA</v>
      </c>
      <c r="C97" s="11">
        <f t="shared" si="5"/>
        <v>51</v>
      </c>
      <c r="E97" s="11" t="str">
        <f t="shared" si="1"/>
        <v>LA</v>
      </c>
      <c r="F97" s="11">
        <f t="shared" si="6"/>
        <v>57</v>
      </c>
      <c r="H97" s="18">
        <f t="shared" si="2"/>
        <v>0</v>
      </c>
      <c r="I97" s="18">
        <f t="shared" si="3"/>
        <v>0</v>
      </c>
      <c r="K97" s="18">
        <f t="shared" si="4"/>
        <v>0</v>
      </c>
      <c r="M97" s="11">
        <v>43</v>
      </c>
    </row>
    <row r="98" spans="2:13" ht="12.75">
      <c r="B98" s="11" t="str">
        <f t="shared" si="0"/>
        <v>AA</v>
      </c>
      <c r="C98" s="11">
        <f t="shared" si="5"/>
        <v>52</v>
      </c>
      <c r="E98" s="11" t="str">
        <f t="shared" si="1"/>
        <v>LA</v>
      </c>
      <c r="F98" s="11">
        <f t="shared" si="6"/>
        <v>58</v>
      </c>
      <c r="H98" s="18">
        <f t="shared" si="2"/>
        <v>0</v>
      </c>
      <c r="I98" s="18">
        <f t="shared" si="3"/>
        <v>0</v>
      </c>
      <c r="K98" s="18">
        <f t="shared" si="4"/>
        <v>0</v>
      </c>
      <c r="M98" s="11">
        <v>44</v>
      </c>
    </row>
    <row r="99" spans="2:13" ht="12.75">
      <c r="B99" s="11" t="str">
        <f t="shared" si="0"/>
        <v>AA</v>
      </c>
      <c r="C99" s="11">
        <f t="shared" si="5"/>
        <v>53</v>
      </c>
      <c r="E99" s="11" t="str">
        <f t="shared" si="1"/>
        <v>LA</v>
      </c>
      <c r="F99" s="11">
        <f t="shared" si="6"/>
        <v>59</v>
      </c>
      <c r="H99" s="18">
        <f t="shared" si="2"/>
        <v>0</v>
      </c>
      <c r="I99" s="18">
        <f t="shared" si="3"/>
        <v>0</v>
      </c>
      <c r="K99" s="18">
        <f t="shared" si="4"/>
        <v>0</v>
      </c>
      <c r="M99" s="11">
        <v>45</v>
      </c>
    </row>
    <row r="100" spans="8:11" ht="12.75">
      <c r="H100" s="18"/>
      <c r="I100" s="18"/>
      <c r="K100" s="18"/>
    </row>
    <row r="101" spans="8:11" ht="12.75">
      <c r="H101" s="18"/>
      <c r="I101" s="18"/>
      <c r="K101" s="18"/>
    </row>
    <row r="103" ht="12.75">
      <c r="K103" s="18">
        <f>SUM(K54:K99)</f>
        <v>61702.91999999991</v>
      </c>
    </row>
    <row r="104" spans="9:11" ht="12.75">
      <c r="I104" s="11" t="s">
        <v>31</v>
      </c>
      <c r="K104" s="18">
        <f>IF(G27=0,0,+K103/G27)</f>
        <v>2285.29333333333</v>
      </c>
    </row>
  </sheetData>
  <sheetProtection password="DE55" sheet="1" objects="1" scenarios="1"/>
  <mergeCells count="1">
    <mergeCell ref="G6:H6"/>
  </mergeCells>
  <dataValidations count="2">
    <dataValidation type="list" allowBlank="1" showInputMessage="1" showErrorMessage="1" sqref="G20">
      <formula1>$AC$21:$AC$22</formula1>
    </dataValidation>
    <dataValidation type="list" allowBlank="1" showInputMessage="1" showErrorMessage="1" sqref="G17 G8">
      <formula1>$Z$4:$Z$48</formula1>
    </dataValidation>
  </dataValidations>
  <printOptions gridLines="1"/>
  <pageMargins left="0.75" right="0.75" top="1" bottom="1" header="0.5" footer="0.5"/>
  <pageSetup fitToHeight="1" fitToWidth="1" horizontalDpi="600" verticalDpi="600" orientation="landscape" paperSize="9" r:id="rId4"/>
  <headerFooter alignWithMargins="0">
    <oddHeader>&amp;L&amp;"Arial,Vet"&amp;A&amp;C&amp;"Arial,Vet"&amp;D&amp;R&amp;"Arial,Vet"&amp;F</oddHeader>
    <oddFooter>&amp;L&amp;"Arial,Vet"&amp;9gemaakt door keizer, vos/abb&amp;R&amp;"Arial,Vet"&amp;P</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AC185"/>
  <sheetViews>
    <sheetView zoomScale="95" zoomScaleNormal="95" workbookViewId="0" topLeftCell="A1">
      <selection activeCell="G5" sqref="G5:H5"/>
    </sheetView>
  </sheetViews>
  <sheetFormatPr defaultColWidth="9.140625" defaultRowHeight="12.75"/>
  <cols>
    <col min="1" max="1" width="1.7109375" style="11" customWidth="1"/>
    <col min="2" max="2" width="3.140625" style="11" customWidth="1"/>
    <col min="3" max="5" width="9.7109375" style="11" customWidth="1"/>
    <col min="6" max="6" width="11.57421875" style="11" customWidth="1"/>
    <col min="7" max="7" width="12.7109375" style="11" customWidth="1"/>
    <col min="8" max="8" width="11.00390625" style="11" customWidth="1"/>
    <col min="9" max="9" width="14.421875" style="11" customWidth="1"/>
    <col min="10" max="14" width="9.7109375" style="11" customWidth="1"/>
    <col min="15" max="15" width="2.28125" style="11" customWidth="1"/>
    <col min="16" max="16384" width="9.7109375" style="11" customWidth="1"/>
  </cols>
  <sheetData>
    <row r="1" ht="7.5" customHeight="1"/>
    <row r="2" ht="15.75">
      <c r="C2" s="12" t="s">
        <v>217</v>
      </c>
    </row>
    <row r="3" spans="3:29" ht="8.25" customHeight="1">
      <c r="C3" s="12"/>
      <c r="AB3" s="10" t="s">
        <v>115</v>
      </c>
      <c r="AC3" s="51">
        <v>11</v>
      </c>
    </row>
    <row r="4" spans="2:29" ht="15">
      <c r="B4" s="13"/>
      <c r="C4" s="13" t="s">
        <v>218</v>
      </c>
      <c r="AB4" s="10" t="s">
        <v>108</v>
      </c>
      <c r="AC4" s="51">
        <v>13</v>
      </c>
    </row>
    <row r="5" spans="3:29" ht="12.75">
      <c r="C5" s="14" t="s">
        <v>219</v>
      </c>
      <c r="D5" s="15"/>
      <c r="E5" s="15"/>
      <c r="G5" s="137" t="s">
        <v>32</v>
      </c>
      <c r="H5" s="137"/>
      <c r="Q5" s="35" t="s">
        <v>160</v>
      </c>
      <c r="AB5" s="10" t="s">
        <v>109</v>
      </c>
      <c r="AC5" s="51">
        <v>15</v>
      </c>
    </row>
    <row r="6" spans="3:29" ht="12.75">
      <c r="C6" s="14" t="s">
        <v>23</v>
      </c>
      <c r="E6" s="11" t="s">
        <v>21</v>
      </c>
      <c r="G6" s="21" t="s">
        <v>15</v>
      </c>
      <c r="Q6" s="35" t="s">
        <v>163</v>
      </c>
      <c r="AB6" s="10" t="s">
        <v>110</v>
      </c>
      <c r="AC6" s="51">
        <v>17</v>
      </c>
    </row>
    <row r="7" spans="5:29" ht="12.75">
      <c r="E7" s="11" t="s">
        <v>22</v>
      </c>
      <c r="G7" s="20">
        <v>8</v>
      </c>
      <c r="I7" s="11" t="s">
        <v>203</v>
      </c>
      <c r="J7" s="11">
        <f>VLOOKUP(G6,salaristabellen,22,FALSE)</f>
        <v>18</v>
      </c>
      <c r="AB7" s="10" t="s">
        <v>111</v>
      </c>
      <c r="AC7" s="51">
        <v>10</v>
      </c>
    </row>
    <row r="8" spans="5:29" ht="12.75">
      <c r="E8" s="11" t="s">
        <v>24</v>
      </c>
      <c r="G8" s="20">
        <f>VLOOKUP(G6,salaristabellen,G7+1,FALSE)</f>
        <v>2741</v>
      </c>
      <c r="AB8" s="10" t="s">
        <v>112</v>
      </c>
      <c r="AC8" s="51">
        <v>11</v>
      </c>
    </row>
    <row r="9" spans="3:29" ht="12.75">
      <c r="C9" s="14" t="s">
        <v>25</v>
      </c>
      <c r="G9" s="22">
        <v>1</v>
      </c>
      <c r="AB9" s="10" t="s">
        <v>113</v>
      </c>
      <c r="AC9" s="52">
        <v>13</v>
      </c>
    </row>
    <row r="10" spans="5:29" ht="12.75">
      <c r="E10" s="11" t="s">
        <v>26</v>
      </c>
      <c r="G10" s="97">
        <f>+G8*G9</f>
        <v>2741</v>
      </c>
      <c r="AB10" s="10" t="s">
        <v>114</v>
      </c>
      <c r="AC10" s="52">
        <v>15</v>
      </c>
    </row>
    <row r="11" spans="28:29" ht="9" customHeight="1">
      <c r="AB11" s="8" t="s">
        <v>3</v>
      </c>
      <c r="AC11" s="5">
        <v>13</v>
      </c>
    </row>
    <row r="12" spans="3:29" ht="12.75">
      <c r="C12" s="14" t="s">
        <v>220</v>
      </c>
      <c r="AB12" s="8" t="s">
        <v>4</v>
      </c>
      <c r="AC12" s="5">
        <v>15</v>
      </c>
    </row>
    <row r="13" spans="4:29" ht="12.75">
      <c r="D13" s="11" t="s">
        <v>221</v>
      </c>
      <c r="G13" s="21" t="s">
        <v>160</v>
      </c>
      <c r="AB13" s="8" t="s">
        <v>5</v>
      </c>
      <c r="AC13" s="5">
        <v>17</v>
      </c>
    </row>
    <row r="14" spans="4:29" ht="12.75">
      <c r="D14" s="11" t="s">
        <v>222</v>
      </c>
      <c r="G14" s="21" t="s">
        <v>163</v>
      </c>
      <c r="AB14" s="8" t="s">
        <v>6</v>
      </c>
      <c r="AC14" s="5">
        <v>16</v>
      </c>
    </row>
    <row r="15" spans="4:29" ht="13.5" thickBot="1">
      <c r="D15" s="11" t="s">
        <v>223</v>
      </c>
      <c r="G15" s="21" t="s">
        <v>163</v>
      </c>
      <c r="AB15" s="8" t="s">
        <v>7</v>
      </c>
      <c r="AC15" s="16">
        <v>18</v>
      </c>
    </row>
    <row r="16" spans="4:29" ht="13.5" thickTop="1">
      <c r="D16" s="11" t="s">
        <v>224</v>
      </c>
      <c r="G16" s="20">
        <v>2</v>
      </c>
      <c r="I16" s="90"/>
      <c r="J16" s="75"/>
      <c r="K16" s="75"/>
      <c r="L16" s="75"/>
      <c r="M16" s="75"/>
      <c r="N16" s="91"/>
      <c r="AB16" s="8" t="s">
        <v>8</v>
      </c>
      <c r="AC16" s="16">
        <v>18</v>
      </c>
    </row>
    <row r="17" spans="9:29" ht="12.75">
      <c r="I17" s="68"/>
      <c r="J17" s="67"/>
      <c r="K17" s="67"/>
      <c r="L17" s="69"/>
      <c r="M17" s="67"/>
      <c r="N17" s="93"/>
      <c r="AB17" s="8" t="s">
        <v>9</v>
      </c>
      <c r="AC17" s="16">
        <v>18</v>
      </c>
    </row>
    <row r="18" spans="3:29" ht="12.75">
      <c r="C18" s="14" t="s">
        <v>225</v>
      </c>
      <c r="G18" s="94">
        <f>IF(G7+G16&gt;J7,"verkeerde invoer",(VLOOKUP(G6,salaristabellen,G7+G16+1,FALSE)-VLOOKUP(G6,salaristabellen,G7+1,FALSE))*G9)</f>
        <v>113</v>
      </c>
      <c r="H18" s="15"/>
      <c r="I18" s="70" t="s">
        <v>164</v>
      </c>
      <c r="J18" s="67"/>
      <c r="K18" s="67"/>
      <c r="L18" s="67"/>
      <c r="M18" s="67"/>
      <c r="N18" s="93"/>
      <c r="AB18" s="8" t="s">
        <v>10</v>
      </c>
      <c r="AC18" s="16">
        <v>11</v>
      </c>
    </row>
    <row r="19" spans="3:29" ht="12.75">
      <c r="C19" s="14" t="s">
        <v>210</v>
      </c>
      <c r="G19" s="133">
        <v>0.515</v>
      </c>
      <c r="H19" s="15"/>
      <c r="I19" s="68"/>
      <c r="J19" s="27"/>
      <c r="K19" s="27"/>
      <c r="L19" s="27"/>
      <c r="M19" s="67"/>
      <c r="N19" s="93"/>
      <c r="AB19" s="8" t="s">
        <v>11</v>
      </c>
      <c r="AC19" s="16">
        <v>13</v>
      </c>
    </row>
    <row r="20" spans="3:29" ht="13.5" thickBot="1">
      <c r="C20" s="14" t="s">
        <v>211</v>
      </c>
      <c r="G20" s="95">
        <f>+G18*12*(1+G19)</f>
        <v>2054.34</v>
      </c>
      <c r="I20" s="98"/>
      <c r="J20" s="99"/>
      <c r="K20" s="99"/>
      <c r="L20" s="99"/>
      <c r="M20" s="66"/>
      <c r="N20" s="100"/>
      <c r="AB20" s="8" t="s">
        <v>12</v>
      </c>
      <c r="AC20" s="16">
        <v>18</v>
      </c>
    </row>
    <row r="21" spans="3:29" ht="13.5" thickTop="1">
      <c r="C21" s="14" t="s">
        <v>226</v>
      </c>
      <c r="G21" s="11">
        <f>IF(G16=0,0,+(J7-G7))</f>
        <v>10</v>
      </c>
      <c r="I21"/>
      <c r="J21"/>
      <c r="K21"/>
      <c r="AB21" s="8" t="s">
        <v>13</v>
      </c>
      <c r="AC21" s="16">
        <v>20</v>
      </c>
    </row>
    <row r="22" spans="3:29" ht="12.75">
      <c r="C22" s="14" t="s">
        <v>213</v>
      </c>
      <c r="G22" s="96">
        <f>+J125*G9</f>
        <v>3010.608</v>
      </c>
      <c r="H22" s="17"/>
      <c r="I22"/>
      <c r="J22"/>
      <c r="K22"/>
      <c r="AB22" s="8" t="s">
        <v>14</v>
      </c>
      <c r="AC22" s="16">
        <v>19</v>
      </c>
    </row>
    <row r="23" spans="3:29" ht="12.75">
      <c r="C23" s="14" t="s">
        <v>227</v>
      </c>
      <c r="G23" s="96">
        <f>+J124*G9</f>
        <v>30106.08</v>
      </c>
      <c r="I23"/>
      <c r="J23"/>
      <c r="K23"/>
      <c r="AB23" s="8" t="s">
        <v>0</v>
      </c>
      <c r="AC23" s="16">
        <v>18</v>
      </c>
    </row>
    <row r="24" spans="9:29" ht="9" customHeight="1">
      <c r="I24"/>
      <c r="J24"/>
      <c r="K24"/>
      <c r="O24" s="19"/>
      <c r="AB24" s="8" t="s">
        <v>15</v>
      </c>
      <c r="AC24" s="16">
        <v>18</v>
      </c>
    </row>
    <row r="25" spans="3:29" ht="15.75">
      <c r="C25" s="62" t="s">
        <v>228</v>
      </c>
      <c r="D25"/>
      <c r="E25"/>
      <c r="F25"/>
      <c r="G25"/>
      <c r="H25"/>
      <c r="I25"/>
      <c r="J25"/>
      <c r="K25"/>
      <c r="AB25" s="8" t="s">
        <v>16</v>
      </c>
      <c r="AC25" s="16">
        <v>18</v>
      </c>
    </row>
    <row r="26" spans="3:29" ht="12.75">
      <c r="C26" s="101" t="s">
        <v>182</v>
      </c>
      <c r="D26" s="136" t="s">
        <v>229</v>
      </c>
      <c r="E26" s="135"/>
      <c r="F26" s="135"/>
      <c r="G26" s="1"/>
      <c r="H26"/>
      <c r="I26"/>
      <c r="J26"/>
      <c r="K26"/>
      <c r="AB26" s="8" t="s">
        <v>17</v>
      </c>
      <c r="AC26" s="16">
        <v>18</v>
      </c>
    </row>
    <row r="27" spans="3:29" ht="12.75">
      <c r="C27" s="1" t="s">
        <v>184</v>
      </c>
      <c r="D27"/>
      <c r="E27"/>
      <c r="F27"/>
      <c r="G27"/>
      <c r="H27"/>
      <c r="I27"/>
      <c r="J27"/>
      <c r="K27"/>
      <c r="AB27" s="8" t="s">
        <v>18</v>
      </c>
      <c r="AC27" s="16">
        <v>18</v>
      </c>
    </row>
    <row r="28" spans="3:29" ht="12.75">
      <c r="C28" s="1" t="s">
        <v>185</v>
      </c>
      <c r="D28"/>
      <c r="E28"/>
      <c r="F28"/>
      <c r="G28" s="23">
        <v>500</v>
      </c>
      <c r="H28"/>
      <c r="I28"/>
      <c r="J28"/>
      <c r="K28"/>
      <c r="AB28" s="10" t="s">
        <v>19</v>
      </c>
      <c r="AC28" s="16">
        <v>1</v>
      </c>
    </row>
    <row r="29" spans="3:29" ht="12.75">
      <c r="C29" s="1" t="s">
        <v>187</v>
      </c>
      <c r="D29"/>
      <c r="E29"/>
      <c r="F29"/>
      <c r="G29" s="24">
        <v>0.75</v>
      </c>
      <c r="H29"/>
      <c r="I29"/>
      <c r="J29"/>
      <c r="K29"/>
      <c r="AB29" s="10" t="s">
        <v>20</v>
      </c>
      <c r="AC29" s="16">
        <v>1</v>
      </c>
    </row>
    <row r="30" spans="3:29" ht="12.75">
      <c r="C30" s="1" t="s">
        <v>230</v>
      </c>
      <c r="D30"/>
      <c r="E30"/>
      <c r="F30"/>
      <c r="G30" s="82">
        <f>ROUND(+G28*G29,0)</f>
        <v>375</v>
      </c>
      <c r="H30"/>
      <c r="I30"/>
      <c r="J30"/>
      <c r="K30"/>
      <c r="AB30" s="10">
        <v>1</v>
      </c>
      <c r="AC30" s="16">
        <v>7</v>
      </c>
    </row>
    <row r="31" spans="3:29" ht="9" customHeight="1">
      <c r="C31" s="1"/>
      <c r="D31"/>
      <c r="E31"/>
      <c r="F31"/>
      <c r="G31"/>
      <c r="H31"/>
      <c r="I31"/>
      <c r="J31"/>
      <c r="K31"/>
      <c r="AB31" s="10">
        <v>2</v>
      </c>
      <c r="AC31" s="16">
        <v>8</v>
      </c>
    </row>
    <row r="32" spans="3:29" ht="12.75">
      <c r="C32" s="1" t="s">
        <v>231</v>
      </c>
      <c r="D32"/>
      <c r="E32"/>
      <c r="F32"/>
      <c r="G32" s="24">
        <v>0.02</v>
      </c>
      <c r="H32"/>
      <c r="I32"/>
      <c r="J32"/>
      <c r="K32"/>
      <c r="AB32" s="10">
        <v>3</v>
      </c>
      <c r="AC32" s="16">
        <v>9</v>
      </c>
    </row>
    <row r="33" spans="3:29" ht="12.75">
      <c r="C33" s="1" t="s">
        <v>230</v>
      </c>
      <c r="D33"/>
      <c r="E33"/>
      <c r="F33"/>
      <c r="G33" s="82">
        <f>ROUND(+G30*G32,0)</f>
        <v>8</v>
      </c>
      <c r="H33"/>
      <c r="I33"/>
      <c r="J33"/>
      <c r="K33"/>
      <c r="AB33" s="10">
        <v>4</v>
      </c>
      <c r="AC33" s="16">
        <v>11</v>
      </c>
    </row>
    <row r="34" spans="3:29" ht="12.75">
      <c r="C34" s="1" t="s">
        <v>232</v>
      </c>
      <c r="D34"/>
      <c r="E34"/>
      <c r="F34"/>
      <c r="G34" s="83">
        <v>1800</v>
      </c>
      <c r="H34"/>
      <c r="I34"/>
      <c r="J34"/>
      <c r="K34"/>
      <c r="AB34" s="10">
        <v>5</v>
      </c>
      <c r="AC34" s="16">
        <v>12</v>
      </c>
    </row>
    <row r="35" spans="3:29" ht="12.75">
      <c r="C35" s="1" t="s">
        <v>233</v>
      </c>
      <c r="D35"/>
      <c r="E35"/>
      <c r="F35"/>
      <c r="G35" s="84">
        <f>+G33*G34</f>
        <v>14400</v>
      </c>
      <c r="H35"/>
      <c r="I35"/>
      <c r="J35"/>
      <c r="K35"/>
      <c r="AB35" s="10">
        <v>6</v>
      </c>
      <c r="AC35" s="16">
        <v>11</v>
      </c>
    </row>
    <row r="36" spans="3:29" ht="12.75">
      <c r="C36" s="1"/>
      <c r="D36"/>
      <c r="E36"/>
      <c r="F36"/>
      <c r="G36"/>
      <c r="H36"/>
      <c r="I36"/>
      <c r="J36"/>
      <c r="K36"/>
      <c r="AB36" s="10">
        <v>7</v>
      </c>
      <c r="AC36" s="16">
        <v>12</v>
      </c>
    </row>
    <row r="37" spans="3:29" ht="12.75">
      <c r="C37" s="1"/>
      <c r="D37"/>
      <c r="E37"/>
      <c r="F37"/>
      <c r="G37"/>
      <c r="H37"/>
      <c r="I37"/>
      <c r="J37"/>
      <c r="K37"/>
      <c r="AB37" s="10">
        <v>8</v>
      </c>
      <c r="AC37" s="16">
        <v>13</v>
      </c>
    </row>
    <row r="38" spans="3:29" ht="12.75">
      <c r="C38" s="1"/>
      <c r="D38"/>
      <c r="E38"/>
      <c r="F38"/>
      <c r="G38"/>
      <c r="H38"/>
      <c r="I38"/>
      <c r="J38"/>
      <c r="K38"/>
      <c r="AB38" s="10">
        <v>9</v>
      </c>
      <c r="AC38" s="16">
        <v>10</v>
      </c>
    </row>
    <row r="39" spans="7:29" ht="12.75">
      <c r="G39"/>
      <c r="H39"/>
      <c r="I39"/>
      <c r="J39"/>
      <c r="K39"/>
      <c r="AB39" s="10">
        <v>10</v>
      </c>
      <c r="AC39" s="16">
        <v>13</v>
      </c>
    </row>
    <row r="40" spans="7:29" ht="12.75">
      <c r="G40"/>
      <c r="H40"/>
      <c r="I40"/>
      <c r="J40"/>
      <c r="K40"/>
      <c r="AB40" s="10">
        <v>11</v>
      </c>
      <c r="AC40" s="16">
        <v>18</v>
      </c>
    </row>
    <row r="41" spans="7:29" ht="12.75">
      <c r="G41"/>
      <c r="H41"/>
      <c r="I41"/>
      <c r="J41"/>
      <c r="K41"/>
      <c r="AB41" s="10">
        <v>12</v>
      </c>
      <c r="AC41" s="16">
        <v>16</v>
      </c>
    </row>
    <row r="42" spans="7:29" ht="12.75">
      <c r="G42"/>
      <c r="H42"/>
      <c r="I42"/>
      <c r="J42"/>
      <c r="K42"/>
      <c r="AB42" s="10">
        <v>13</v>
      </c>
      <c r="AC42" s="16">
        <v>13</v>
      </c>
    </row>
    <row r="43" spans="2:29" ht="15">
      <c r="B43" s="13"/>
      <c r="G43"/>
      <c r="H43"/>
      <c r="I43"/>
      <c r="J43"/>
      <c r="K43"/>
      <c r="AB43" s="10">
        <v>14</v>
      </c>
      <c r="AC43" s="16">
        <v>11</v>
      </c>
    </row>
    <row r="44" spans="7:29" ht="12.75">
      <c r="G44"/>
      <c r="H44"/>
      <c r="I44"/>
      <c r="J44"/>
      <c r="K44"/>
      <c r="AB44" s="10">
        <v>15</v>
      </c>
      <c r="AC44" s="16">
        <v>12</v>
      </c>
    </row>
    <row r="45" spans="7:29" ht="12.75">
      <c r="G45"/>
      <c r="H45"/>
      <c r="I45"/>
      <c r="J45"/>
      <c r="K45"/>
      <c r="AB45" s="10" t="s">
        <v>116</v>
      </c>
      <c r="AC45" s="16">
        <v>7</v>
      </c>
    </row>
    <row r="46" spans="3:29" ht="12.75">
      <c r="C46"/>
      <c r="D46"/>
      <c r="E46"/>
      <c r="F46"/>
      <c r="G46"/>
      <c r="H46"/>
      <c r="I46"/>
      <c r="J46"/>
      <c r="K46"/>
      <c r="AB46" s="10" t="s">
        <v>117</v>
      </c>
      <c r="AC46" s="16">
        <v>8</v>
      </c>
    </row>
    <row r="47" spans="3:29" ht="12.75">
      <c r="C47"/>
      <c r="D47"/>
      <c r="E47"/>
      <c r="F47"/>
      <c r="G47"/>
      <c r="H47"/>
      <c r="I47"/>
      <c r="J47"/>
      <c r="K47"/>
      <c r="AB47" s="10" t="s">
        <v>118</v>
      </c>
      <c r="AC47" s="16">
        <v>7</v>
      </c>
    </row>
    <row r="48" spans="3:11" ht="12.75">
      <c r="C48"/>
      <c r="D48"/>
      <c r="E48"/>
      <c r="F48"/>
      <c r="G48"/>
      <c r="H48"/>
      <c r="I48"/>
      <c r="J48"/>
      <c r="K48"/>
    </row>
    <row r="49" spans="3:11" ht="12.75">
      <c r="C49"/>
      <c r="D49"/>
      <c r="E49"/>
      <c r="F49"/>
      <c r="G49"/>
      <c r="H49"/>
      <c r="I49"/>
      <c r="J49"/>
      <c r="K49"/>
    </row>
    <row r="50" spans="3:11" ht="12.75">
      <c r="C50"/>
      <c r="D50"/>
      <c r="E50"/>
      <c r="F50"/>
      <c r="G50"/>
      <c r="H50"/>
      <c r="I50"/>
      <c r="J50"/>
      <c r="K50"/>
    </row>
    <row r="51" spans="3:11" ht="12.75">
      <c r="C51"/>
      <c r="D51"/>
      <c r="E51"/>
      <c r="F51"/>
      <c r="G51"/>
      <c r="H51"/>
      <c r="I51"/>
      <c r="J51"/>
      <c r="K51"/>
    </row>
    <row r="52" spans="3:11" ht="12.75">
      <c r="C52"/>
      <c r="D52"/>
      <c r="E52"/>
      <c r="F52"/>
      <c r="G52"/>
      <c r="H52"/>
      <c r="I52"/>
      <c r="J52"/>
      <c r="K52"/>
    </row>
    <row r="53" spans="3:11" ht="12.75">
      <c r="C53"/>
      <c r="D53"/>
      <c r="E53"/>
      <c r="F53"/>
      <c r="G53"/>
      <c r="H53"/>
      <c r="I53"/>
      <c r="J53"/>
      <c r="K53"/>
    </row>
    <row r="54" spans="3:11" ht="12.75">
      <c r="C54"/>
      <c r="D54"/>
      <c r="E54"/>
      <c r="F54"/>
      <c r="G54"/>
      <c r="H54"/>
      <c r="I54"/>
      <c r="J54"/>
      <c r="K54"/>
    </row>
    <row r="55" spans="3:11" ht="12.75">
      <c r="C55"/>
      <c r="D55"/>
      <c r="E55"/>
      <c r="F55"/>
      <c r="G55"/>
      <c r="H55"/>
      <c r="I55"/>
      <c r="J55"/>
      <c r="K55"/>
    </row>
    <row r="56" spans="3:11" ht="12.75">
      <c r="C56"/>
      <c r="D56"/>
      <c r="E56"/>
      <c r="F56"/>
      <c r="G56"/>
      <c r="H56"/>
      <c r="I56"/>
      <c r="J56"/>
      <c r="K56"/>
    </row>
    <row r="57" spans="3:11" ht="12.75">
      <c r="C57"/>
      <c r="D57"/>
      <c r="E57"/>
      <c r="F57"/>
      <c r="G57"/>
      <c r="H57"/>
      <c r="I57"/>
      <c r="J57"/>
      <c r="K57"/>
    </row>
    <row r="58" spans="3:11" ht="12.75">
      <c r="C58"/>
      <c r="D58"/>
      <c r="E58"/>
      <c r="F58"/>
      <c r="G58"/>
      <c r="H58"/>
      <c r="I58"/>
      <c r="J58"/>
      <c r="K58"/>
    </row>
    <row r="59" spans="3:11" ht="12.75">
      <c r="C59"/>
      <c r="D59"/>
      <c r="E59"/>
      <c r="F59"/>
      <c r="G59"/>
      <c r="H59"/>
      <c r="I59"/>
      <c r="J59"/>
      <c r="K59"/>
    </row>
    <row r="60" spans="3:11" ht="12.75">
      <c r="C60"/>
      <c r="D60"/>
      <c r="E60"/>
      <c r="F60"/>
      <c r="G60"/>
      <c r="H60"/>
      <c r="I60"/>
      <c r="J60"/>
      <c r="K60"/>
    </row>
    <row r="61" spans="3:11" ht="12.75">
      <c r="C61"/>
      <c r="D61"/>
      <c r="E61"/>
      <c r="F61"/>
      <c r="G61"/>
      <c r="H61"/>
      <c r="I61"/>
      <c r="J61"/>
      <c r="K61"/>
    </row>
    <row r="62" spans="3:11" ht="12.75">
      <c r="C62"/>
      <c r="D62"/>
      <c r="E62"/>
      <c r="F62"/>
      <c r="G62"/>
      <c r="H62"/>
      <c r="I62"/>
      <c r="J62"/>
      <c r="K62"/>
    </row>
    <row r="63" spans="3:11" ht="12.75">
      <c r="C63"/>
      <c r="D63"/>
      <c r="E63"/>
      <c r="F63"/>
      <c r="G63"/>
      <c r="H63"/>
      <c r="I63"/>
      <c r="J63"/>
      <c r="K63"/>
    </row>
    <row r="64" spans="3:11" ht="12.75">
      <c r="C64"/>
      <c r="D64"/>
      <c r="E64"/>
      <c r="F64"/>
      <c r="G64"/>
      <c r="H64"/>
      <c r="I64"/>
      <c r="J64"/>
      <c r="K64"/>
    </row>
    <row r="65" spans="3:11" ht="12.75">
      <c r="C65"/>
      <c r="D65"/>
      <c r="E65"/>
      <c r="F65"/>
      <c r="G65"/>
      <c r="H65"/>
      <c r="I65"/>
      <c r="J65"/>
      <c r="K65"/>
    </row>
    <row r="66" spans="3:11" ht="12.75">
      <c r="C66"/>
      <c r="D66"/>
      <c r="E66"/>
      <c r="F66"/>
      <c r="G66"/>
      <c r="H66"/>
      <c r="I66"/>
      <c r="J66"/>
      <c r="K66"/>
    </row>
    <row r="100" ht="12.75">
      <c r="C100" s="11" t="s">
        <v>234</v>
      </c>
    </row>
    <row r="102" spans="3:10" ht="12.75">
      <c r="C102" s="11" t="s">
        <v>21</v>
      </c>
      <c r="D102" s="11" t="s">
        <v>29</v>
      </c>
      <c r="E102" s="11" t="s">
        <v>28</v>
      </c>
      <c r="J102" s="11" t="s">
        <v>30</v>
      </c>
    </row>
    <row r="103" spans="3:12" ht="12.75">
      <c r="C103" s="11" t="str">
        <f>+$G$6</f>
        <v>LB</v>
      </c>
      <c r="D103" s="11">
        <f>+$G$7+$G$16+L103</f>
        <v>10</v>
      </c>
      <c r="E103" s="11">
        <f>+$G$7+L103</f>
        <v>8</v>
      </c>
      <c r="G103" s="18">
        <f>IF(D103&gt;$J$7,VLOOKUP($C103,salaristabellen,$J$7+1,FALSE),VLOOKUP($C103,salaristabellen,D103+1,FALSE))*12*(1+G$19)</f>
        <v>51885.72</v>
      </c>
      <c r="H103" s="18">
        <f>IF(E103&gt;$J$7,VLOOKUP($C103,salaristabellen,$J$7+1,FALSE),VLOOKUP($C103,salaristabellen,E103+1,FALSE))*12*(1+G$19)</f>
        <v>49831.380000000005</v>
      </c>
      <c r="J103" s="18">
        <f>+G103-H103</f>
        <v>2054.3399999999965</v>
      </c>
      <c r="L103" s="11">
        <v>0</v>
      </c>
    </row>
    <row r="104" spans="3:12" ht="12.75">
      <c r="C104" s="11" t="str">
        <f aca="true" t="shared" si="0" ref="C104:C122">+$G$6</f>
        <v>LB</v>
      </c>
      <c r="D104" s="11">
        <f aca="true" t="shared" si="1" ref="D104:D122">+$G$7+$G$16+L104</f>
        <v>11</v>
      </c>
      <c r="E104" s="11">
        <f aca="true" t="shared" si="2" ref="E104:E122">+$G$7+L104</f>
        <v>9</v>
      </c>
      <c r="G104" s="18">
        <f aca="true" t="shared" si="3" ref="G104:G122">IF(D104&gt;$J$7,VLOOKUP($C104,salaristabellen,$J$7+1,FALSE),VLOOKUP($C104,salaristabellen,D104+1,FALSE))*12*(1+G$19)</f>
        <v>52867.44</v>
      </c>
      <c r="H104" s="18">
        <f aca="true" t="shared" si="4" ref="H104:H122">IF(E104&gt;$J$7,VLOOKUP($C104,salaristabellen,$J$7+1,FALSE),VLOOKUP($C104,salaristabellen,E104+1,FALSE))*12*(1+G$19)</f>
        <v>50849.46000000001</v>
      </c>
      <c r="J104" s="18">
        <f aca="true" t="shared" si="5" ref="J104:J122">+G104-H104</f>
        <v>2017.979999999996</v>
      </c>
      <c r="L104" s="11">
        <v>1</v>
      </c>
    </row>
    <row r="105" spans="3:12" ht="12.75">
      <c r="C105" s="11" t="str">
        <f t="shared" si="0"/>
        <v>LB</v>
      </c>
      <c r="D105" s="11">
        <f t="shared" si="1"/>
        <v>12</v>
      </c>
      <c r="E105" s="11">
        <f t="shared" si="2"/>
        <v>10</v>
      </c>
      <c r="G105" s="18">
        <f t="shared" si="3"/>
        <v>53885.520000000004</v>
      </c>
      <c r="H105" s="18">
        <f t="shared" si="4"/>
        <v>51885.72</v>
      </c>
      <c r="J105" s="18">
        <f t="shared" si="5"/>
        <v>1999.800000000003</v>
      </c>
      <c r="L105" s="11">
        <v>2</v>
      </c>
    </row>
    <row r="106" spans="3:12" ht="12.75">
      <c r="C106" s="11" t="str">
        <f t="shared" si="0"/>
        <v>LB</v>
      </c>
      <c r="D106" s="11">
        <f t="shared" si="1"/>
        <v>13</v>
      </c>
      <c r="E106" s="11">
        <f t="shared" si="2"/>
        <v>11</v>
      </c>
      <c r="G106" s="18">
        <f t="shared" si="3"/>
        <v>54867.240000000005</v>
      </c>
      <c r="H106" s="18">
        <f t="shared" si="4"/>
        <v>52867.44</v>
      </c>
      <c r="J106" s="18">
        <f t="shared" si="5"/>
        <v>1999.800000000003</v>
      </c>
      <c r="L106" s="11">
        <v>3</v>
      </c>
    </row>
    <row r="107" spans="3:12" ht="12.75">
      <c r="C107" s="11" t="str">
        <f t="shared" si="0"/>
        <v>LB</v>
      </c>
      <c r="D107" s="11">
        <f t="shared" si="1"/>
        <v>14</v>
      </c>
      <c r="E107" s="11">
        <f t="shared" si="2"/>
        <v>12</v>
      </c>
      <c r="G107" s="18">
        <f t="shared" si="3"/>
        <v>56976.12</v>
      </c>
      <c r="H107" s="18">
        <f t="shared" si="4"/>
        <v>53885.520000000004</v>
      </c>
      <c r="J107" s="18">
        <f t="shared" si="5"/>
        <v>3090.5999999999985</v>
      </c>
      <c r="L107" s="11">
        <v>4</v>
      </c>
    </row>
    <row r="108" spans="3:12" ht="12.75">
      <c r="C108" s="11" t="str">
        <f t="shared" si="0"/>
        <v>LB</v>
      </c>
      <c r="D108" s="11">
        <f t="shared" si="1"/>
        <v>15</v>
      </c>
      <c r="E108" s="11">
        <f t="shared" si="2"/>
        <v>13</v>
      </c>
      <c r="G108" s="18">
        <f t="shared" si="3"/>
        <v>59066.82000000001</v>
      </c>
      <c r="H108" s="18">
        <f t="shared" si="4"/>
        <v>54867.240000000005</v>
      </c>
      <c r="J108" s="18">
        <f t="shared" si="5"/>
        <v>4199.580000000002</v>
      </c>
      <c r="L108" s="11">
        <v>5</v>
      </c>
    </row>
    <row r="109" spans="3:12" ht="12.75">
      <c r="C109" s="11" t="str">
        <f t="shared" si="0"/>
        <v>LB</v>
      </c>
      <c r="D109" s="11">
        <f t="shared" si="1"/>
        <v>16</v>
      </c>
      <c r="E109" s="11">
        <f t="shared" si="2"/>
        <v>14</v>
      </c>
      <c r="G109" s="18">
        <f t="shared" si="3"/>
        <v>61175.700000000004</v>
      </c>
      <c r="H109" s="18">
        <f t="shared" si="4"/>
        <v>56976.12</v>
      </c>
      <c r="J109" s="18">
        <f t="shared" si="5"/>
        <v>4199.580000000002</v>
      </c>
      <c r="L109" s="11">
        <v>6</v>
      </c>
    </row>
    <row r="110" spans="3:12" ht="12.75">
      <c r="C110" s="11" t="str">
        <f t="shared" si="0"/>
        <v>LB</v>
      </c>
      <c r="D110" s="11">
        <f t="shared" si="1"/>
        <v>17</v>
      </c>
      <c r="E110" s="11">
        <f t="shared" si="2"/>
        <v>15</v>
      </c>
      <c r="G110" s="18">
        <f t="shared" si="3"/>
        <v>63302.76</v>
      </c>
      <c r="H110" s="18">
        <f t="shared" si="4"/>
        <v>59066.82000000001</v>
      </c>
      <c r="J110" s="18">
        <f t="shared" si="5"/>
        <v>4235.939999999995</v>
      </c>
      <c r="L110" s="11">
        <v>7</v>
      </c>
    </row>
    <row r="111" spans="3:12" ht="12.75">
      <c r="C111" s="11" t="str">
        <f t="shared" si="0"/>
        <v>LB</v>
      </c>
      <c r="D111" s="11">
        <f t="shared" si="1"/>
        <v>18</v>
      </c>
      <c r="E111" s="11">
        <f t="shared" si="2"/>
        <v>16</v>
      </c>
      <c r="G111" s="18">
        <f t="shared" si="3"/>
        <v>65393.46000000001</v>
      </c>
      <c r="H111" s="18">
        <f t="shared" si="4"/>
        <v>61175.700000000004</v>
      </c>
      <c r="J111" s="18">
        <f t="shared" si="5"/>
        <v>4217.760000000002</v>
      </c>
      <c r="L111" s="11">
        <v>8</v>
      </c>
    </row>
    <row r="112" spans="3:12" ht="12.75">
      <c r="C112" s="11" t="str">
        <f t="shared" si="0"/>
        <v>LB</v>
      </c>
      <c r="D112" s="11">
        <f t="shared" si="1"/>
        <v>19</v>
      </c>
      <c r="E112" s="11">
        <f t="shared" si="2"/>
        <v>17</v>
      </c>
      <c r="G112" s="18">
        <f t="shared" si="3"/>
        <v>65393.46000000001</v>
      </c>
      <c r="H112" s="18">
        <f t="shared" si="4"/>
        <v>63302.76</v>
      </c>
      <c r="J112" s="18">
        <f t="shared" si="5"/>
        <v>2090.7000000000044</v>
      </c>
      <c r="L112" s="11">
        <v>9</v>
      </c>
    </row>
    <row r="113" spans="3:12" ht="12.75">
      <c r="C113" s="11" t="str">
        <f t="shared" si="0"/>
        <v>LB</v>
      </c>
      <c r="D113" s="11">
        <f t="shared" si="1"/>
        <v>20</v>
      </c>
      <c r="E113" s="11">
        <f t="shared" si="2"/>
        <v>18</v>
      </c>
      <c r="G113" s="18">
        <f t="shared" si="3"/>
        <v>65393.46000000001</v>
      </c>
      <c r="H113" s="18">
        <f t="shared" si="4"/>
        <v>65393.46000000001</v>
      </c>
      <c r="J113" s="18">
        <f t="shared" si="5"/>
        <v>0</v>
      </c>
      <c r="L113" s="11">
        <v>10</v>
      </c>
    </row>
    <row r="114" spans="3:12" ht="12.75">
      <c r="C114" s="11" t="str">
        <f t="shared" si="0"/>
        <v>LB</v>
      </c>
      <c r="D114" s="11">
        <f t="shared" si="1"/>
        <v>21</v>
      </c>
      <c r="E114" s="11">
        <f t="shared" si="2"/>
        <v>19</v>
      </c>
      <c r="G114" s="18">
        <f t="shared" si="3"/>
        <v>65393.46000000001</v>
      </c>
      <c r="H114" s="18">
        <f t="shared" si="4"/>
        <v>65393.46000000001</v>
      </c>
      <c r="J114" s="18">
        <f t="shared" si="5"/>
        <v>0</v>
      </c>
      <c r="L114" s="11">
        <v>11</v>
      </c>
    </row>
    <row r="115" spans="3:12" ht="12.75">
      <c r="C115" s="11" t="str">
        <f t="shared" si="0"/>
        <v>LB</v>
      </c>
      <c r="D115" s="11">
        <f t="shared" si="1"/>
        <v>22</v>
      </c>
      <c r="E115" s="11">
        <f t="shared" si="2"/>
        <v>20</v>
      </c>
      <c r="G115" s="18">
        <f t="shared" si="3"/>
        <v>65393.46000000001</v>
      </c>
      <c r="H115" s="18">
        <f t="shared" si="4"/>
        <v>65393.46000000001</v>
      </c>
      <c r="J115" s="18">
        <f t="shared" si="5"/>
        <v>0</v>
      </c>
      <c r="L115" s="11">
        <v>12</v>
      </c>
    </row>
    <row r="116" spans="3:12" ht="12.75">
      <c r="C116" s="11" t="str">
        <f t="shared" si="0"/>
        <v>LB</v>
      </c>
      <c r="D116" s="11">
        <f t="shared" si="1"/>
        <v>23</v>
      </c>
      <c r="E116" s="11">
        <f t="shared" si="2"/>
        <v>21</v>
      </c>
      <c r="G116" s="18">
        <f t="shared" si="3"/>
        <v>65393.46000000001</v>
      </c>
      <c r="H116" s="18">
        <f t="shared" si="4"/>
        <v>65393.46000000001</v>
      </c>
      <c r="J116" s="18">
        <f t="shared" si="5"/>
        <v>0</v>
      </c>
      <c r="L116" s="11">
        <v>13</v>
      </c>
    </row>
    <row r="117" spans="3:12" ht="12.75">
      <c r="C117" s="11" t="str">
        <f t="shared" si="0"/>
        <v>LB</v>
      </c>
      <c r="D117" s="11">
        <f t="shared" si="1"/>
        <v>24</v>
      </c>
      <c r="E117" s="11">
        <f t="shared" si="2"/>
        <v>22</v>
      </c>
      <c r="G117" s="18">
        <f t="shared" si="3"/>
        <v>65393.46000000001</v>
      </c>
      <c r="H117" s="18">
        <f t="shared" si="4"/>
        <v>65393.46000000001</v>
      </c>
      <c r="J117" s="18">
        <f t="shared" si="5"/>
        <v>0</v>
      </c>
      <c r="L117" s="11">
        <v>14</v>
      </c>
    </row>
    <row r="118" spans="3:12" ht="12.75">
      <c r="C118" s="11" t="str">
        <f t="shared" si="0"/>
        <v>LB</v>
      </c>
      <c r="D118" s="11">
        <f t="shared" si="1"/>
        <v>25</v>
      </c>
      <c r="E118" s="11">
        <f t="shared" si="2"/>
        <v>23</v>
      </c>
      <c r="G118" s="18">
        <f t="shared" si="3"/>
        <v>65393.46000000001</v>
      </c>
      <c r="H118" s="18">
        <f t="shared" si="4"/>
        <v>65393.46000000001</v>
      </c>
      <c r="J118" s="18">
        <f t="shared" si="5"/>
        <v>0</v>
      </c>
      <c r="L118" s="11">
        <v>15</v>
      </c>
    </row>
    <row r="119" spans="3:12" ht="12.75">
      <c r="C119" s="11" t="str">
        <f t="shared" si="0"/>
        <v>LB</v>
      </c>
      <c r="D119" s="11">
        <f t="shared" si="1"/>
        <v>26</v>
      </c>
      <c r="E119" s="11">
        <f t="shared" si="2"/>
        <v>24</v>
      </c>
      <c r="G119" s="18">
        <f t="shared" si="3"/>
        <v>65393.46000000001</v>
      </c>
      <c r="H119" s="18">
        <f t="shared" si="4"/>
        <v>65393.46000000001</v>
      </c>
      <c r="J119" s="18">
        <f t="shared" si="5"/>
        <v>0</v>
      </c>
      <c r="L119" s="11">
        <v>16</v>
      </c>
    </row>
    <row r="120" spans="3:12" ht="12.75">
      <c r="C120" s="11" t="str">
        <f t="shared" si="0"/>
        <v>LB</v>
      </c>
      <c r="D120" s="11">
        <f t="shared" si="1"/>
        <v>27</v>
      </c>
      <c r="E120" s="11">
        <f t="shared" si="2"/>
        <v>25</v>
      </c>
      <c r="G120" s="18">
        <f t="shared" si="3"/>
        <v>65393.46000000001</v>
      </c>
      <c r="H120" s="18">
        <f t="shared" si="4"/>
        <v>65393.46000000001</v>
      </c>
      <c r="J120" s="18">
        <f t="shared" si="5"/>
        <v>0</v>
      </c>
      <c r="L120" s="11">
        <v>17</v>
      </c>
    </row>
    <row r="121" spans="3:12" ht="12.75">
      <c r="C121" s="11" t="str">
        <f t="shared" si="0"/>
        <v>LB</v>
      </c>
      <c r="D121" s="11">
        <f t="shared" si="1"/>
        <v>28</v>
      </c>
      <c r="E121" s="11">
        <f t="shared" si="2"/>
        <v>26</v>
      </c>
      <c r="G121" s="18">
        <f t="shared" si="3"/>
        <v>65393.46000000001</v>
      </c>
      <c r="H121" s="18">
        <f t="shared" si="4"/>
        <v>65393.46000000001</v>
      </c>
      <c r="J121" s="18">
        <f t="shared" si="5"/>
        <v>0</v>
      </c>
      <c r="L121" s="11">
        <v>18</v>
      </c>
    </row>
    <row r="122" spans="3:12" ht="12.75">
      <c r="C122" s="11" t="str">
        <f t="shared" si="0"/>
        <v>LB</v>
      </c>
      <c r="D122" s="11">
        <f t="shared" si="1"/>
        <v>29</v>
      </c>
      <c r="E122" s="11">
        <f t="shared" si="2"/>
        <v>27</v>
      </c>
      <c r="G122" s="18">
        <f t="shared" si="3"/>
        <v>65393.46000000001</v>
      </c>
      <c r="H122" s="18">
        <f t="shared" si="4"/>
        <v>65393.46000000001</v>
      </c>
      <c r="J122" s="18">
        <f t="shared" si="5"/>
        <v>0</v>
      </c>
      <c r="L122" s="11">
        <v>19</v>
      </c>
    </row>
    <row r="124" ht="12.75">
      <c r="J124" s="18">
        <f>SUM(J103:J122)</f>
        <v>30106.08</v>
      </c>
    </row>
    <row r="125" spans="8:10" ht="12.75">
      <c r="H125" s="11" t="s">
        <v>31</v>
      </c>
      <c r="J125" s="18">
        <f>IF(G21=0,0,+J124/G21)</f>
        <v>3010.608</v>
      </c>
    </row>
    <row r="133" spans="7:10" ht="12.75">
      <c r="G133" s="18"/>
      <c r="H133" s="18"/>
      <c r="J133" s="18"/>
    </row>
    <row r="134" spans="7:10" ht="12.75">
      <c r="G134" s="18"/>
      <c r="H134" s="18"/>
      <c r="J134" s="18"/>
    </row>
    <row r="135" spans="7:10" ht="12.75">
      <c r="G135" s="18"/>
      <c r="H135" s="18"/>
      <c r="J135" s="18"/>
    </row>
    <row r="136" spans="7:10" ht="12.75">
      <c r="G136" s="18"/>
      <c r="H136" s="18"/>
      <c r="J136" s="18"/>
    </row>
    <row r="137" spans="7:10" ht="12.75">
      <c r="G137" s="18"/>
      <c r="H137" s="18"/>
      <c r="J137" s="18"/>
    </row>
    <row r="138" spans="7:10" ht="12.75">
      <c r="G138" s="18"/>
      <c r="H138" s="18"/>
      <c r="J138" s="18"/>
    </row>
    <row r="139" spans="7:10" ht="12.75">
      <c r="G139" s="18"/>
      <c r="H139" s="18"/>
      <c r="J139" s="18"/>
    </row>
    <row r="140" spans="7:10" ht="12.75">
      <c r="G140" s="18"/>
      <c r="H140" s="18"/>
      <c r="J140" s="18"/>
    </row>
    <row r="141" spans="7:10" ht="12.75">
      <c r="G141" s="18"/>
      <c r="H141" s="18"/>
      <c r="J141" s="18"/>
    </row>
    <row r="142" spans="7:10" ht="12.75">
      <c r="G142" s="18"/>
      <c r="H142" s="18"/>
      <c r="J142" s="18"/>
    </row>
    <row r="143" spans="7:10" ht="12.75">
      <c r="G143" s="18"/>
      <c r="H143" s="18"/>
      <c r="J143" s="18"/>
    </row>
    <row r="144" spans="7:10" ht="12.75">
      <c r="G144" s="18"/>
      <c r="H144" s="18"/>
      <c r="J144" s="18"/>
    </row>
    <row r="145" spans="7:10" ht="12.75">
      <c r="G145" s="18"/>
      <c r="H145" s="18"/>
      <c r="J145" s="18"/>
    </row>
    <row r="146" spans="7:10" ht="12.75">
      <c r="G146" s="18"/>
      <c r="H146" s="18"/>
      <c r="J146" s="18"/>
    </row>
    <row r="147" spans="7:10" ht="12.75">
      <c r="G147" s="18"/>
      <c r="H147" s="18"/>
      <c r="J147" s="18"/>
    </row>
    <row r="148" spans="7:10" ht="12.75">
      <c r="G148" s="18"/>
      <c r="H148" s="18"/>
      <c r="J148" s="18"/>
    </row>
    <row r="149" spans="7:10" ht="12.75">
      <c r="G149" s="18"/>
      <c r="H149" s="18"/>
      <c r="J149" s="18"/>
    </row>
    <row r="150" spans="7:10" ht="12.75">
      <c r="G150" s="18"/>
      <c r="H150" s="18"/>
      <c r="J150" s="18"/>
    </row>
    <row r="151" spans="7:10" ht="12.75">
      <c r="G151" s="18"/>
      <c r="H151" s="18"/>
      <c r="J151" s="18"/>
    </row>
    <row r="152" spans="7:10" ht="12.75">
      <c r="G152" s="18"/>
      <c r="H152" s="18"/>
      <c r="J152" s="18"/>
    </row>
    <row r="154" ht="12.75">
      <c r="J154" s="18"/>
    </row>
    <row r="155" ht="12.75">
      <c r="J155" s="18"/>
    </row>
    <row r="163" spans="7:10" ht="12.75">
      <c r="G163" s="18"/>
      <c r="H163" s="18"/>
      <c r="J163" s="18"/>
    </row>
    <row r="164" spans="7:10" ht="12.75">
      <c r="G164" s="18"/>
      <c r="H164" s="18"/>
      <c r="J164" s="18"/>
    </row>
    <row r="165" spans="7:10" ht="12.75">
      <c r="G165" s="18"/>
      <c r="H165" s="18"/>
      <c r="J165" s="18"/>
    </row>
    <row r="166" spans="7:10" ht="12.75">
      <c r="G166" s="18"/>
      <c r="H166" s="18"/>
      <c r="J166" s="18"/>
    </row>
    <row r="167" spans="7:10" ht="12.75">
      <c r="G167" s="18"/>
      <c r="H167" s="18"/>
      <c r="J167" s="18"/>
    </row>
    <row r="168" spans="7:10" ht="12.75">
      <c r="G168" s="18"/>
      <c r="H168" s="18"/>
      <c r="J168" s="18"/>
    </row>
    <row r="169" spans="7:10" ht="12.75">
      <c r="G169" s="18"/>
      <c r="H169" s="18"/>
      <c r="J169" s="18"/>
    </row>
    <row r="170" spans="7:10" ht="12.75">
      <c r="G170" s="18"/>
      <c r="H170" s="18"/>
      <c r="J170" s="18"/>
    </row>
    <row r="171" spans="7:10" ht="12.75">
      <c r="G171" s="18"/>
      <c r="H171" s="18"/>
      <c r="J171" s="18"/>
    </row>
    <row r="172" spans="7:10" ht="12.75">
      <c r="G172" s="18"/>
      <c r="H172" s="18"/>
      <c r="J172" s="18"/>
    </row>
    <row r="173" spans="7:10" ht="12.75">
      <c r="G173" s="18"/>
      <c r="H173" s="18"/>
      <c r="J173" s="18"/>
    </row>
    <row r="174" spans="7:10" ht="12.75">
      <c r="G174" s="18"/>
      <c r="H174" s="18"/>
      <c r="J174" s="18"/>
    </row>
    <row r="175" spans="7:10" ht="12.75">
      <c r="G175" s="18"/>
      <c r="H175" s="18"/>
      <c r="J175" s="18"/>
    </row>
    <row r="176" spans="7:10" ht="12.75">
      <c r="G176" s="18"/>
      <c r="H176" s="18"/>
      <c r="J176" s="18"/>
    </row>
    <row r="177" spans="7:10" ht="12.75">
      <c r="G177" s="18"/>
      <c r="H177" s="18"/>
      <c r="J177" s="18"/>
    </row>
    <row r="178" spans="7:10" ht="12.75">
      <c r="G178" s="18"/>
      <c r="H178" s="18"/>
      <c r="J178" s="18"/>
    </row>
    <row r="179" spans="7:10" ht="12.75">
      <c r="G179" s="18"/>
      <c r="H179" s="18"/>
      <c r="J179" s="18"/>
    </row>
    <row r="180" spans="7:10" ht="12.75">
      <c r="G180" s="18"/>
      <c r="H180" s="18"/>
      <c r="J180" s="18"/>
    </row>
    <row r="181" spans="7:10" ht="12.75">
      <c r="G181" s="18"/>
      <c r="H181" s="18"/>
      <c r="J181" s="18"/>
    </row>
    <row r="182" spans="7:10" ht="12.75">
      <c r="G182" s="18"/>
      <c r="H182" s="18"/>
      <c r="J182" s="18"/>
    </row>
    <row r="184" ht="12.75">
      <c r="J184" s="18"/>
    </row>
    <row r="185" ht="12.75">
      <c r="J185" s="18"/>
    </row>
  </sheetData>
  <sheetProtection password="DE55" sheet="1" objects="1" scenarios="1"/>
  <mergeCells count="2">
    <mergeCell ref="G5:H5"/>
    <mergeCell ref="D26:F26"/>
  </mergeCells>
  <dataValidations count="2">
    <dataValidation type="list" allowBlank="1" showInputMessage="1" showErrorMessage="1" sqref="G6">
      <formula1>$AB$3:$AB$47</formula1>
    </dataValidation>
    <dataValidation type="list" allowBlank="1" showInputMessage="1" showErrorMessage="1" sqref="G13:G15">
      <formula1>$Q$5:$Q$6</formula1>
    </dataValidation>
  </dataValidations>
  <printOptions gridLines="1"/>
  <pageMargins left="0.75" right="0.75" top="1" bottom="1" header="0.5" footer="0.5"/>
  <pageSetup fitToHeight="1" fitToWidth="1" horizontalDpi="600" verticalDpi="600" orientation="landscape" paperSize="9" r:id="rId4"/>
  <headerFooter alignWithMargins="0">
    <oddHeader>&amp;L&amp;"Arial,Vet"&amp;A&amp;C&amp;"Arial,Vet"&amp;D&amp;R&amp;"Arial,Vet"&amp;F</oddHeader>
    <oddFooter>&amp;L&amp;"Arial,Vet"&amp;9gemaakt door keizer, vos/abb&amp;R&amp;"Arial,Vet"&amp;P</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W107"/>
  <sheetViews>
    <sheetView zoomScale="75" zoomScaleNormal="75" workbookViewId="0" topLeftCell="A1">
      <selection activeCell="C3" sqref="C3"/>
    </sheetView>
  </sheetViews>
  <sheetFormatPr defaultColWidth="9.140625" defaultRowHeight="12.75"/>
  <cols>
    <col min="1" max="1" width="6.421875" style="0" customWidth="1"/>
    <col min="2" max="2" width="23.140625" style="0" customWidth="1"/>
    <col min="3" max="3" width="11.57421875" style="0" customWidth="1"/>
    <col min="4" max="4" width="11.28125" style="0" customWidth="1"/>
    <col min="5" max="5" width="11.7109375" style="0" customWidth="1"/>
    <col min="6" max="6" width="11.421875" style="0" customWidth="1"/>
    <col min="7" max="7" width="10.421875" style="0" customWidth="1"/>
    <col min="8" max="8" width="10.7109375" style="0" customWidth="1"/>
    <col min="9" max="9" width="9.421875" style="0" bestFit="1" customWidth="1"/>
    <col min="10" max="23" width="9.28125" style="0" bestFit="1" customWidth="1"/>
  </cols>
  <sheetData>
    <row r="2" spans="2:22" ht="12.75">
      <c r="B2" s="2" t="s">
        <v>1</v>
      </c>
      <c r="C2" s="3">
        <v>39661</v>
      </c>
      <c r="D2" s="4"/>
      <c r="E2" s="4"/>
      <c r="F2" s="5"/>
      <c r="G2" s="4"/>
      <c r="K2" s="4"/>
      <c r="L2" s="4"/>
      <c r="M2" s="4"/>
      <c r="N2" s="4"/>
      <c r="O2" s="4"/>
      <c r="P2" s="6"/>
      <c r="Q2" s="6"/>
      <c r="R2" s="6"/>
      <c r="S2" s="6"/>
      <c r="T2" s="6"/>
      <c r="U2" s="6"/>
      <c r="V2" s="6"/>
    </row>
    <row r="3" spans="2:23" ht="12.75">
      <c r="B3" s="4" t="s">
        <v>2</v>
      </c>
      <c r="C3" s="7">
        <v>1</v>
      </c>
      <c r="D3" s="7">
        <v>2</v>
      </c>
      <c r="E3" s="7">
        <v>3</v>
      </c>
      <c r="F3" s="7">
        <v>4</v>
      </c>
      <c r="G3" s="7">
        <v>5</v>
      </c>
      <c r="H3" s="7">
        <v>6</v>
      </c>
      <c r="I3" s="7">
        <v>7</v>
      </c>
      <c r="J3" s="7">
        <v>8</v>
      </c>
      <c r="K3" s="7">
        <v>9</v>
      </c>
      <c r="L3" s="7">
        <v>10</v>
      </c>
      <c r="M3" s="7">
        <v>11</v>
      </c>
      <c r="N3" s="7">
        <v>12</v>
      </c>
      <c r="O3" s="7">
        <v>13</v>
      </c>
      <c r="P3" s="7">
        <v>14</v>
      </c>
      <c r="Q3" s="7">
        <v>15</v>
      </c>
      <c r="R3" s="7">
        <v>16</v>
      </c>
      <c r="S3" s="7">
        <v>17</v>
      </c>
      <c r="T3" s="7">
        <v>18</v>
      </c>
      <c r="U3" s="7">
        <v>19</v>
      </c>
      <c r="V3" s="7">
        <v>20</v>
      </c>
      <c r="W3" s="7" t="s">
        <v>27</v>
      </c>
    </row>
    <row r="4" spans="2:23" ht="12.75">
      <c r="B4" s="10" t="s">
        <v>115</v>
      </c>
      <c r="C4" s="9">
        <v>2605</v>
      </c>
      <c r="D4" s="9">
        <v>2707</v>
      </c>
      <c r="E4" s="9">
        <v>2811</v>
      </c>
      <c r="F4" s="9">
        <v>2912</v>
      </c>
      <c r="G4" s="9">
        <v>3014</v>
      </c>
      <c r="H4" s="9">
        <v>3118</v>
      </c>
      <c r="I4" s="9">
        <v>3220</v>
      </c>
      <c r="J4" s="9">
        <v>3323</v>
      </c>
      <c r="K4" s="9">
        <v>3424</v>
      </c>
      <c r="L4" s="9">
        <v>3527</v>
      </c>
      <c r="M4" s="9">
        <v>3631</v>
      </c>
      <c r="N4" s="9"/>
      <c r="O4" s="9"/>
      <c r="P4" s="9"/>
      <c r="Q4" s="9"/>
      <c r="R4" s="9"/>
      <c r="S4" s="9"/>
      <c r="T4" s="9"/>
      <c r="U4" s="9"/>
      <c r="V4" s="9"/>
      <c r="W4" s="115">
        <f>COUNTA(C4:V4)</f>
        <v>11</v>
      </c>
    </row>
    <row r="5" spans="2:23" ht="12.75">
      <c r="B5" s="10" t="s">
        <v>108</v>
      </c>
      <c r="C5" s="9">
        <v>2605</v>
      </c>
      <c r="D5" s="9">
        <v>2707</v>
      </c>
      <c r="E5" s="9">
        <v>2811</v>
      </c>
      <c r="F5" s="9">
        <v>2912</v>
      </c>
      <c r="G5" s="9">
        <v>3014</v>
      </c>
      <c r="H5" s="9">
        <v>3118</v>
      </c>
      <c r="I5" s="9">
        <v>3220</v>
      </c>
      <c r="J5" s="9">
        <v>3323</v>
      </c>
      <c r="K5" s="9">
        <v>3424</v>
      </c>
      <c r="L5" s="9">
        <v>3527</v>
      </c>
      <c r="M5" s="9">
        <v>3631</v>
      </c>
      <c r="N5" s="9">
        <v>3733</v>
      </c>
      <c r="O5" s="9">
        <v>3837</v>
      </c>
      <c r="P5" s="9"/>
      <c r="Q5" s="9"/>
      <c r="R5" s="9"/>
      <c r="S5" s="9"/>
      <c r="T5" s="9"/>
      <c r="U5" s="9"/>
      <c r="V5" s="9"/>
      <c r="W5" s="115">
        <f aca="true" t="shared" si="0" ref="W5:W48">COUNTA(C5:V5)</f>
        <v>13</v>
      </c>
    </row>
    <row r="6" spans="2:23" ht="12.75">
      <c r="B6" s="10" t="s">
        <v>109</v>
      </c>
      <c r="C6" s="9">
        <v>2707</v>
      </c>
      <c r="D6" s="9">
        <v>2912</v>
      </c>
      <c r="E6" s="9">
        <v>3118</v>
      </c>
      <c r="F6" s="9">
        <v>3220</v>
      </c>
      <c r="G6" s="9">
        <v>3323</v>
      </c>
      <c r="H6" s="9">
        <v>3424</v>
      </c>
      <c r="I6" s="9">
        <v>3527</v>
      </c>
      <c r="J6" s="9">
        <v>3631</v>
      </c>
      <c r="K6" s="9">
        <v>3733</v>
      </c>
      <c r="L6" s="9">
        <v>3837</v>
      </c>
      <c r="M6" s="9">
        <v>3940</v>
      </c>
      <c r="N6" s="9">
        <v>4041</v>
      </c>
      <c r="O6" s="9">
        <v>4144</v>
      </c>
      <c r="P6" s="9">
        <v>4245</v>
      </c>
      <c r="Q6" s="9">
        <v>4350</v>
      </c>
      <c r="R6" s="9">
        <v>0</v>
      </c>
      <c r="S6" s="9">
        <v>0</v>
      </c>
      <c r="T6" s="9"/>
      <c r="U6" s="9"/>
      <c r="V6" s="9"/>
      <c r="W6" s="115">
        <f t="shared" si="0"/>
        <v>17</v>
      </c>
    </row>
    <row r="7" spans="2:23" ht="12.75">
      <c r="B7" s="10" t="s">
        <v>110</v>
      </c>
      <c r="C7" s="9">
        <v>2707</v>
      </c>
      <c r="D7" s="9">
        <v>2912</v>
      </c>
      <c r="E7" s="9">
        <v>3118</v>
      </c>
      <c r="F7" s="9">
        <v>3220</v>
      </c>
      <c r="G7" s="9">
        <v>3323</v>
      </c>
      <c r="H7" s="9">
        <v>3424</v>
      </c>
      <c r="I7" s="9">
        <v>3527</v>
      </c>
      <c r="J7" s="9">
        <v>3631</v>
      </c>
      <c r="K7" s="9">
        <v>3733</v>
      </c>
      <c r="L7" s="9">
        <v>3837</v>
      </c>
      <c r="M7" s="9">
        <v>3940</v>
      </c>
      <c r="N7" s="9">
        <v>4041</v>
      </c>
      <c r="O7" s="9">
        <v>4144</v>
      </c>
      <c r="P7" s="9">
        <v>4245</v>
      </c>
      <c r="Q7" s="9">
        <v>4350</v>
      </c>
      <c r="R7" s="9">
        <v>4452</v>
      </c>
      <c r="S7" s="9">
        <v>4555</v>
      </c>
      <c r="T7" s="9"/>
      <c r="U7" s="9"/>
      <c r="V7" s="9"/>
      <c r="W7" s="115">
        <f t="shared" si="0"/>
        <v>17</v>
      </c>
    </row>
    <row r="8" spans="2:23" ht="12.75">
      <c r="B8" s="10" t="s">
        <v>111</v>
      </c>
      <c r="C8" s="9">
        <v>2707</v>
      </c>
      <c r="D8" s="9">
        <v>2912</v>
      </c>
      <c r="E8" s="9">
        <v>3118</v>
      </c>
      <c r="F8" s="9">
        <v>3220</v>
      </c>
      <c r="G8" s="9">
        <v>3323</v>
      </c>
      <c r="H8" s="9">
        <v>3424</v>
      </c>
      <c r="I8" s="9">
        <v>3527</v>
      </c>
      <c r="J8" s="9">
        <v>3631</v>
      </c>
      <c r="K8" s="9">
        <v>3733</v>
      </c>
      <c r="L8" s="9">
        <v>3837</v>
      </c>
      <c r="M8" s="9"/>
      <c r="N8" s="9"/>
      <c r="O8" s="9"/>
      <c r="P8" s="9"/>
      <c r="Q8" s="9"/>
      <c r="R8" s="9"/>
      <c r="S8" s="9"/>
      <c r="T8" s="9"/>
      <c r="U8" s="9"/>
      <c r="V8" s="9"/>
      <c r="W8" s="115">
        <f t="shared" si="0"/>
        <v>10</v>
      </c>
    </row>
    <row r="9" spans="2:23" ht="12.75">
      <c r="B9" s="10" t="s">
        <v>112</v>
      </c>
      <c r="C9" s="9">
        <v>2707</v>
      </c>
      <c r="D9" s="9">
        <v>2912</v>
      </c>
      <c r="E9" s="9">
        <v>3118</v>
      </c>
      <c r="F9" s="9">
        <v>3220</v>
      </c>
      <c r="G9" s="9">
        <v>3323</v>
      </c>
      <c r="H9" s="9">
        <v>3424</v>
      </c>
      <c r="I9" s="9">
        <v>3527</v>
      </c>
      <c r="J9" s="9">
        <v>3631</v>
      </c>
      <c r="K9" s="9">
        <v>3733</v>
      </c>
      <c r="L9" s="9">
        <v>3837</v>
      </c>
      <c r="M9" s="9">
        <v>3940</v>
      </c>
      <c r="N9" s="9"/>
      <c r="O9" s="9"/>
      <c r="P9" s="9"/>
      <c r="Q9" s="9"/>
      <c r="R9" s="9"/>
      <c r="S9" s="9"/>
      <c r="T9" s="9"/>
      <c r="U9" s="9"/>
      <c r="V9" s="9"/>
      <c r="W9" s="115">
        <f t="shared" si="0"/>
        <v>11</v>
      </c>
    </row>
    <row r="10" spans="2:23" ht="12.75">
      <c r="B10" s="10" t="s">
        <v>113</v>
      </c>
      <c r="C10" s="9">
        <v>2811</v>
      </c>
      <c r="D10" s="9">
        <v>3118</v>
      </c>
      <c r="E10" s="9">
        <v>3323</v>
      </c>
      <c r="F10" s="9">
        <v>3527</v>
      </c>
      <c r="G10" s="9">
        <v>3733</v>
      </c>
      <c r="H10" s="9">
        <v>3837</v>
      </c>
      <c r="I10" s="9">
        <v>3940</v>
      </c>
      <c r="J10" s="9">
        <v>4041</v>
      </c>
      <c r="K10" s="9">
        <v>4144</v>
      </c>
      <c r="L10" s="9">
        <v>4245</v>
      </c>
      <c r="M10" s="9">
        <v>4350</v>
      </c>
      <c r="N10" s="9">
        <v>4452</v>
      </c>
      <c r="O10" s="9">
        <v>4555</v>
      </c>
      <c r="P10" s="9"/>
      <c r="Q10" s="9"/>
      <c r="R10" s="9"/>
      <c r="S10" s="9"/>
      <c r="T10" s="9"/>
      <c r="U10" s="9"/>
      <c r="V10" s="9"/>
      <c r="W10" s="115">
        <f t="shared" si="0"/>
        <v>13</v>
      </c>
    </row>
    <row r="11" spans="2:23" ht="12.75">
      <c r="B11" s="10" t="s">
        <v>114</v>
      </c>
      <c r="C11" s="9">
        <v>2811</v>
      </c>
      <c r="D11" s="9">
        <v>3118</v>
      </c>
      <c r="E11" s="9">
        <v>3323</v>
      </c>
      <c r="F11" s="9">
        <v>3527</v>
      </c>
      <c r="G11" s="9">
        <v>3733</v>
      </c>
      <c r="H11" s="9">
        <v>3837</v>
      </c>
      <c r="I11" s="9">
        <v>3940</v>
      </c>
      <c r="J11" s="9">
        <v>4041</v>
      </c>
      <c r="K11" s="9">
        <v>4144</v>
      </c>
      <c r="L11" s="9">
        <v>4245</v>
      </c>
      <c r="M11" s="9">
        <v>4350</v>
      </c>
      <c r="N11" s="9">
        <v>4452</v>
      </c>
      <c r="O11" s="9">
        <v>4555</v>
      </c>
      <c r="P11" s="9">
        <v>4656</v>
      </c>
      <c r="Q11" s="9">
        <v>4759</v>
      </c>
      <c r="R11" s="9"/>
      <c r="S11" s="9"/>
      <c r="T11" s="9"/>
      <c r="U11" s="9"/>
      <c r="V11" s="9"/>
      <c r="W11" s="115">
        <f t="shared" si="0"/>
        <v>15</v>
      </c>
    </row>
    <row r="12" spans="2:23" ht="12.75">
      <c r="B12" s="8" t="s">
        <v>3</v>
      </c>
      <c r="C12" s="9">
        <v>2605</v>
      </c>
      <c r="D12" s="9">
        <v>2707</v>
      </c>
      <c r="E12" s="9">
        <v>2811</v>
      </c>
      <c r="F12" s="9">
        <v>2912</v>
      </c>
      <c r="G12" s="9">
        <v>3014</v>
      </c>
      <c r="H12" s="9">
        <v>3118</v>
      </c>
      <c r="I12" s="9">
        <v>3220</v>
      </c>
      <c r="J12" s="9">
        <v>3323</v>
      </c>
      <c r="K12" s="9">
        <v>3424</v>
      </c>
      <c r="L12" s="9">
        <v>3527</v>
      </c>
      <c r="M12" s="9">
        <v>3631</v>
      </c>
      <c r="N12" s="9">
        <v>3733</v>
      </c>
      <c r="O12" s="9">
        <v>3837</v>
      </c>
      <c r="P12" s="9"/>
      <c r="Q12" s="9"/>
      <c r="R12" s="9"/>
      <c r="S12" s="9"/>
      <c r="T12" s="9"/>
      <c r="U12" s="9"/>
      <c r="V12" s="9"/>
      <c r="W12" s="115">
        <f t="shared" si="0"/>
        <v>13</v>
      </c>
    </row>
    <row r="13" spans="2:23" ht="12.75">
      <c r="B13" s="8" t="s">
        <v>4</v>
      </c>
      <c r="C13" s="9">
        <v>2707</v>
      </c>
      <c r="D13" s="9">
        <v>2912</v>
      </c>
      <c r="E13" s="9">
        <v>3118</v>
      </c>
      <c r="F13" s="9">
        <v>3220</v>
      </c>
      <c r="G13" s="9">
        <v>3323</v>
      </c>
      <c r="H13" s="9">
        <v>3424</v>
      </c>
      <c r="I13" s="9">
        <v>3527</v>
      </c>
      <c r="J13" s="9">
        <v>3631</v>
      </c>
      <c r="K13" s="9">
        <v>3733</v>
      </c>
      <c r="L13" s="9">
        <v>3837</v>
      </c>
      <c r="M13" s="9">
        <v>3940</v>
      </c>
      <c r="N13" s="9">
        <v>4041</v>
      </c>
      <c r="O13" s="9">
        <v>4144</v>
      </c>
      <c r="P13" s="9">
        <v>4245</v>
      </c>
      <c r="Q13" s="9">
        <v>4350</v>
      </c>
      <c r="R13" s="9"/>
      <c r="S13" s="9"/>
      <c r="T13" s="9"/>
      <c r="U13" s="9"/>
      <c r="V13" s="9"/>
      <c r="W13" s="115">
        <f t="shared" si="0"/>
        <v>15</v>
      </c>
    </row>
    <row r="14" spans="2:23" ht="12.75">
      <c r="B14" s="8" t="s">
        <v>5</v>
      </c>
      <c r="C14" s="9">
        <v>2707</v>
      </c>
      <c r="D14" s="9">
        <v>2912</v>
      </c>
      <c r="E14" s="9">
        <v>3118</v>
      </c>
      <c r="F14" s="9">
        <v>3220</v>
      </c>
      <c r="G14" s="9">
        <v>3323</v>
      </c>
      <c r="H14" s="9">
        <v>3424</v>
      </c>
      <c r="I14" s="9">
        <v>3527</v>
      </c>
      <c r="J14" s="9">
        <v>3631</v>
      </c>
      <c r="K14" s="9">
        <v>3733</v>
      </c>
      <c r="L14" s="9">
        <v>3837</v>
      </c>
      <c r="M14" s="9">
        <v>3940</v>
      </c>
      <c r="N14" s="9">
        <v>4041</v>
      </c>
      <c r="O14" s="9">
        <v>4144</v>
      </c>
      <c r="P14" s="9">
        <v>4245</v>
      </c>
      <c r="Q14" s="9">
        <v>4350</v>
      </c>
      <c r="R14" s="9">
        <v>4452</v>
      </c>
      <c r="S14" s="9">
        <v>4555</v>
      </c>
      <c r="T14" s="9"/>
      <c r="U14" s="9"/>
      <c r="V14" s="9"/>
      <c r="W14" s="115">
        <f t="shared" si="0"/>
        <v>17</v>
      </c>
    </row>
    <row r="15" spans="2:23" ht="12.75">
      <c r="B15" s="8" t="s">
        <v>6</v>
      </c>
      <c r="C15" s="9">
        <v>2811</v>
      </c>
      <c r="D15" s="9">
        <v>3118</v>
      </c>
      <c r="E15" s="9">
        <v>3323</v>
      </c>
      <c r="F15" s="9">
        <v>3527</v>
      </c>
      <c r="G15" s="9">
        <v>3733</v>
      </c>
      <c r="H15" s="9">
        <v>3837</v>
      </c>
      <c r="I15" s="9">
        <v>3940</v>
      </c>
      <c r="J15" s="9">
        <v>4041</v>
      </c>
      <c r="K15" s="9">
        <v>4144</v>
      </c>
      <c r="L15" s="9">
        <v>4245</v>
      </c>
      <c r="M15" s="9">
        <v>4350</v>
      </c>
      <c r="N15" s="9">
        <v>4452</v>
      </c>
      <c r="O15" s="9">
        <v>4555</v>
      </c>
      <c r="P15" s="9">
        <v>4656</v>
      </c>
      <c r="Q15" s="9">
        <v>4759</v>
      </c>
      <c r="R15" s="9">
        <v>4863</v>
      </c>
      <c r="S15" s="9">
        <v>0</v>
      </c>
      <c r="T15" s="9"/>
      <c r="U15" s="9"/>
      <c r="V15" s="9"/>
      <c r="W15" s="115">
        <f t="shared" si="0"/>
        <v>17</v>
      </c>
    </row>
    <row r="16" spans="2:23" ht="12.75">
      <c r="B16" s="8" t="s">
        <v>7</v>
      </c>
      <c r="C16" s="9">
        <v>2811</v>
      </c>
      <c r="D16" s="9">
        <v>3118</v>
      </c>
      <c r="E16" s="9">
        <v>3323</v>
      </c>
      <c r="F16" s="9">
        <v>3527</v>
      </c>
      <c r="G16" s="9">
        <v>3733</v>
      </c>
      <c r="H16" s="9">
        <v>3837</v>
      </c>
      <c r="I16" s="9">
        <v>3940</v>
      </c>
      <c r="J16" s="9">
        <v>4041</v>
      </c>
      <c r="K16" s="9">
        <v>4144</v>
      </c>
      <c r="L16" s="9">
        <v>4245</v>
      </c>
      <c r="M16" s="9">
        <v>4350</v>
      </c>
      <c r="N16" s="9">
        <v>4452</v>
      </c>
      <c r="O16" s="9">
        <v>4555</v>
      </c>
      <c r="P16" s="9">
        <v>4656</v>
      </c>
      <c r="Q16" s="9">
        <v>4759</v>
      </c>
      <c r="R16" s="9">
        <v>4863</v>
      </c>
      <c r="S16" s="9">
        <v>4965</v>
      </c>
      <c r="T16" s="9">
        <v>5067</v>
      </c>
      <c r="U16" s="9"/>
      <c r="V16" s="9"/>
      <c r="W16" s="115">
        <f t="shared" si="0"/>
        <v>18</v>
      </c>
    </row>
    <row r="17" spans="2:23" ht="12.75">
      <c r="B17" s="8" t="s">
        <v>8</v>
      </c>
      <c r="C17" s="9">
        <v>2845</v>
      </c>
      <c r="D17" s="9">
        <v>3057</v>
      </c>
      <c r="E17" s="9">
        <v>3274</v>
      </c>
      <c r="F17" s="9">
        <v>3482</v>
      </c>
      <c r="G17" s="9">
        <v>3712</v>
      </c>
      <c r="H17" s="9">
        <v>3823</v>
      </c>
      <c r="I17" s="9">
        <v>3930</v>
      </c>
      <c r="J17" s="9">
        <v>4038</v>
      </c>
      <c r="K17" s="9">
        <v>4142</v>
      </c>
      <c r="L17" s="9">
        <v>4253</v>
      </c>
      <c r="M17" s="9">
        <v>4361</v>
      </c>
      <c r="N17" s="9">
        <v>4465</v>
      </c>
      <c r="O17" s="9">
        <v>4573</v>
      </c>
      <c r="P17" s="9">
        <v>4708</v>
      </c>
      <c r="Q17" s="9">
        <v>4843</v>
      </c>
      <c r="R17" s="9">
        <v>4978</v>
      </c>
      <c r="S17" s="9">
        <v>5113</v>
      </c>
      <c r="T17" s="9">
        <v>5178</v>
      </c>
      <c r="U17" s="9"/>
      <c r="V17" s="9"/>
      <c r="W17" s="115">
        <f t="shared" si="0"/>
        <v>18</v>
      </c>
    </row>
    <row r="18" spans="2:23" ht="12.75">
      <c r="B18" s="8" t="s">
        <v>9</v>
      </c>
      <c r="C18" s="9">
        <v>2952</v>
      </c>
      <c r="D18" s="9">
        <v>3172</v>
      </c>
      <c r="E18" s="9">
        <v>3379</v>
      </c>
      <c r="F18" s="9">
        <v>3597</v>
      </c>
      <c r="G18" s="9">
        <v>3823</v>
      </c>
      <c r="H18" s="9">
        <v>4038</v>
      </c>
      <c r="I18" s="9">
        <v>4253</v>
      </c>
      <c r="J18" s="9">
        <v>4361</v>
      </c>
      <c r="K18" s="9">
        <v>4465</v>
      </c>
      <c r="L18" s="9">
        <v>4573</v>
      </c>
      <c r="M18" s="9">
        <v>4708</v>
      </c>
      <c r="N18" s="9">
        <v>4843</v>
      </c>
      <c r="O18" s="9">
        <v>4978</v>
      </c>
      <c r="P18" s="9">
        <v>5113</v>
      </c>
      <c r="Q18" s="9">
        <v>5249</v>
      </c>
      <c r="R18" s="9">
        <v>5393</v>
      </c>
      <c r="S18" s="9">
        <v>5539</v>
      </c>
      <c r="T18" s="9">
        <v>5690</v>
      </c>
      <c r="U18" s="9"/>
      <c r="V18" s="9"/>
      <c r="W18" s="115">
        <f t="shared" si="0"/>
        <v>18</v>
      </c>
    </row>
    <row r="19" spans="2:23" ht="12.75">
      <c r="B19" s="8" t="s">
        <v>10</v>
      </c>
      <c r="C19" s="9">
        <v>2272</v>
      </c>
      <c r="D19" s="9">
        <v>2379</v>
      </c>
      <c r="E19" s="9">
        <v>2487</v>
      </c>
      <c r="F19" s="9">
        <v>2604</v>
      </c>
      <c r="G19" s="9">
        <v>2733</v>
      </c>
      <c r="H19" s="9">
        <v>2844</v>
      </c>
      <c r="I19" s="9">
        <v>2956</v>
      </c>
      <c r="J19" s="9">
        <v>3063</v>
      </c>
      <c r="K19" s="9">
        <v>3167</v>
      </c>
      <c r="L19" s="9">
        <v>3283</v>
      </c>
      <c r="M19" s="9">
        <v>3386</v>
      </c>
      <c r="N19" s="9"/>
      <c r="O19" s="9"/>
      <c r="P19" s="9"/>
      <c r="Q19" s="9"/>
      <c r="R19" s="9"/>
      <c r="S19" s="9"/>
      <c r="T19" s="9"/>
      <c r="U19" s="9"/>
      <c r="V19" s="9"/>
      <c r="W19" s="115">
        <f t="shared" si="0"/>
        <v>11</v>
      </c>
    </row>
    <row r="20" spans="2:23" ht="12.75">
      <c r="B20" s="8" t="s">
        <v>11</v>
      </c>
      <c r="C20" s="9">
        <v>2325</v>
      </c>
      <c r="D20" s="9">
        <v>2433</v>
      </c>
      <c r="E20" s="9">
        <v>2549</v>
      </c>
      <c r="F20" s="9">
        <v>2677</v>
      </c>
      <c r="G20" s="9">
        <v>2788</v>
      </c>
      <c r="H20" s="9">
        <v>2900</v>
      </c>
      <c r="I20" s="9">
        <v>3006</v>
      </c>
      <c r="J20" s="9">
        <v>3111</v>
      </c>
      <c r="K20" s="9">
        <v>3226</v>
      </c>
      <c r="L20" s="9">
        <v>3330</v>
      </c>
      <c r="M20" s="9">
        <v>3433</v>
      </c>
      <c r="N20" s="9">
        <v>3536</v>
      </c>
      <c r="O20" s="9">
        <v>3651</v>
      </c>
      <c r="P20" s="9"/>
      <c r="Q20" s="9"/>
      <c r="R20" s="9"/>
      <c r="S20" s="9"/>
      <c r="T20" s="9"/>
      <c r="U20" s="9"/>
      <c r="V20" s="9"/>
      <c r="W20" s="115">
        <f t="shared" si="0"/>
        <v>13</v>
      </c>
    </row>
    <row r="21" spans="2:23" ht="12.75">
      <c r="B21" s="8" t="s">
        <v>12</v>
      </c>
      <c r="C21" s="9">
        <v>2376</v>
      </c>
      <c r="D21" s="9">
        <v>2494</v>
      </c>
      <c r="E21" s="9">
        <v>2621</v>
      </c>
      <c r="F21" s="9">
        <v>2733</v>
      </c>
      <c r="G21" s="9">
        <v>2845</v>
      </c>
      <c r="H21" s="9">
        <v>2952</v>
      </c>
      <c r="I21" s="9">
        <v>3057</v>
      </c>
      <c r="J21" s="9">
        <v>3172</v>
      </c>
      <c r="K21" s="9">
        <v>3274</v>
      </c>
      <c r="L21" s="9">
        <v>3379</v>
      </c>
      <c r="M21" s="9">
        <v>3482</v>
      </c>
      <c r="N21" s="9">
        <v>3597</v>
      </c>
      <c r="O21" s="9">
        <v>3712</v>
      </c>
      <c r="P21" s="9">
        <v>3823</v>
      </c>
      <c r="Q21" s="9">
        <v>3930</v>
      </c>
      <c r="R21" s="9">
        <v>4038</v>
      </c>
      <c r="S21" s="9">
        <v>4142</v>
      </c>
      <c r="T21" s="9">
        <v>4197</v>
      </c>
      <c r="U21" s="9"/>
      <c r="V21" s="9"/>
      <c r="W21" s="115">
        <f t="shared" si="0"/>
        <v>18</v>
      </c>
    </row>
    <row r="22" spans="2:23" ht="12.75">
      <c r="B22" s="8" t="s">
        <v>13</v>
      </c>
      <c r="C22" s="9">
        <v>2494</v>
      </c>
      <c r="D22" s="9">
        <v>2621</v>
      </c>
      <c r="E22" s="9">
        <v>2845</v>
      </c>
      <c r="F22" s="9">
        <v>3057</v>
      </c>
      <c r="G22" s="9">
        <v>3172</v>
      </c>
      <c r="H22" s="9">
        <v>3274</v>
      </c>
      <c r="I22" s="9">
        <v>3379</v>
      </c>
      <c r="J22" s="9">
        <v>3482</v>
      </c>
      <c r="K22" s="9">
        <v>3597</v>
      </c>
      <c r="L22" s="9">
        <v>3712</v>
      </c>
      <c r="M22" s="9">
        <v>3823</v>
      </c>
      <c r="N22" s="9">
        <v>3930</v>
      </c>
      <c r="O22" s="9">
        <v>4038</v>
      </c>
      <c r="P22" s="9">
        <v>4142</v>
      </c>
      <c r="Q22" s="9">
        <v>4253</v>
      </c>
      <c r="R22" s="9">
        <v>4361</v>
      </c>
      <c r="S22" s="9">
        <v>4465</v>
      </c>
      <c r="T22" s="9">
        <v>4573</v>
      </c>
      <c r="U22" s="9">
        <v>4708</v>
      </c>
      <c r="V22" s="9">
        <v>4775</v>
      </c>
      <c r="W22" s="115">
        <f t="shared" si="0"/>
        <v>20</v>
      </c>
    </row>
    <row r="23" spans="2:23" ht="12.75">
      <c r="B23" s="8" t="s">
        <v>14</v>
      </c>
      <c r="C23" s="9">
        <v>2621</v>
      </c>
      <c r="D23" s="9">
        <v>2845</v>
      </c>
      <c r="E23" s="9">
        <v>3057</v>
      </c>
      <c r="F23" s="9">
        <v>3274</v>
      </c>
      <c r="G23" s="9">
        <v>3482</v>
      </c>
      <c r="H23" s="9">
        <v>3712</v>
      </c>
      <c r="I23" s="9">
        <v>3823</v>
      </c>
      <c r="J23" s="9">
        <v>3930</v>
      </c>
      <c r="K23" s="9">
        <v>4038</v>
      </c>
      <c r="L23" s="9">
        <v>4142</v>
      </c>
      <c r="M23" s="9">
        <v>4253</v>
      </c>
      <c r="N23" s="9">
        <v>4361</v>
      </c>
      <c r="O23" s="9">
        <v>4465</v>
      </c>
      <c r="P23" s="9">
        <v>4573</v>
      </c>
      <c r="Q23" s="9">
        <v>4708</v>
      </c>
      <c r="R23" s="9">
        <v>4843</v>
      </c>
      <c r="S23" s="9">
        <v>4978</v>
      </c>
      <c r="T23" s="9">
        <v>5113</v>
      </c>
      <c r="U23" s="9">
        <v>5178</v>
      </c>
      <c r="V23" s="9"/>
      <c r="W23" s="115">
        <f t="shared" si="0"/>
        <v>19</v>
      </c>
    </row>
    <row r="24" spans="2:23" ht="12.75">
      <c r="B24" s="8" t="s">
        <v>0</v>
      </c>
      <c r="C24" s="9">
        <v>2270</v>
      </c>
      <c r="D24" s="9">
        <v>2316</v>
      </c>
      <c r="E24" s="9">
        <v>2361</v>
      </c>
      <c r="F24" s="9">
        <v>2407</v>
      </c>
      <c r="G24" s="9">
        <v>2453</v>
      </c>
      <c r="H24" s="9">
        <v>2500</v>
      </c>
      <c r="I24" s="9">
        <v>2547</v>
      </c>
      <c r="J24" s="9">
        <v>2591</v>
      </c>
      <c r="K24" s="9">
        <v>2643</v>
      </c>
      <c r="L24" s="9">
        <v>2693</v>
      </c>
      <c r="M24" s="9">
        <v>2745</v>
      </c>
      <c r="N24" s="9">
        <v>2797</v>
      </c>
      <c r="O24" s="9">
        <v>2850</v>
      </c>
      <c r="P24" s="9">
        <v>2900</v>
      </c>
      <c r="Q24" s="9">
        <v>2953</v>
      </c>
      <c r="R24" s="9">
        <v>3060</v>
      </c>
      <c r="S24" s="9">
        <v>3168</v>
      </c>
      <c r="T24" s="9">
        <v>3274</v>
      </c>
      <c r="U24" s="9"/>
      <c r="V24" s="9"/>
      <c r="W24" s="115">
        <f t="shared" si="0"/>
        <v>18</v>
      </c>
    </row>
    <row r="25" spans="2:23" ht="12.75">
      <c r="B25" s="8" t="s">
        <v>15</v>
      </c>
      <c r="C25" s="9">
        <v>2354</v>
      </c>
      <c r="D25" s="9">
        <v>2411</v>
      </c>
      <c r="E25" s="9">
        <v>2464</v>
      </c>
      <c r="F25" s="9">
        <v>2521</v>
      </c>
      <c r="G25" s="9">
        <v>2575</v>
      </c>
      <c r="H25" s="9">
        <v>2632</v>
      </c>
      <c r="I25" s="9">
        <v>2686</v>
      </c>
      <c r="J25" s="9">
        <v>2741</v>
      </c>
      <c r="K25" s="9">
        <v>2797</v>
      </c>
      <c r="L25" s="9">
        <v>2854</v>
      </c>
      <c r="M25" s="9">
        <v>2908</v>
      </c>
      <c r="N25" s="9">
        <v>2964</v>
      </c>
      <c r="O25" s="9">
        <v>3018</v>
      </c>
      <c r="P25" s="9">
        <v>3134</v>
      </c>
      <c r="Q25" s="9">
        <v>3249</v>
      </c>
      <c r="R25" s="9">
        <v>3365</v>
      </c>
      <c r="S25" s="9">
        <v>3482</v>
      </c>
      <c r="T25" s="9">
        <v>3597</v>
      </c>
      <c r="U25" s="9"/>
      <c r="V25" s="9"/>
      <c r="W25" s="115">
        <f t="shared" si="0"/>
        <v>18</v>
      </c>
    </row>
    <row r="26" spans="2:23" ht="12.75">
      <c r="B26" s="8" t="s">
        <v>16</v>
      </c>
      <c r="C26" s="9">
        <v>2367</v>
      </c>
      <c r="D26" s="9">
        <v>2481</v>
      </c>
      <c r="E26" s="9">
        <v>2598</v>
      </c>
      <c r="F26" s="9">
        <v>2703</v>
      </c>
      <c r="G26" s="9">
        <v>2812</v>
      </c>
      <c r="H26" s="9">
        <v>2917</v>
      </c>
      <c r="I26" s="9">
        <v>3025</v>
      </c>
      <c r="J26" s="9">
        <v>3131</v>
      </c>
      <c r="K26" s="9">
        <v>3238</v>
      </c>
      <c r="L26" s="9">
        <v>3346</v>
      </c>
      <c r="M26" s="9">
        <v>3451</v>
      </c>
      <c r="N26" s="9">
        <v>3559</v>
      </c>
      <c r="O26" s="9">
        <v>3665</v>
      </c>
      <c r="P26" s="9">
        <v>3772</v>
      </c>
      <c r="Q26" s="9">
        <v>3878</v>
      </c>
      <c r="R26" s="9">
        <v>3985</v>
      </c>
      <c r="S26" s="9">
        <v>4092</v>
      </c>
      <c r="T26" s="9">
        <v>4197</v>
      </c>
      <c r="U26" s="9"/>
      <c r="V26" s="9"/>
      <c r="W26" s="115">
        <f t="shared" si="0"/>
        <v>18</v>
      </c>
    </row>
    <row r="27" spans="2:23" ht="12.75">
      <c r="B27" s="8" t="s">
        <v>17</v>
      </c>
      <c r="C27" s="9">
        <v>2376</v>
      </c>
      <c r="D27" s="9">
        <v>2518</v>
      </c>
      <c r="E27" s="9">
        <v>2658</v>
      </c>
      <c r="F27" s="9">
        <v>2799</v>
      </c>
      <c r="G27" s="9">
        <v>2940</v>
      </c>
      <c r="H27" s="9">
        <v>3081</v>
      </c>
      <c r="I27" s="9">
        <v>3221</v>
      </c>
      <c r="J27" s="9">
        <v>3363</v>
      </c>
      <c r="K27" s="9">
        <v>3504</v>
      </c>
      <c r="L27" s="9">
        <v>3644</v>
      </c>
      <c r="M27" s="9">
        <v>3787</v>
      </c>
      <c r="N27" s="9">
        <v>3928</v>
      </c>
      <c r="O27" s="9">
        <v>4070</v>
      </c>
      <c r="P27" s="9">
        <v>4211</v>
      </c>
      <c r="Q27" s="9">
        <v>4352</v>
      </c>
      <c r="R27" s="9">
        <v>4492</v>
      </c>
      <c r="S27" s="9">
        <v>4634</v>
      </c>
      <c r="T27" s="9">
        <v>4775</v>
      </c>
      <c r="U27" s="9"/>
      <c r="V27" s="9"/>
      <c r="W27" s="115">
        <f t="shared" si="0"/>
        <v>18</v>
      </c>
    </row>
    <row r="28" spans="2:23" ht="12.75">
      <c r="B28" s="8" t="s">
        <v>18</v>
      </c>
      <c r="C28" s="9">
        <v>3057</v>
      </c>
      <c r="D28" s="9">
        <v>3172</v>
      </c>
      <c r="E28" s="9">
        <v>3274</v>
      </c>
      <c r="F28" s="9">
        <v>3482</v>
      </c>
      <c r="G28" s="9">
        <v>3712</v>
      </c>
      <c r="H28" s="9">
        <v>3823</v>
      </c>
      <c r="I28" s="9">
        <v>3930</v>
      </c>
      <c r="J28" s="9">
        <v>4038</v>
      </c>
      <c r="K28" s="9">
        <v>4142</v>
      </c>
      <c r="L28" s="9">
        <v>4253</v>
      </c>
      <c r="M28" s="9">
        <v>4361</v>
      </c>
      <c r="N28" s="9">
        <v>4465</v>
      </c>
      <c r="O28" s="9">
        <v>4573</v>
      </c>
      <c r="P28" s="9">
        <v>4708</v>
      </c>
      <c r="Q28" s="9">
        <v>4825</v>
      </c>
      <c r="R28" s="9">
        <v>4944</v>
      </c>
      <c r="S28" s="9">
        <v>5061</v>
      </c>
      <c r="T28" s="9">
        <v>5178</v>
      </c>
      <c r="U28" s="9"/>
      <c r="V28" s="9"/>
      <c r="W28" s="115">
        <f t="shared" si="0"/>
        <v>18</v>
      </c>
    </row>
    <row r="29" spans="2:23" ht="12.75">
      <c r="B29" s="10">
        <v>1</v>
      </c>
      <c r="C29" s="9">
        <v>1415</v>
      </c>
      <c r="D29" s="9">
        <v>1477</v>
      </c>
      <c r="E29" s="9">
        <v>1538</v>
      </c>
      <c r="F29" s="9">
        <v>1566</v>
      </c>
      <c r="G29" s="9">
        <v>1598</v>
      </c>
      <c r="H29" s="9">
        <v>1631</v>
      </c>
      <c r="I29" s="9">
        <v>1674</v>
      </c>
      <c r="J29" s="9"/>
      <c r="K29" s="9"/>
      <c r="L29" s="9"/>
      <c r="M29" s="9"/>
      <c r="N29" s="9"/>
      <c r="O29" s="9"/>
      <c r="P29" s="9"/>
      <c r="Q29" s="9"/>
      <c r="R29" s="9"/>
      <c r="S29" s="9"/>
      <c r="T29" s="9"/>
      <c r="U29" s="9"/>
      <c r="V29" s="9"/>
      <c r="W29" s="115">
        <f t="shared" si="0"/>
        <v>7</v>
      </c>
    </row>
    <row r="30" spans="2:23" ht="12.75">
      <c r="B30" s="10">
        <v>2</v>
      </c>
      <c r="C30" s="9">
        <v>1449</v>
      </c>
      <c r="D30" s="9">
        <v>1508</v>
      </c>
      <c r="E30" s="9">
        <v>1566</v>
      </c>
      <c r="F30" s="9">
        <v>1631</v>
      </c>
      <c r="G30" s="9">
        <v>1674</v>
      </c>
      <c r="H30" s="9">
        <v>1723</v>
      </c>
      <c r="I30" s="9">
        <v>1783</v>
      </c>
      <c r="J30" s="9">
        <v>1840</v>
      </c>
      <c r="K30" s="9"/>
      <c r="L30" s="9"/>
      <c r="M30" s="9"/>
      <c r="N30" s="9"/>
      <c r="O30" s="9"/>
      <c r="P30" s="9"/>
      <c r="Q30" s="9"/>
      <c r="R30" s="9"/>
      <c r="S30" s="9"/>
      <c r="T30" s="9"/>
      <c r="U30" s="9"/>
      <c r="V30" s="9"/>
      <c r="W30" s="115">
        <f t="shared" si="0"/>
        <v>8</v>
      </c>
    </row>
    <row r="31" spans="2:23" ht="12.75">
      <c r="B31" s="10">
        <v>3</v>
      </c>
      <c r="C31" s="9">
        <v>1449</v>
      </c>
      <c r="D31" s="9">
        <v>1566</v>
      </c>
      <c r="E31" s="9">
        <v>1631</v>
      </c>
      <c r="F31" s="9">
        <v>1723</v>
      </c>
      <c r="G31" s="9">
        <v>1783</v>
      </c>
      <c r="H31" s="9">
        <v>1840</v>
      </c>
      <c r="I31" s="9">
        <v>1896</v>
      </c>
      <c r="J31" s="9">
        <v>1950</v>
      </c>
      <c r="K31" s="9">
        <v>2004</v>
      </c>
      <c r="L31" s="9"/>
      <c r="M31" s="9"/>
      <c r="N31" s="9"/>
      <c r="O31" s="9"/>
      <c r="P31" s="9"/>
      <c r="Q31" s="9"/>
      <c r="R31" s="9"/>
      <c r="S31" s="9"/>
      <c r="T31" s="9"/>
      <c r="U31" s="9"/>
      <c r="V31" s="9"/>
      <c r="W31" s="115">
        <f t="shared" si="0"/>
        <v>9</v>
      </c>
    </row>
    <row r="32" spans="2:23" ht="12.75">
      <c r="B32" s="10">
        <v>4</v>
      </c>
      <c r="C32" s="9">
        <v>1477</v>
      </c>
      <c r="D32" s="9">
        <v>1538</v>
      </c>
      <c r="E32" s="9">
        <v>1598</v>
      </c>
      <c r="F32" s="9">
        <v>1674</v>
      </c>
      <c r="G32" s="9">
        <v>1783</v>
      </c>
      <c r="H32" s="9">
        <v>1840</v>
      </c>
      <c r="I32" s="9">
        <v>1896</v>
      </c>
      <c r="J32" s="9">
        <v>1950</v>
      </c>
      <c r="K32" s="9">
        <v>2004</v>
      </c>
      <c r="L32" s="9">
        <v>2056</v>
      </c>
      <c r="M32" s="9">
        <v>2108</v>
      </c>
      <c r="N32" s="9"/>
      <c r="O32" s="9"/>
      <c r="P32" s="9"/>
      <c r="Q32" s="9"/>
      <c r="R32" s="9"/>
      <c r="S32" s="9"/>
      <c r="T32" s="9"/>
      <c r="U32" s="9"/>
      <c r="V32" s="9"/>
      <c r="W32" s="115">
        <f t="shared" si="0"/>
        <v>11</v>
      </c>
    </row>
    <row r="33" spans="2:23" ht="12.75">
      <c r="B33" s="10">
        <v>5</v>
      </c>
      <c r="C33" s="9">
        <v>1508</v>
      </c>
      <c r="D33" s="9">
        <v>1538</v>
      </c>
      <c r="E33" s="9">
        <v>1631</v>
      </c>
      <c r="F33" s="9">
        <v>1723</v>
      </c>
      <c r="G33" s="9">
        <v>1840</v>
      </c>
      <c r="H33" s="9">
        <v>1896</v>
      </c>
      <c r="I33" s="9">
        <v>1950</v>
      </c>
      <c r="J33" s="9">
        <v>2004</v>
      </c>
      <c r="K33" s="9">
        <v>2056</v>
      </c>
      <c r="L33" s="9">
        <v>2108</v>
      </c>
      <c r="M33" s="9">
        <v>2158</v>
      </c>
      <c r="N33" s="9">
        <v>2216</v>
      </c>
      <c r="O33" s="9"/>
      <c r="P33" s="9"/>
      <c r="Q33" s="9"/>
      <c r="R33" s="9"/>
      <c r="S33" s="9"/>
      <c r="T33" s="9"/>
      <c r="U33" s="9"/>
      <c r="V33" s="9"/>
      <c r="W33" s="115">
        <f t="shared" si="0"/>
        <v>12</v>
      </c>
    </row>
    <row r="34" spans="2:23" ht="12.75">
      <c r="B34" s="10">
        <v>6</v>
      </c>
      <c r="C34" s="9">
        <v>1566</v>
      </c>
      <c r="D34" s="9">
        <v>1631</v>
      </c>
      <c r="E34" s="9">
        <v>1840</v>
      </c>
      <c r="F34" s="9">
        <v>1950</v>
      </c>
      <c r="G34" s="9">
        <v>2004</v>
      </c>
      <c r="H34" s="9">
        <v>2056</v>
      </c>
      <c r="I34" s="9">
        <v>2108</v>
      </c>
      <c r="J34" s="9">
        <v>2158</v>
      </c>
      <c r="K34" s="9">
        <v>2216</v>
      </c>
      <c r="L34" s="9">
        <v>2270</v>
      </c>
      <c r="M34" s="9">
        <v>2322</v>
      </c>
      <c r="N34" s="9"/>
      <c r="O34" s="9"/>
      <c r="P34" s="9"/>
      <c r="Q34" s="9"/>
      <c r="R34" s="9"/>
      <c r="S34" s="9"/>
      <c r="T34" s="9"/>
      <c r="U34" s="9"/>
      <c r="V34" s="9"/>
      <c r="W34" s="115">
        <f t="shared" si="0"/>
        <v>11</v>
      </c>
    </row>
    <row r="35" spans="2:23" ht="12.75">
      <c r="B35" s="10">
        <v>7</v>
      </c>
      <c r="C35" s="9">
        <v>1674</v>
      </c>
      <c r="D35" s="9">
        <v>1723</v>
      </c>
      <c r="E35" s="9">
        <v>1840</v>
      </c>
      <c r="F35" s="9">
        <v>2056</v>
      </c>
      <c r="G35" s="9">
        <v>2158</v>
      </c>
      <c r="H35" s="9">
        <v>2216</v>
      </c>
      <c r="I35" s="9">
        <v>2270</v>
      </c>
      <c r="J35" s="9">
        <v>2322</v>
      </c>
      <c r="K35" s="9">
        <v>2376</v>
      </c>
      <c r="L35" s="9">
        <v>2434</v>
      </c>
      <c r="M35" s="9">
        <v>2494</v>
      </c>
      <c r="N35" s="9">
        <v>2560</v>
      </c>
      <c r="O35" s="9"/>
      <c r="P35" s="9"/>
      <c r="Q35" s="9"/>
      <c r="R35" s="9"/>
      <c r="S35" s="9"/>
      <c r="T35" s="9"/>
      <c r="U35" s="9"/>
      <c r="V35" s="9"/>
      <c r="W35" s="115">
        <f t="shared" si="0"/>
        <v>12</v>
      </c>
    </row>
    <row r="36" spans="2:23" ht="12.75">
      <c r="B36" s="10">
        <v>8</v>
      </c>
      <c r="C36" s="9">
        <v>1896</v>
      </c>
      <c r="D36" s="9">
        <v>1950</v>
      </c>
      <c r="E36" s="9">
        <v>2056</v>
      </c>
      <c r="F36" s="9">
        <v>2270</v>
      </c>
      <c r="G36" s="9">
        <v>2376</v>
      </c>
      <c r="H36" s="9">
        <v>2494</v>
      </c>
      <c r="I36" s="9">
        <v>2560</v>
      </c>
      <c r="J36" s="9">
        <v>2621</v>
      </c>
      <c r="K36" s="9">
        <v>2675</v>
      </c>
      <c r="L36" s="9">
        <v>2733</v>
      </c>
      <c r="M36" s="9">
        <v>2791</v>
      </c>
      <c r="N36" s="9">
        <v>2845</v>
      </c>
      <c r="O36" s="9">
        <v>2896</v>
      </c>
      <c r="P36" s="9"/>
      <c r="Q36" s="9"/>
      <c r="R36" s="9"/>
      <c r="S36" s="9"/>
      <c r="T36" s="9"/>
      <c r="U36" s="9"/>
      <c r="V36" s="9"/>
      <c r="W36" s="115">
        <f t="shared" si="0"/>
        <v>13</v>
      </c>
    </row>
    <row r="37" spans="2:23" ht="12.75">
      <c r="B37" s="10">
        <v>9</v>
      </c>
      <c r="C37" s="9">
        <v>2158</v>
      </c>
      <c r="D37" s="9">
        <v>2270</v>
      </c>
      <c r="E37" s="9">
        <v>2494</v>
      </c>
      <c r="F37" s="9">
        <v>2621</v>
      </c>
      <c r="G37" s="9">
        <v>2733</v>
      </c>
      <c r="H37" s="9">
        <v>2845</v>
      </c>
      <c r="I37" s="9">
        <v>2952</v>
      </c>
      <c r="J37" s="9">
        <v>3057</v>
      </c>
      <c r="K37" s="9">
        <v>3172</v>
      </c>
      <c r="L37" s="9">
        <v>3274</v>
      </c>
      <c r="M37" s="9"/>
      <c r="N37" s="9"/>
      <c r="O37" s="9"/>
      <c r="P37" s="9"/>
      <c r="Q37" s="9"/>
      <c r="R37" s="9"/>
      <c r="S37" s="9"/>
      <c r="T37" s="9"/>
      <c r="U37" s="9"/>
      <c r="V37" s="9"/>
      <c r="W37" s="115">
        <f t="shared" si="0"/>
        <v>10</v>
      </c>
    </row>
    <row r="38" spans="2:23" ht="12.75">
      <c r="B38" s="10">
        <v>10</v>
      </c>
      <c r="C38" s="9">
        <v>2158</v>
      </c>
      <c r="D38" s="9">
        <v>2376</v>
      </c>
      <c r="E38" s="9">
        <v>2494</v>
      </c>
      <c r="F38" s="9">
        <v>2621</v>
      </c>
      <c r="G38" s="9">
        <v>2733</v>
      </c>
      <c r="H38" s="9">
        <v>2845</v>
      </c>
      <c r="I38" s="9">
        <v>2952</v>
      </c>
      <c r="J38" s="9">
        <v>3057</v>
      </c>
      <c r="K38" s="9">
        <v>3172</v>
      </c>
      <c r="L38" s="9">
        <v>3274</v>
      </c>
      <c r="M38" s="9">
        <v>3379</v>
      </c>
      <c r="N38" s="9">
        <v>3482</v>
      </c>
      <c r="O38" s="9">
        <v>3597</v>
      </c>
      <c r="P38" s="9"/>
      <c r="Q38" s="9"/>
      <c r="R38" s="9"/>
      <c r="S38" s="9"/>
      <c r="T38" s="9"/>
      <c r="U38" s="9"/>
      <c r="V38" s="9"/>
      <c r="W38" s="115">
        <f t="shared" si="0"/>
        <v>13</v>
      </c>
    </row>
    <row r="39" spans="2:23" ht="12.75">
      <c r="B39" s="10">
        <v>11</v>
      </c>
      <c r="C39" s="9">
        <v>2270</v>
      </c>
      <c r="D39" s="9">
        <v>2376</v>
      </c>
      <c r="E39" s="9">
        <v>2494</v>
      </c>
      <c r="F39" s="9">
        <v>2621</v>
      </c>
      <c r="G39" s="9">
        <v>2733</v>
      </c>
      <c r="H39" s="9">
        <v>2845</v>
      </c>
      <c r="I39" s="9">
        <v>2952</v>
      </c>
      <c r="J39" s="9">
        <v>3172</v>
      </c>
      <c r="K39" s="9">
        <v>3274</v>
      </c>
      <c r="L39" s="9">
        <v>3379</v>
      </c>
      <c r="M39" s="9">
        <v>3482</v>
      </c>
      <c r="N39" s="9">
        <v>3597</v>
      </c>
      <c r="O39" s="9">
        <v>3712</v>
      </c>
      <c r="P39" s="9">
        <v>3823</v>
      </c>
      <c r="Q39" s="9">
        <v>3930</v>
      </c>
      <c r="R39" s="9">
        <v>4038</v>
      </c>
      <c r="S39" s="9">
        <v>4142</v>
      </c>
      <c r="T39" s="9">
        <v>4197</v>
      </c>
      <c r="U39" s="9"/>
      <c r="V39" s="9"/>
      <c r="W39" s="115">
        <f t="shared" si="0"/>
        <v>18</v>
      </c>
    </row>
    <row r="40" spans="2:23" ht="12.75">
      <c r="B40" s="10">
        <v>12</v>
      </c>
      <c r="C40" s="9">
        <v>3057</v>
      </c>
      <c r="D40" s="9">
        <v>3172</v>
      </c>
      <c r="E40" s="9">
        <v>3274</v>
      </c>
      <c r="F40" s="9">
        <v>3379</v>
      </c>
      <c r="G40" s="9">
        <v>3482</v>
      </c>
      <c r="H40" s="9">
        <v>3597</v>
      </c>
      <c r="I40" s="9">
        <v>3823</v>
      </c>
      <c r="J40" s="9">
        <v>3930</v>
      </c>
      <c r="K40" s="9">
        <v>4038</v>
      </c>
      <c r="L40" s="9">
        <v>4142</v>
      </c>
      <c r="M40" s="9">
        <v>4253</v>
      </c>
      <c r="N40" s="9">
        <v>4361</v>
      </c>
      <c r="O40" s="9">
        <v>4465</v>
      </c>
      <c r="P40" s="9">
        <v>4573</v>
      </c>
      <c r="Q40" s="9">
        <v>4708</v>
      </c>
      <c r="R40" s="9">
        <v>4775</v>
      </c>
      <c r="S40" s="9"/>
      <c r="T40" s="9"/>
      <c r="U40" s="9"/>
      <c r="V40" s="9"/>
      <c r="W40" s="115">
        <f t="shared" si="0"/>
        <v>16</v>
      </c>
    </row>
    <row r="41" spans="2:23" ht="12.75">
      <c r="B41" s="10">
        <v>13</v>
      </c>
      <c r="C41" s="9">
        <v>3712</v>
      </c>
      <c r="D41" s="9">
        <v>3823</v>
      </c>
      <c r="E41" s="9">
        <v>3930</v>
      </c>
      <c r="F41" s="9">
        <v>4038</v>
      </c>
      <c r="G41" s="9">
        <v>4142</v>
      </c>
      <c r="H41" s="9">
        <v>4361</v>
      </c>
      <c r="I41" s="9">
        <v>4465</v>
      </c>
      <c r="J41" s="9">
        <v>4573</v>
      </c>
      <c r="K41" s="9">
        <v>4708</v>
      </c>
      <c r="L41" s="9">
        <v>4843</v>
      </c>
      <c r="M41" s="9">
        <v>4978</v>
      </c>
      <c r="N41" s="9">
        <v>5113</v>
      </c>
      <c r="O41" s="9">
        <v>5178</v>
      </c>
      <c r="P41" s="9"/>
      <c r="Q41" s="9"/>
      <c r="R41" s="9"/>
      <c r="S41" s="9"/>
      <c r="T41" s="9"/>
      <c r="U41" s="9"/>
      <c r="V41" s="9"/>
      <c r="W41" s="115">
        <f t="shared" si="0"/>
        <v>13</v>
      </c>
    </row>
    <row r="42" spans="2:23" ht="12.75">
      <c r="B42" s="10">
        <v>14</v>
      </c>
      <c r="C42" s="9">
        <v>4253</v>
      </c>
      <c r="D42" s="9">
        <v>4361</v>
      </c>
      <c r="E42" s="9">
        <v>4573</v>
      </c>
      <c r="F42" s="9">
        <v>4708</v>
      </c>
      <c r="G42" s="9">
        <v>4843</v>
      </c>
      <c r="H42" s="9">
        <v>4978</v>
      </c>
      <c r="I42" s="9">
        <v>5113</v>
      </c>
      <c r="J42" s="9">
        <v>5249</v>
      </c>
      <c r="K42" s="9">
        <v>5393</v>
      </c>
      <c r="L42" s="9">
        <v>5539</v>
      </c>
      <c r="M42" s="9">
        <v>5690</v>
      </c>
      <c r="N42" s="9"/>
      <c r="O42" s="9"/>
      <c r="P42" s="9"/>
      <c r="Q42" s="9"/>
      <c r="R42" s="9"/>
      <c r="S42" s="9"/>
      <c r="T42" s="9"/>
      <c r="U42" s="9"/>
      <c r="V42" s="9"/>
      <c r="W42" s="115">
        <f t="shared" si="0"/>
        <v>11</v>
      </c>
    </row>
    <row r="43" spans="2:23" ht="12.75">
      <c r="B43" s="10">
        <v>15</v>
      </c>
      <c r="C43" s="9">
        <v>4465</v>
      </c>
      <c r="D43" s="9">
        <v>4573</v>
      </c>
      <c r="E43" s="9">
        <v>4708</v>
      </c>
      <c r="F43" s="9">
        <v>4978</v>
      </c>
      <c r="G43" s="9">
        <v>5113</v>
      </c>
      <c r="H43" s="9">
        <v>5249</v>
      </c>
      <c r="I43" s="9">
        <v>5393</v>
      </c>
      <c r="J43" s="9">
        <v>5539</v>
      </c>
      <c r="K43" s="9">
        <v>5690</v>
      </c>
      <c r="L43" s="9">
        <v>5870</v>
      </c>
      <c r="M43" s="9">
        <v>6059</v>
      </c>
      <c r="N43" s="9">
        <v>6252</v>
      </c>
      <c r="O43" s="9"/>
      <c r="P43" s="9"/>
      <c r="Q43" s="9"/>
      <c r="R43" s="9"/>
      <c r="S43" s="9"/>
      <c r="T43" s="9"/>
      <c r="U43" s="9"/>
      <c r="V43" s="9"/>
      <c r="W43" s="115">
        <f t="shared" si="0"/>
        <v>12</v>
      </c>
    </row>
    <row r="44" spans="2:23" ht="12.75">
      <c r="B44" s="10" t="s">
        <v>19</v>
      </c>
      <c r="C44" s="9">
        <f>+C24/2</f>
        <v>1135</v>
      </c>
      <c r="D44" s="9"/>
      <c r="E44" s="9"/>
      <c r="F44" s="9"/>
      <c r="G44" s="9"/>
      <c r="H44" s="9"/>
      <c r="I44" s="9"/>
      <c r="J44" s="9"/>
      <c r="K44" s="9"/>
      <c r="L44" s="9"/>
      <c r="M44" s="9"/>
      <c r="N44" s="9"/>
      <c r="O44" s="9"/>
      <c r="P44" s="9"/>
      <c r="Q44" s="9"/>
      <c r="R44" s="9"/>
      <c r="S44" s="9"/>
      <c r="T44" s="9"/>
      <c r="U44" s="9"/>
      <c r="V44" s="9"/>
      <c r="W44" s="115">
        <f t="shared" si="0"/>
        <v>1</v>
      </c>
    </row>
    <row r="45" spans="2:23" ht="12.75">
      <c r="B45" s="10" t="s">
        <v>20</v>
      </c>
      <c r="C45" s="9">
        <f>+C25/2</f>
        <v>1177</v>
      </c>
      <c r="D45" s="9"/>
      <c r="E45" s="9"/>
      <c r="F45" s="9"/>
      <c r="G45" s="9"/>
      <c r="H45" s="9"/>
      <c r="I45" s="9"/>
      <c r="J45" s="9"/>
      <c r="K45" s="9"/>
      <c r="L45" s="9"/>
      <c r="M45" s="9"/>
      <c r="N45" s="9"/>
      <c r="O45" s="9"/>
      <c r="P45" s="9"/>
      <c r="Q45" s="9"/>
      <c r="R45" s="9"/>
      <c r="S45" s="9"/>
      <c r="T45" s="9"/>
      <c r="U45" s="9"/>
      <c r="V45" s="9"/>
      <c r="W45" s="115">
        <f t="shared" si="0"/>
        <v>1</v>
      </c>
    </row>
    <row r="46" spans="2:23" ht="12.75">
      <c r="B46" s="10" t="s">
        <v>116</v>
      </c>
      <c r="C46" s="9">
        <v>1415</v>
      </c>
      <c r="D46" s="9">
        <v>1477</v>
      </c>
      <c r="E46" s="9">
        <v>1538</v>
      </c>
      <c r="F46" s="9">
        <v>1566</v>
      </c>
      <c r="G46" s="9">
        <v>1598</v>
      </c>
      <c r="H46" s="9">
        <v>1631</v>
      </c>
      <c r="I46" s="9">
        <v>1674</v>
      </c>
      <c r="J46" s="9"/>
      <c r="K46" s="9"/>
      <c r="L46" s="9"/>
      <c r="M46" s="9"/>
      <c r="N46" s="9"/>
      <c r="O46" s="9"/>
      <c r="P46" s="9"/>
      <c r="Q46" s="9"/>
      <c r="R46" s="9"/>
      <c r="S46" s="9"/>
      <c r="T46" s="9"/>
      <c r="U46" s="9"/>
      <c r="V46" s="9"/>
      <c r="W46" s="115">
        <f t="shared" si="0"/>
        <v>7</v>
      </c>
    </row>
    <row r="47" spans="2:23" ht="12.75">
      <c r="B47" s="10" t="s">
        <v>117</v>
      </c>
      <c r="C47" s="9">
        <v>1449</v>
      </c>
      <c r="D47" s="9">
        <v>1508</v>
      </c>
      <c r="E47" s="9">
        <v>1566</v>
      </c>
      <c r="F47" s="9">
        <v>1631</v>
      </c>
      <c r="G47" s="9">
        <v>1674</v>
      </c>
      <c r="H47" s="9">
        <v>1723</v>
      </c>
      <c r="I47" s="9">
        <v>1783</v>
      </c>
      <c r="J47" s="9">
        <v>1840</v>
      </c>
      <c r="K47" s="9"/>
      <c r="L47" s="9"/>
      <c r="M47" s="9"/>
      <c r="N47" s="9"/>
      <c r="O47" s="9"/>
      <c r="P47" s="9"/>
      <c r="Q47" s="9"/>
      <c r="R47" s="9"/>
      <c r="S47" s="9"/>
      <c r="T47" s="9"/>
      <c r="U47" s="9"/>
      <c r="V47" s="9"/>
      <c r="W47" s="115">
        <f t="shared" si="0"/>
        <v>8</v>
      </c>
    </row>
    <row r="48" spans="2:23" ht="12.75">
      <c r="B48" s="10" t="s">
        <v>118</v>
      </c>
      <c r="C48" s="9">
        <v>1449</v>
      </c>
      <c r="D48" s="9">
        <v>1566</v>
      </c>
      <c r="E48" s="9">
        <v>1631</v>
      </c>
      <c r="F48" s="9">
        <v>1723</v>
      </c>
      <c r="G48" s="9">
        <v>1783</v>
      </c>
      <c r="H48" s="9">
        <v>1840</v>
      </c>
      <c r="I48" s="9">
        <v>1896</v>
      </c>
      <c r="J48" s="9"/>
      <c r="K48" s="9"/>
      <c r="L48" s="9"/>
      <c r="M48" s="9"/>
      <c r="N48" s="9"/>
      <c r="O48" s="9"/>
      <c r="P48" s="9"/>
      <c r="Q48" s="9"/>
      <c r="R48" s="9"/>
      <c r="S48" s="9"/>
      <c r="T48" s="9"/>
      <c r="U48" s="9"/>
      <c r="V48" s="9"/>
      <c r="W48" s="115">
        <f t="shared" si="0"/>
        <v>7</v>
      </c>
    </row>
    <row r="51" s="11" customFormat="1" ht="12.75">
      <c r="B51" s="30" t="s">
        <v>47</v>
      </c>
    </row>
    <row r="52" spans="2:9" s="11" customFormat="1" ht="12.75">
      <c r="B52" s="30"/>
      <c r="C52" s="30"/>
      <c r="D52" s="11" t="s">
        <v>44</v>
      </c>
      <c r="E52" s="11" t="s">
        <v>45</v>
      </c>
      <c r="F52" s="11" t="s">
        <v>131</v>
      </c>
      <c r="G52" s="11" t="s">
        <v>132</v>
      </c>
      <c r="H52" s="11" t="s">
        <v>50</v>
      </c>
      <c r="I52" s="11" t="s">
        <v>54</v>
      </c>
    </row>
    <row r="53" spans="2:7" s="11" customFormat="1" ht="12.75">
      <c r="B53" s="11" t="s">
        <v>43</v>
      </c>
      <c r="C53" s="11">
        <v>1</v>
      </c>
      <c r="D53" s="24">
        <v>0.1382</v>
      </c>
      <c r="E53" s="24">
        <v>0.0618</v>
      </c>
      <c r="F53" s="23">
        <v>10100</v>
      </c>
      <c r="G53" s="55">
        <f>+F53/12</f>
        <v>841.6666666666666</v>
      </c>
    </row>
    <row r="54" spans="2:7" s="11" customFormat="1" ht="12.75">
      <c r="B54" s="11" t="s">
        <v>301</v>
      </c>
      <c r="C54" s="11">
        <v>2</v>
      </c>
      <c r="D54" s="24">
        <v>0.003</v>
      </c>
      <c r="E54" s="24">
        <v>0.001</v>
      </c>
      <c r="F54" s="23">
        <v>17300</v>
      </c>
      <c r="G54" s="55">
        <f>+F54/12</f>
        <v>1441.6666666666667</v>
      </c>
    </row>
    <row r="55" spans="2:7" s="11" customFormat="1" ht="12.75">
      <c r="B55" s="11" t="s">
        <v>48</v>
      </c>
      <c r="C55" s="11">
        <v>3</v>
      </c>
      <c r="D55" s="24">
        <v>0.0185</v>
      </c>
      <c r="E55" s="24">
        <f>+D55+0.8%</f>
        <v>0.0265</v>
      </c>
      <c r="F55" s="53"/>
      <c r="G55" s="53"/>
    </row>
    <row r="56" spans="2:9" s="11" customFormat="1" ht="12.75">
      <c r="B56" s="35" t="s">
        <v>284</v>
      </c>
      <c r="C56" s="11">
        <v>4</v>
      </c>
      <c r="D56" s="24">
        <v>0.0565</v>
      </c>
      <c r="E56" s="28"/>
      <c r="F56" s="28"/>
      <c r="G56" s="28"/>
      <c r="H56" s="55">
        <v>46204.8</v>
      </c>
      <c r="I56" s="55">
        <f aca="true" t="shared" si="1" ref="I56:I61">+H56/12</f>
        <v>3850.4</v>
      </c>
    </row>
    <row r="57" spans="2:9" s="11" customFormat="1" ht="12.75">
      <c r="B57" s="35" t="s">
        <v>303</v>
      </c>
      <c r="C57" s="11">
        <v>5</v>
      </c>
      <c r="D57" s="24">
        <v>0.0057</v>
      </c>
      <c r="E57" s="28"/>
      <c r="F57" s="28"/>
      <c r="G57" s="28"/>
      <c r="H57" s="55">
        <f>+H56</f>
        <v>46204.8</v>
      </c>
      <c r="I57" s="55">
        <f t="shared" si="1"/>
        <v>3850.4</v>
      </c>
    </row>
    <row r="58" spans="2:9" s="11" customFormat="1" ht="12.75">
      <c r="B58" s="35" t="s">
        <v>302</v>
      </c>
      <c r="C58" s="11">
        <v>6</v>
      </c>
      <c r="D58" s="24">
        <v>0.0015</v>
      </c>
      <c r="E58"/>
      <c r="F58" s="28"/>
      <c r="G58" s="28"/>
      <c r="H58" s="55">
        <f>+H57</f>
        <v>46204.8</v>
      </c>
      <c r="I58" s="55">
        <f t="shared" si="1"/>
        <v>3850.4</v>
      </c>
    </row>
    <row r="59" spans="2:9" s="11" customFormat="1" ht="12.75">
      <c r="B59" s="11" t="s">
        <v>119</v>
      </c>
      <c r="C59" s="11">
        <v>7</v>
      </c>
      <c r="D59" s="28"/>
      <c r="E59" s="24">
        <v>0.035</v>
      </c>
      <c r="F59" s="23">
        <v>15921</v>
      </c>
      <c r="G59" s="55">
        <f>+F59/12</f>
        <v>1326.75</v>
      </c>
      <c r="H59" s="55">
        <f>+H58</f>
        <v>46204.8</v>
      </c>
      <c r="I59" s="55">
        <f t="shared" si="1"/>
        <v>3850.4</v>
      </c>
    </row>
    <row r="60" spans="2:9" s="11" customFormat="1" ht="12.75">
      <c r="B60" s="11" t="s">
        <v>120</v>
      </c>
      <c r="C60" s="11">
        <v>8</v>
      </c>
      <c r="D60" s="54"/>
      <c r="E60" s="24">
        <v>0.072</v>
      </c>
      <c r="F60" s="53"/>
      <c r="G60" s="53"/>
      <c r="H60" s="55">
        <v>31231</v>
      </c>
      <c r="I60" s="55">
        <f t="shared" si="1"/>
        <v>2602.5833333333335</v>
      </c>
    </row>
    <row r="61" spans="2:9" s="11" customFormat="1" ht="12.75">
      <c r="B61" s="11" t="s">
        <v>49</v>
      </c>
      <c r="C61" s="11">
        <v>9</v>
      </c>
      <c r="D61" s="24">
        <f>0.78%+0.34%</f>
        <v>0.011200000000000002</v>
      </c>
      <c r="E61" s="28"/>
      <c r="F61" s="28"/>
      <c r="G61" s="28"/>
      <c r="H61" s="55">
        <f>+H56</f>
        <v>46204.8</v>
      </c>
      <c r="I61" s="55">
        <f t="shared" si="1"/>
        <v>3850.4</v>
      </c>
    </row>
    <row r="62" spans="2:9" s="11" customFormat="1" ht="12.75">
      <c r="B62" s="35" t="s">
        <v>304</v>
      </c>
      <c r="C62" s="11">
        <v>10</v>
      </c>
      <c r="D62" s="24">
        <f>7.55%+0.73%</f>
        <v>0.0828</v>
      </c>
      <c r="E62" s="28"/>
      <c r="F62" s="28"/>
      <c r="G62" s="28"/>
      <c r="H62" s="53"/>
      <c r="I62" s="53"/>
    </row>
    <row r="63" spans="2:9" s="11" customFormat="1" ht="12.75">
      <c r="B63" s="35" t="s">
        <v>305</v>
      </c>
      <c r="D63" s="24">
        <v>0.035</v>
      </c>
      <c r="E63" s="28"/>
      <c r="F63" s="28"/>
      <c r="G63" s="28"/>
      <c r="H63" s="53"/>
      <c r="I63" s="53"/>
    </row>
    <row r="64" spans="2:9" s="11" customFormat="1" ht="12.75">
      <c r="B64" s="35" t="s">
        <v>306</v>
      </c>
      <c r="D64" s="24">
        <v>0</v>
      </c>
      <c r="E64" s="28"/>
      <c r="F64" s="28"/>
      <c r="G64" s="28"/>
      <c r="H64" s="53"/>
      <c r="I64" s="53"/>
    </row>
    <row r="65" spans="2:9" s="11" customFormat="1" ht="12.75">
      <c r="B65" s="11" t="s">
        <v>103</v>
      </c>
      <c r="C65" s="11">
        <v>11</v>
      </c>
      <c r="D65" s="24">
        <v>0.0151</v>
      </c>
      <c r="E65" s="28"/>
      <c r="F65" s="28"/>
      <c r="G65" s="28"/>
      <c r="H65" s="53"/>
      <c r="I65" s="53"/>
    </row>
    <row r="66" spans="3:6" s="11" customFormat="1" ht="12.75">
      <c r="C66" s="11" t="s">
        <v>285</v>
      </c>
      <c r="D66" s="29">
        <f>SUM(D53:D65)-D63-D64</f>
        <v>0.3324999999999999</v>
      </c>
      <c r="E66" s="29">
        <f>SUM(E53:E65)</f>
        <v>0.19629999999999997</v>
      </c>
      <c r="F66" s="29">
        <f>SUM(D66:E66)</f>
        <v>0.5287999999999999</v>
      </c>
    </row>
    <row r="67" s="11" customFormat="1" ht="12.75"/>
    <row r="68" spans="2:4" s="11" customFormat="1" ht="12.75">
      <c r="B68" s="14" t="s">
        <v>87</v>
      </c>
      <c r="C68" s="11" t="s">
        <v>0</v>
      </c>
      <c r="D68" s="48">
        <v>28.61</v>
      </c>
    </row>
    <row r="69" spans="3:4" s="11" customFormat="1" ht="12.75">
      <c r="C69" s="11" t="s">
        <v>15</v>
      </c>
      <c r="D69" s="48">
        <v>25.1</v>
      </c>
    </row>
    <row r="70" spans="3:4" s="11" customFormat="1" ht="12.75">
      <c r="C70" s="11" t="s">
        <v>16</v>
      </c>
      <c r="D70" s="48">
        <v>45.7</v>
      </c>
    </row>
    <row r="71" spans="3:4" s="11" customFormat="1" ht="12.75">
      <c r="C71" s="11" t="s">
        <v>17</v>
      </c>
      <c r="D71" s="48">
        <v>22.6</v>
      </c>
    </row>
    <row r="72" s="11" customFormat="1" ht="12.75"/>
    <row r="73" spans="2:4" s="11" customFormat="1" ht="12.75">
      <c r="B73" s="14" t="s">
        <v>88</v>
      </c>
      <c r="C73" s="11" t="s">
        <v>89</v>
      </c>
      <c r="D73" s="48">
        <v>321.4</v>
      </c>
    </row>
    <row r="74" spans="3:4" s="11" customFormat="1" ht="12.75">
      <c r="C74" s="11" t="s">
        <v>90</v>
      </c>
      <c r="D74" s="48">
        <v>214.27</v>
      </c>
    </row>
    <row r="75" spans="3:4" s="11" customFormat="1" ht="12.75">
      <c r="C75" s="11" t="s">
        <v>91</v>
      </c>
      <c r="D75" s="48">
        <f>+D74</f>
        <v>214.27</v>
      </c>
    </row>
    <row r="76" s="11" customFormat="1" ht="12.75"/>
    <row r="77" spans="2:5" s="11" customFormat="1" ht="12.75">
      <c r="B77" s="14" t="s">
        <v>149</v>
      </c>
      <c r="D77" s="56">
        <v>31.71</v>
      </c>
      <c r="E77" s="57"/>
    </row>
    <row r="78" s="11" customFormat="1" ht="12.75"/>
    <row r="79" spans="2:5" s="11" customFormat="1" ht="12.75">
      <c r="B79" s="123" t="s">
        <v>309</v>
      </c>
      <c r="D79" s="24">
        <v>0.008</v>
      </c>
      <c r="E79" s="29"/>
    </row>
    <row r="80" s="11" customFormat="1" ht="12.75"/>
    <row r="81" spans="2:6" s="11" customFormat="1" ht="12.75">
      <c r="B81" s="14" t="s">
        <v>107</v>
      </c>
      <c r="C81" s="14"/>
      <c r="E81" s="48">
        <v>137.47</v>
      </c>
      <c r="F81" s="11" t="s">
        <v>105</v>
      </c>
    </row>
    <row r="82" spans="2:5" s="11" customFormat="1" ht="12.75">
      <c r="B82" s="14" t="s">
        <v>104</v>
      </c>
      <c r="C82" s="14"/>
      <c r="E82" s="24">
        <v>0.063</v>
      </c>
    </row>
    <row r="83" spans="2:9" s="11" customFormat="1" ht="12.75">
      <c r="B83" s="15" t="s">
        <v>151</v>
      </c>
      <c r="C83" s="14"/>
      <c r="D83" s="121">
        <v>0</v>
      </c>
      <c r="E83" s="122">
        <v>0</v>
      </c>
      <c r="H83"/>
      <c r="I83"/>
    </row>
    <row r="84" spans="2:9" s="11" customFormat="1" ht="12.75">
      <c r="B84" s="15"/>
      <c r="C84" s="14"/>
      <c r="D84" s="121">
        <v>1</v>
      </c>
      <c r="E84" s="122">
        <v>820.08</v>
      </c>
      <c r="H84"/>
      <c r="I84"/>
    </row>
    <row r="85" spans="2:9" s="11" customFormat="1" ht="12.75">
      <c r="B85" s="15"/>
      <c r="C85" s="14"/>
      <c r="D85" s="121">
        <v>6</v>
      </c>
      <c r="E85" s="122">
        <v>775.08</v>
      </c>
      <c r="H85"/>
      <c r="I85"/>
    </row>
    <row r="86" spans="2:9" s="11" customFormat="1" ht="12.75">
      <c r="B86" s="15"/>
      <c r="C86" s="14"/>
      <c r="D86" s="121">
        <v>9</v>
      </c>
      <c r="E86" s="122">
        <v>0</v>
      </c>
      <c r="H86"/>
      <c r="I86"/>
    </row>
    <row r="87" spans="2:7" s="11" customFormat="1" ht="12.75">
      <c r="B87" t="s">
        <v>300</v>
      </c>
      <c r="C87"/>
      <c r="D87"/>
      <c r="E87" s="48">
        <v>110</v>
      </c>
      <c r="F87"/>
      <c r="G87"/>
    </row>
    <row r="88" s="11" customFormat="1" ht="12.75"/>
    <row r="89" s="11" customFormat="1" ht="12.75">
      <c r="B89" s="14" t="s">
        <v>329</v>
      </c>
    </row>
    <row r="90" s="11" customFormat="1" ht="12.75">
      <c r="B90" s="14" t="s">
        <v>330</v>
      </c>
    </row>
    <row r="91" s="11" customFormat="1" ht="12.75">
      <c r="B91" s="45" t="s">
        <v>133</v>
      </c>
    </row>
    <row r="92" s="11" customFormat="1" ht="12.75">
      <c r="B92" s="45"/>
    </row>
    <row r="93" spans="2:8" s="11" customFormat="1" ht="12.75">
      <c r="B93" s="14" t="s">
        <v>281</v>
      </c>
      <c r="H93" s="31"/>
    </row>
    <row r="94" spans="2:4" s="11" customFormat="1" ht="12.75">
      <c r="B94" s="14" t="s">
        <v>134</v>
      </c>
      <c r="C94" s="11" t="s">
        <v>282</v>
      </c>
      <c r="D94" s="11" t="s">
        <v>135</v>
      </c>
    </row>
    <row r="95" spans="2:4" s="11" customFormat="1" ht="12.75">
      <c r="B95" s="11">
        <v>1</v>
      </c>
      <c r="C95" s="58">
        <v>17579</v>
      </c>
      <c r="D95" s="29">
        <v>0.336</v>
      </c>
    </row>
    <row r="96" spans="2:4" s="11" customFormat="1" ht="12.75">
      <c r="B96" s="11">
        <v>2</v>
      </c>
      <c r="C96" s="58">
        <v>31589</v>
      </c>
      <c r="D96" s="29">
        <v>0.4185</v>
      </c>
    </row>
    <row r="97" spans="2:4" s="11" customFormat="1" ht="12.75">
      <c r="B97" s="11">
        <v>3</v>
      </c>
      <c r="C97" s="58">
        <v>53860</v>
      </c>
      <c r="D97" s="28">
        <v>0.42</v>
      </c>
    </row>
    <row r="98" spans="2:4" s="11" customFormat="1" ht="12.75">
      <c r="B98" s="11">
        <v>4</v>
      </c>
      <c r="C98" s="58">
        <v>999999</v>
      </c>
      <c r="D98" s="28">
        <v>0.52</v>
      </c>
    </row>
    <row r="99" s="11" customFormat="1" ht="12.75"/>
    <row r="100" s="11" customFormat="1" ht="12.75">
      <c r="B100" s="14" t="s">
        <v>136</v>
      </c>
    </row>
    <row r="101" spans="2:3" s="11" customFormat="1" ht="12.75">
      <c r="B101" s="11" t="s">
        <v>137</v>
      </c>
      <c r="C101" s="58">
        <v>2074</v>
      </c>
    </row>
    <row r="102" spans="3:5" s="11" customFormat="1" ht="12.75">
      <c r="C102" s="11" t="s">
        <v>139</v>
      </c>
      <c r="D102" s="11" t="s">
        <v>140</v>
      </c>
      <c r="E102" s="11" t="s">
        <v>141</v>
      </c>
    </row>
    <row r="103" spans="2:5" s="11" customFormat="1" ht="12.75">
      <c r="B103" s="11" t="s">
        <v>138</v>
      </c>
      <c r="C103" s="11">
        <v>1943</v>
      </c>
      <c r="D103" s="59">
        <v>0.19723</v>
      </c>
      <c r="E103" s="58">
        <v>2201</v>
      </c>
    </row>
    <row r="104" spans="3:5" s="11" customFormat="1" ht="12.75">
      <c r="C104" s="11">
        <v>1946</v>
      </c>
      <c r="D104" s="59">
        <v>0.17298</v>
      </c>
      <c r="E104" s="58">
        <v>1949</v>
      </c>
    </row>
    <row r="105" spans="3:5" s="11" customFormat="1" ht="12.75">
      <c r="C105" s="11">
        <v>1948</v>
      </c>
      <c r="D105" s="59">
        <v>0.14874</v>
      </c>
      <c r="E105" s="58">
        <v>1697</v>
      </c>
    </row>
    <row r="106" spans="3:5" s="11" customFormat="1" ht="12.75">
      <c r="C106" s="11">
        <v>1951</v>
      </c>
      <c r="D106" s="59">
        <v>0.1243</v>
      </c>
      <c r="E106" s="58">
        <v>1443</v>
      </c>
    </row>
    <row r="107" s="11" customFormat="1" ht="12.75">
      <c r="D107" s="59"/>
    </row>
    <row r="108" s="11" customFormat="1" ht="12.75"/>
    <row r="109" s="11" customFormat="1" ht="12.75"/>
    <row r="110" s="11" customFormat="1" ht="12.75"/>
    <row r="111" s="11" customFormat="1" ht="12.75"/>
    <row r="112" s="11" customFormat="1" ht="12.75"/>
    <row r="113" s="11" customFormat="1" ht="12.75"/>
    <row r="114" s="11" customFormat="1" ht="12.75"/>
    <row r="115" s="11" customFormat="1" ht="12.75"/>
  </sheetData>
  <sheetProtection/>
  <printOptions gridLines="1"/>
  <pageMargins left="0.75" right="0.75" top="1" bottom="1" header="0.5" footer="0.5"/>
  <pageSetup fitToHeight="1" fitToWidth="1" horizontalDpi="600" verticalDpi="600" orientation="landscape" paperSize="9" scale="57" r:id="rId3"/>
  <headerFooter alignWithMargins="0">
    <oddHeader>&amp;L&amp;"Arial,Vet"&amp;A&amp;C&amp;"Arial,Vet"&amp;D&amp;R&amp;"Arial,Vet"&amp;F</oddHeader>
    <oddFooter>&amp;L&amp;"Arial,Vet"&amp;8gemaakt door keizer, vos/abb&amp;R&amp;"Arial,Vet"&amp;P</oddFooter>
  </headerFooter>
  <legacyDrawing r:id="rId2"/>
</worksheet>
</file>

<file path=xl/worksheets/sheet6.xml><?xml version="1.0" encoding="utf-8"?>
<worksheet xmlns="http://schemas.openxmlformats.org/spreadsheetml/2006/main" xmlns:r="http://schemas.openxmlformats.org/officeDocument/2006/relationships">
  <dimension ref="A2:N136"/>
  <sheetViews>
    <sheetView workbookViewId="0" topLeftCell="A1">
      <selection activeCell="A1" sqref="A1"/>
    </sheetView>
  </sheetViews>
  <sheetFormatPr defaultColWidth="9.140625" defaultRowHeight="12.75"/>
  <cols>
    <col min="1" max="1" width="4.140625" style="0" customWidth="1"/>
  </cols>
  <sheetData>
    <row r="2" spans="2:13" ht="12.75">
      <c r="B2" s="1" t="s">
        <v>33</v>
      </c>
      <c r="K2" s="50" t="str">
        <f>+Werkgeverslasten!H2</f>
        <v>vs. 4c</v>
      </c>
      <c r="M2" s="131"/>
    </row>
    <row r="3" spans="2:7" ht="12.75">
      <c r="B3" s="26" t="s">
        <v>37</v>
      </c>
      <c r="G3" s="1" t="s">
        <v>38</v>
      </c>
    </row>
    <row r="4" ht="12.75">
      <c r="B4" s="26" t="s">
        <v>34</v>
      </c>
    </row>
    <row r="5" ht="12.75">
      <c r="B5" s="26" t="s">
        <v>312</v>
      </c>
    </row>
    <row r="6" ht="12.75">
      <c r="B6" s="26" t="s">
        <v>313</v>
      </c>
    </row>
    <row r="7" ht="12.75">
      <c r="B7" s="26" t="s">
        <v>314</v>
      </c>
    </row>
    <row r="8" ht="12.75">
      <c r="B8" s="26" t="s">
        <v>316</v>
      </c>
    </row>
    <row r="9" ht="12.75">
      <c r="B9" s="26" t="s">
        <v>315</v>
      </c>
    </row>
    <row r="10" ht="12.75">
      <c r="B10" s="26"/>
    </row>
    <row r="11" ht="12.75">
      <c r="B11" s="26" t="s">
        <v>336</v>
      </c>
    </row>
    <row r="12" ht="12.75">
      <c r="B12" s="26"/>
    </row>
    <row r="13" ht="12.75">
      <c r="B13" s="26" t="s">
        <v>317</v>
      </c>
    </row>
    <row r="14" ht="12.75">
      <c r="B14" s="26" t="s">
        <v>331</v>
      </c>
    </row>
    <row r="15" ht="12.75">
      <c r="B15" s="26" t="s">
        <v>318</v>
      </c>
    </row>
    <row r="16" ht="12.75">
      <c r="B16" s="26" t="s">
        <v>337</v>
      </c>
    </row>
    <row r="17" ht="12.75">
      <c r="B17" s="26" t="s">
        <v>319</v>
      </c>
    </row>
    <row r="18" ht="12.75">
      <c r="B18" s="26" t="s">
        <v>332</v>
      </c>
    </row>
    <row r="19" ht="12.75">
      <c r="B19" s="26"/>
    </row>
    <row r="20" ht="12.75">
      <c r="B20" s="26" t="s">
        <v>320</v>
      </c>
    </row>
    <row r="21" ht="12.75">
      <c r="B21" t="s">
        <v>321</v>
      </c>
    </row>
    <row r="22" ht="12.75">
      <c r="B22" s="26" t="s">
        <v>322</v>
      </c>
    </row>
    <row r="23" ht="12.75">
      <c r="B23" s="26"/>
    </row>
    <row r="24" spans="1:2" ht="12.75">
      <c r="A24" s="50" t="s">
        <v>236</v>
      </c>
      <c r="B24" s="1" t="s">
        <v>35</v>
      </c>
    </row>
    <row r="25" ht="12.75">
      <c r="B25" s="1" t="s">
        <v>235</v>
      </c>
    </row>
    <row r="26" ht="12.75">
      <c r="B26" s="49" t="s">
        <v>274</v>
      </c>
    </row>
    <row r="27" ht="12.75">
      <c r="B27" s="49" t="s">
        <v>275</v>
      </c>
    </row>
    <row r="28" ht="12.75">
      <c r="B28" s="49" t="s">
        <v>323</v>
      </c>
    </row>
    <row r="29" ht="12.75">
      <c r="B29" s="49" t="s">
        <v>153</v>
      </c>
    </row>
    <row r="30" ht="12.75">
      <c r="B30" s="49" t="s">
        <v>154</v>
      </c>
    </row>
    <row r="31" ht="12.75">
      <c r="B31" s="49" t="s">
        <v>324</v>
      </c>
    </row>
    <row r="32" ht="12.75">
      <c r="B32" s="1"/>
    </row>
    <row r="33" ht="12.75">
      <c r="B33" s="26" t="s">
        <v>78</v>
      </c>
    </row>
    <row r="34" spans="2:14" ht="12.75">
      <c r="B34" s="26" t="s">
        <v>79</v>
      </c>
      <c r="N34" s="26"/>
    </row>
    <row r="35" spans="2:14" ht="12.75">
      <c r="B35" s="26" t="s">
        <v>80</v>
      </c>
      <c r="N35" s="26"/>
    </row>
    <row r="36" spans="2:14" ht="12.75">
      <c r="B36" s="26"/>
      <c r="N36" s="26"/>
    </row>
    <row r="37" spans="2:14" ht="12.75">
      <c r="B37" s="26" t="s">
        <v>325</v>
      </c>
      <c r="N37" s="26"/>
    </row>
    <row r="38" spans="2:14" ht="12.75">
      <c r="B38" s="26" t="s">
        <v>326</v>
      </c>
      <c r="N38" s="26"/>
    </row>
    <row r="39" spans="2:14" ht="12.75">
      <c r="B39" s="26" t="s">
        <v>327</v>
      </c>
      <c r="N39" s="26"/>
    </row>
    <row r="40" spans="2:14" ht="12.75">
      <c r="B40" s="26" t="s">
        <v>276</v>
      </c>
      <c r="N40" s="26"/>
    </row>
    <row r="41" spans="2:14" ht="12.75">
      <c r="B41" s="26"/>
      <c r="N41" s="26"/>
    </row>
    <row r="42" spans="2:14" ht="12.75">
      <c r="B42" s="26" t="s">
        <v>81</v>
      </c>
      <c r="N42" s="26"/>
    </row>
    <row r="43" spans="2:14" ht="12.75">
      <c r="B43" s="26" t="s">
        <v>155</v>
      </c>
      <c r="N43" s="26"/>
    </row>
    <row r="44" spans="2:14" ht="12.75">
      <c r="B44" s="26" t="s">
        <v>156</v>
      </c>
      <c r="N44" s="26"/>
    </row>
    <row r="45" spans="2:14" ht="12.75">
      <c r="B45" s="26"/>
      <c r="N45" s="26"/>
    </row>
    <row r="46" spans="2:14" ht="12.75">
      <c r="B46" s="26" t="s">
        <v>82</v>
      </c>
      <c r="N46" s="26"/>
    </row>
    <row r="47" spans="2:14" ht="12.75">
      <c r="B47" s="26" t="s">
        <v>83</v>
      </c>
      <c r="N47" s="26"/>
    </row>
    <row r="48" spans="2:14" ht="12.75">
      <c r="B48" s="26" t="s">
        <v>84</v>
      </c>
      <c r="N48" s="26"/>
    </row>
    <row r="49" ht="12.75">
      <c r="B49" s="26" t="s">
        <v>85</v>
      </c>
    </row>
    <row r="50" ht="12.75">
      <c r="B50" s="26"/>
    </row>
    <row r="51" ht="12.75">
      <c r="B51" s="49" t="s">
        <v>87</v>
      </c>
    </row>
    <row r="52" ht="12.75">
      <c r="B52" s="26" t="s">
        <v>294</v>
      </c>
    </row>
    <row r="53" ht="12.75">
      <c r="B53" s="26"/>
    </row>
    <row r="54" ht="12.75">
      <c r="B54" s="49" t="s">
        <v>88</v>
      </c>
    </row>
    <row r="55" ht="12.75">
      <c r="B55" s="26" t="s">
        <v>293</v>
      </c>
    </row>
    <row r="56" ht="12.75">
      <c r="B56" s="26"/>
    </row>
    <row r="57" ht="12.75">
      <c r="B57" s="49" t="s">
        <v>157</v>
      </c>
    </row>
    <row r="58" ht="12.75">
      <c r="B58" s="26" t="s">
        <v>158</v>
      </c>
    </row>
    <row r="59" ht="12.75">
      <c r="B59" s="26"/>
    </row>
    <row r="60" ht="12.75">
      <c r="B60" s="49" t="s">
        <v>100</v>
      </c>
    </row>
    <row r="61" ht="12.75">
      <c r="B61" s="26" t="s">
        <v>101</v>
      </c>
    </row>
    <row r="62" ht="12.75">
      <c r="B62" s="26" t="s">
        <v>102</v>
      </c>
    </row>
    <row r="63" ht="12.75">
      <c r="B63" s="26"/>
    </row>
    <row r="64" spans="1:2" ht="12.75">
      <c r="A64" s="50" t="s">
        <v>237</v>
      </c>
      <c r="B64" s="1" t="s">
        <v>238</v>
      </c>
    </row>
    <row r="65" spans="1:2" ht="12.75">
      <c r="A65" s="50"/>
      <c r="B65" s="49" t="s">
        <v>92</v>
      </c>
    </row>
    <row r="66" spans="1:2" ht="12.75">
      <c r="A66" s="50"/>
      <c r="B66" t="s">
        <v>239</v>
      </c>
    </row>
    <row r="67" spans="1:2" ht="12.75">
      <c r="A67" s="50"/>
      <c r="B67" t="s">
        <v>283</v>
      </c>
    </row>
    <row r="68" ht="12.75">
      <c r="A68" s="50"/>
    </row>
    <row r="69" spans="1:2" ht="12.75">
      <c r="A69" s="50"/>
      <c r="B69" t="s">
        <v>338</v>
      </c>
    </row>
    <row r="70" spans="1:2" ht="12.75">
      <c r="A70" s="50"/>
      <c r="B70" t="s">
        <v>278</v>
      </c>
    </row>
    <row r="71" spans="1:2" ht="12.75">
      <c r="A71" s="50"/>
      <c r="B71" s="26" t="s">
        <v>339</v>
      </c>
    </row>
    <row r="72" spans="1:2" ht="12.75">
      <c r="A72" s="50"/>
      <c r="B72" s="26"/>
    </row>
    <row r="73" spans="1:9" ht="12.75">
      <c r="A73" s="50"/>
      <c r="B73" s="26" t="s">
        <v>292</v>
      </c>
      <c r="I73" t="s">
        <v>297</v>
      </c>
    </row>
    <row r="74" ht="12.75">
      <c r="A74" s="50"/>
    </row>
    <row r="75" spans="1:2" ht="12.75">
      <c r="A75" s="50"/>
      <c r="B75" s="49" t="s">
        <v>240</v>
      </c>
    </row>
    <row r="76" spans="1:2" ht="12.75">
      <c r="A76" s="50"/>
      <c r="B76" t="s">
        <v>333</v>
      </c>
    </row>
    <row r="77" spans="1:2" ht="12.75">
      <c r="A77" s="50"/>
      <c r="B77" t="s">
        <v>334</v>
      </c>
    </row>
    <row r="78" spans="1:2" ht="12.75">
      <c r="A78" s="50"/>
      <c r="B78" t="s">
        <v>241</v>
      </c>
    </row>
    <row r="79" spans="1:2" ht="12.75">
      <c r="A79" s="50"/>
      <c r="B79" t="s">
        <v>242</v>
      </c>
    </row>
    <row r="80" ht="12.75">
      <c r="A80" s="50"/>
    </row>
    <row r="81" spans="1:2" ht="12.75">
      <c r="A81" s="50" t="s">
        <v>243</v>
      </c>
      <c r="B81" s="1" t="s">
        <v>244</v>
      </c>
    </row>
    <row r="82" spans="1:2" ht="12.75">
      <c r="A82" s="50"/>
      <c r="B82" s="26" t="s">
        <v>245</v>
      </c>
    </row>
    <row r="83" spans="1:2" ht="12.75">
      <c r="A83" s="50"/>
      <c r="B83" s="26" t="s">
        <v>246</v>
      </c>
    </row>
    <row r="84" spans="1:2" ht="12.75">
      <c r="A84" s="50"/>
      <c r="B84" s="26" t="s">
        <v>247</v>
      </c>
    </row>
    <row r="85" spans="1:2" ht="12.75">
      <c r="A85" s="50"/>
      <c r="B85" s="26" t="s">
        <v>248</v>
      </c>
    </row>
    <row r="86" spans="1:2" ht="12.75">
      <c r="A86" s="50"/>
      <c r="B86" s="26"/>
    </row>
    <row r="87" spans="1:2" ht="12.75">
      <c r="A87" s="50"/>
      <c r="B87" s="26" t="s">
        <v>249</v>
      </c>
    </row>
    <row r="88" spans="1:2" ht="12.75">
      <c r="A88" s="50"/>
      <c r="B88" s="26" t="s">
        <v>250</v>
      </c>
    </row>
    <row r="89" spans="1:2" ht="12.75">
      <c r="A89" s="50"/>
      <c r="B89" s="26"/>
    </row>
    <row r="90" spans="1:2" ht="12.75">
      <c r="A90" s="50"/>
      <c r="B90" s="26" t="s">
        <v>251</v>
      </c>
    </row>
    <row r="91" spans="1:2" ht="12.75">
      <c r="A91" s="50"/>
      <c r="B91" s="26" t="s">
        <v>252</v>
      </c>
    </row>
    <row r="92" spans="1:2" ht="12.75">
      <c r="A92" s="50"/>
      <c r="B92" s="26"/>
    </row>
    <row r="93" spans="1:2" ht="12.75">
      <c r="A93" s="50"/>
      <c r="B93" s="26" t="s">
        <v>253</v>
      </c>
    </row>
    <row r="94" spans="1:2" ht="12.75">
      <c r="A94" s="50"/>
      <c r="B94" s="26" t="s">
        <v>254</v>
      </c>
    </row>
    <row r="95" spans="1:2" ht="12.75">
      <c r="A95" s="50"/>
      <c r="B95" s="26" t="s">
        <v>255</v>
      </c>
    </row>
    <row r="96" spans="1:2" ht="12.75">
      <c r="A96" s="50"/>
      <c r="B96" s="26"/>
    </row>
    <row r="97" spans="1:2" ht="12.75">
      <c r="A97" s="50"/>
      <c r="B97" s="26" t="s">
        <v>339</v>
      </c>
    </row>
    <row r="98" spans="1:2" ht="12.75">
      <c r="A98" s="50"/>
      <c r="B98" s="26"/>
    </row>
    <row r="99" spans="1:2" ht="12.75">
      <c r="A99" s="50"/>
      <c r="B99" s="26" t="s">
        <v>256</v>
      </c>
    </row>
    <row r="100" spans="1:2" ht="12.75">
      <c r="A100" s="50"/>
      <c r="B100" s="26" t="s">
        <v>257</v>
      </c>
    </row>
    <row r="101" ht="12.75">
      <c r="A101" s="50"/>
    </row>
    <row r="102" spans="1:2" ht="12.75">
      <c r="A102" s="50" t="s">
        <v>258</v>
      </c>
      <c r="B102" s="1" t="s">
        <v>259</v>
      </c>
    </row>
    <row r="103" spans="1:2" ht="12.75">
      <c r="A103" s="50"/>
      <c r="B103" s="26" t="s">
        <v>260</v>
      </c>
    </row>
    <row r="104" spans="1:2" ht="12.75">
      <c r="A104" s="50"/>
      <c r="B104" s="26" t="s">
        <v>261</v>
      </c>
    </row>
    <row r="105" spans="1:2" ht="12.75">
      <c r="A105" s="50"/>
      <c r="B105" s="26" t="s">
        <v>262</v>
      </c>
    </row>
    <row r="106" spans="1:2" ht="12.75">
      <c r="A106" s="50"/>
      <c r="B106" s="26" t="s">
        <v>263</v>
      </c>
    </row>
    <row r="107" spans="1:2" ht="12.75">
      <c r="A107" s="50"/>
      <c r="B107" s="26"/>
    </row>
    <row r="108" spans="1:2" ht="12.75">
      <c r="A108" s="50"/>
      <c r="B108" s="26" t="s">
        <v>339</v>
      </c>
    </row>
    <row r="109" spans="1:2" ht="12.75">
      <c r="A109" s="50"/>
      <c r="B109" s="26"/>
    </row>
    <row r="110" spans="1:2" ht="12.75">
      <c r="A110" s="50"/>
      <c r="B110" s="26" t="s">
        <v>256</v>
      </c>
    </row>
    <row r="111" spans="1:2" ht="12.75">
      <c r="A111" s="50"/>
      <c r="B111" s="26" t="s">
        <v>257</v>
      </c>
    </row>
    <row r="112" ht="12.75">
      <c r="A112" s="50"/>
    </row>
    <row r="113" spans="1:2" ht="12.75">
      <c r="A113" s="50"/>
      <c r="B113" s="49" t="s">
        <v>240</v>
      </c>
    </row>
    <row r="114" spans="1:2" ht="12.75">
      <c r="A114" s="50"/>
      <c r="B114" s="26" t="s">
        <v>340</v>
      </c>
    </row>
    <row r="115" spans="1:2" ht="12.75">
      <c r="A115" s="50"/>
      <c r="B115" s="26" t="s">
        <v>264</v>
      </c>
    </row>
    <row r="116" spans="1:2" ht="12.75">
      <c r="A116" s="50"/>
      <c r="B116" s="26" t="s">
        <v>265</v>
      </c>
    </row>
    <row r="117" spans="1:2" ht="12.75">
      <c r="A117" s="50"/>
      <c r="B117" s="26" t="s">
        <v>266</v>
      </c>
    </row>
    <row r="118" spans="1:2" ht="12.75">
      <c r="A118" s="50"/>
      <c r="B118" s="26" t="s">
        <v>267</v>
      </c>
    </row>
    <row r="119" spans="1:2" ht="12.75">
      <c r="A119" s="50"/>
      <c r="B119" s="26" t="s">
        <v>268</v>
      </c>
    </row>
    <row r="120" spans="1:2" ht="12.75">
      <c r="A120" s="50"/>
      <c r="B120" s="26" t="s">
        <v>269</v>
      </c>
    </row>
    <row r="121" ht="12.75">
      <c r="A121" s="50"/>
    </row>
    <row r="122" spans="1:2" ht="12.75">
      <c r="A122" s="50" t="s">
        <v>270</v>
      </c>
      <c r="B122" s="1" t="s">
        <v>36</v>
      </c>
    </row>
    <row r="123" spans="1:2" ht="12.75">
      <c r="A123" s="50"/>
      <c r="B123" s="26" t="s">
        <v>310</v>
      </c>
    </row>
    <row r="124" spans="1:2" ht="12.75">
      <c r="A124" s="50"/>
      <c r="B124" s="26" t="s">
        <v>341</v>
      </c>
    </row>
    <row r="125" spans="1:2" ht="13.5" thickBot="1">
      <c r="A125" s="50"/>
      <c r="B125" s="26"/>
    </row>
    <row r="126" spans="1:8" ht="13.5" thickTop="1">
      <c r="A126" s="50"/>
      <c r="B126" s="26"/>
      <c r="C126" s="90"/>
      <c r="D126" s="75"/>
      <c r="E126" s="75"/>
      <c r="F126" s="75"/>
      <c r="G126" s="75"/>
      <c r="H126" s="91"/>
    </row>
    <row r="127" spans="1:8" ht="12.75">
      <c r="A127" s="50"/>
      <c r="B127" s="26"/>
      <c r="C127" s="68"/>
      <c r="D127" s="67"/>
      <c r="E127" s="67"/>
      <c r="F127" s="69"/>
      <c r="G127" s="67"/>
      <c r="H127" s="93"/>
    </row>
    <row r="128" spans="1:8" ht="12.75">
      <c r="A128" s="50"/>
      <c r="B128" s="26"/>
      <c r="C128" s="70" t="s">
        <v>164</v>
      </c>
      <c r="D128" s="67"/>
      <c r="E128" s="67"/>
      <c r="F128" s="67"/>
      <c r="G128" s="67"/>
      <c r="H128" s="93"/>
    </row>
    <row r="129" spans="1:8" ht="12.75">
      <c r="A129" s="50"/>
      <c r="B129" s="26"/>
      <c r="C129" s="68"/>
      <c r="D129" s="27"/>
      <c r="E129" s="27"/>
      <c r="F129" s="27"/>
      <c r="G129" s="67"/>
      <c r="H129" s="93"/>
    </row>
    <row r="130" spans="1:8" ht="13.5" thickBot="1">
      <c r="A130" s="50"/>
      <c r="C130" s="98"/>
      <c r="D130" s="66"/>
      <c r="E130" s="66"/>
      <c r="F130" s="66"/>
      <c r="G130" s="66"/>
      <c r="H130" s="100"/>
    </row>
    <row r="131" spans="1:2" ht="13.5" thickTop="1">
      <c r="A131" s="50"/>
      <c r="B131" s="26"/>
    </row>
    <row r="132" spans="1:2" ht="12.75">
      <c r="A132" s="50"/>
      <c r="B132" s="25" t="s">
        <v>271</v>
      </c>
    </row>
    <row r="133" spans="1:2" ht="12.75">
      <c r="A133" s="50"/>
      <c r="B133" s="25" t="s">
        <v>311</v>
      </c>
    </row>
    <row r="134" spans="1:2" ht="12.75">
      <c r="A134" s="50"/>
      <c r="B134" s="25" t="s">
        <v>272</v>
      </c>
    </row>
    <row r="135" spans="1:2" ht="12.75">
      <c r="A135" s="50"/>
      <c r="B135" s="25" t="s">
        <v>273</v>
      </c>
    </row>
    <row r="136" ht="12.75">
      <c r="B136" s="26"/>
    </row>
  </sheetData>
  <sheetProtection password="DE55" sheet="1" objects="1" scenarios="1"/>
  <printOptions/>
  <pageMargins left="0.75" right="0.75" top="1" bottom="1" header="0.5" footer="0.5"/>
  <pageSetup horizontalDpi="600" verticalDpi="600" orientation="portrait" paperSize="9" scale="75" r:id="rId2"/>
  <headerFooter alignWithMargins="0">
    <oddHeader>&amp;L&amp;"Arial,Vet"&amp;A&amp;C&amp;"Arial,Vet"&amp;D&amp;R&amp;"Arial,Vet"&amp;F</oddHeader>
    <oddFooter>&amp;L&amp;"Arial,Vet"&amp;8gemaakt door keizer, vos/abb&amp;R&amp;"Arial,Vet"&amp;P+2</oddFooter>
  </headerFooter>
  <rowBreaks count="1" manualBreakCount="1">
    <brk id="74"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VOS/ABB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subject/>
  <dc:creator>Keizer</dc:creator>
  <cp:keywords/>
  <dc:description/>
  <cp:lastModifiedBy>Bé Keizer</cp:lastModifiedBy>
  <cp:lastPrinted>2008-04-04T20:29:54Z</cp:lastPrinted>
  <dcterms:created xsi:type="dcterms:W3CDTF">2002-04-23T20:54:25Z</dcterms:created>
  <dcterms:modified xsi:type="dcterms:W3CDTF">2008-04-06T12:26:49Z</dcterms:modified>
  <cp:category/>
  <cp:version/>
  <cp:contentType/>
  <cp:contentStatus/>
</cp:coreProperties>
</file>