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B. Keizer\Documents\Instrumenten\toolbox 2015\po\"/>
    </mc:Choice>
  </mc:AlternateContent>
  <bookViews>
    <workbookView xWindow="11460" yWindow="0" windowWidth="7650" windowHeight="9255" tabRatio="768" activeTab="1"/>
  </bookViews>
  <sheets>
    <sheet name="Toelichting" sheetId="10" r:id="rId1"/>
    <sheet name="Werkgeverslasten" sheetId="1" r:id="rId2"/>
    <sheet name="Ouderschapsverlof" sheetId="9" r:id="rId3"/>
    <sheet name="Functiedifferentiatie" sheetId="8" r:id="rId4"/>
    <sheet name="Extra periodieken" sheetId="7" r:id="rId5"/>
    <sheet name="tabellen" sheetId="3" r:id="rId6"/>
  </sheets>
  <definedNames>
    <definedName name="_xlnm._FilterDatabase" localSheetId="1" hidden="1">Werkgeverslasten!#REF!</definedName>
    <definedName name="_xlnm.Print_Area" localSheetId="4">'Extra periodieken'!$B$2:$J$51</definedName>
    <definedName name="_xlnm.Print_Area" localSheetId="3">Functiedifferentiatie!$B$2:$J$52</definedName>
    <definedName name="_xlnm.Print_Area" localSheetId="2">Ouderschapsverlof!$B$2:$L$58</definedName>
    <definedName name="_xlnm.Print_Area" localSheetId="5">tabellen!$A$55:$J$120</definedName>
    <definedName name="_xlnm.Print_Area" localSheetId="0">Toelichting!$B$2:$P$189</definedName>
    <definedName name="_xlnm.Print_Area" localSheetId="1">Werkgeverslasten!$B$2:$O$84</definedName>
    <definedName name="arbeidskorting">tabellen!$B$117:$D$120</definedName>
    <definedName name="bindingstoelage">tabellen!$B$82:$D$85</definedName>
    <definedName name="eindejaarsuitkering_OOP">tabellen!$C$93:$D$96</definedName>
    <definedName name="premies">tabellen!$B$57:$G$69</definedName>
    <definedName name="salaristabellen">tabellen!$A$7:$V$52</definedName>
    <definedName name="uitlooptoeslag">tabellen!$B$74:$C$77</definedName>
  </definedNames>
  <calcPr calcId="152511"/>
</workbook>
</file>

<file path=xl/calcChain.xml><?xml version="1.0" encoding="utf-8"?>
<calcChain xmlns="http://schemas.openxmlformats.org/spreadsheetml/2006/main">
  <c r="I52" i="1" l="1"/>
  <c r="L52" i="1" l="1"/>
  <c r="M52" i="1"/>
  <c r="F43" i="8" l="1"/>
  <c r="C50" i="3" l="1"/>
  <c r="B52" i="3"/>
  <c r="B51" i="3"/>
  <c r="B50" i="3"/>
  <c r="H37" i="9" l="1"/>
  <c r="F26" i="7"/>
  <c r="V30" i="3" l="1"/>
  <c r="C6" i="8" l="1"/>
  <c r="V47" i="3" l="1"/>
  <c r="V46" i="3"/>
  <c r="O30" i="8" l="1"/>
  <c r="P30" i="8"/>
  <c r="M30"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4" i="8"/>
  <c r="H126" i="10" l="1"/>
  <c r="H153" i="10" s="1"/>
  <c r="H164" i="10" s="1"/>
  <c r="C70" i="3" l="1"/>
  <c r="I21" i="1"/>
  <c r="I20" i="1"/>
  <c r="G23" i="1"/>
  <c r="J13" i="1"/>
  <c r="G25" i="1" s="1"/>
  <c r="I25" i="1" s="1"/>
  <c r="G26" i="1"/>
  <c r="I26" i="1" s="1"/>
  <c r="I24" i="1"/>
  <c r="G63" i="3"/>
  <c r="H63" i="3" s="1"/>
  <c r="G61" i="3"/>
  <c r="D70" i="3"/>
  <c r="D85" i="3"/>
  <c r="D83" i="3"/>
  <c r="F32" i="8"/>
  <c r="V49" i="3"/>
  <c r="F15" i="7"/>
  <c r="F17" i="7" s="1"/>
  <c r="V48" i="3"/>
  <c r="I31" i="1"/>
  <c r="G76" i="1"/>
  <c r="G77" i="1"/>
  <c r="G78" i="1"/>
  <c r="G79" i="1"/>
  <c r="I5" i="1"/>
  <c r="F4" i="7"/>
  <c r="F4" i="8"/>
  <c r="G4" i="9"/>
  <c r="G4" i="1"/>
  <c r="I4" i="10"/>
  <c r="F4" i="1"/>
  <c r="H30" i="9"/>
  <c r="H33" i="9" s="1"/>
  <c r="O56" i="7"/>
  <c r="H50" i="9"/>
  <c r="H52" i="9" s="1"/>
  <c r="H54" i="9" s="1"/>
  <c r="I25" i="9"/>
  <c r="I27" i="9" s="1"/>
  <c r="F58" i="3"/>
  <c r="F57" i="3"/>
  <c r="G64" i="3"/>
  <c r="H64" i="3" s="1"/>
  <c r="V7" i="3"/>
  <c r="V8" i="3"/>
  <c r="V9" i="3"/>
  <c r="V10" i="3"/>
  <c r="V11" i="3"/>
  <c r="V12" i="3"/>
  <c r="V13" i="3"/>
  <c r="V14" i="3"/>
  <c r="V15" i="3"/>
  <c r="V16" i="3"/>
  <c r="V17" i="3"/>
  <c r="V18" i="3"/>
  <c r="V19" i="3"/>
  <c r="V20" i="3"/>
  <c r="V21" i="3"/>
  <c r="V22" i="3"/>
  <c r="V23" i="3"/>
  <c r="V24" i="3"/>
  <c r="V25" i="3"/>
  <c r="V26" i="3"/>
  <c r="P71" i="7"/>
  <c r="V32" i="3"/>
  <c r="V33" i="3"/>
  <c r="V34" i="3"/>
  <c r="V35" i="3"/>
  <c r="V36" i="3"/>
  <c r="V37" i="3"/>
  <c r="V38" i="3"/>
  <c r="V39" i="3"/>
  <c r="V40" i="3"/>
  <c r="V41" i="3"/>
  <c r="V42" i="3"/>
  <c r="V43" i="3"/>
  <c r="V44" i="3"/>
  <c r="V45" i="3"/>
  <c r="H60" i="3"/>
  <c r="C84" i="3"/>
  <c r="D84" i="3" s="1"/>
  <c r="N56" i="7"/>
  <c r="P56" i="7"/>
  <c r="O57"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O72" i="7"/>
  <c r="N72" i="7"/>
  <c r="P72" i="7"/>
  <c r="O73" i="7"/>
  <c r="N73" i="7"/>
  <c r="P73" i="7"/>
  <c r="O74" i="7"/>
  <c r="N74" i="7"/>
  <c r="P74" i="7"/>
  <c r="O75" i="7"/>
  <c r="N75" i="7"/>
  <c r="P75" i="7"/>
  <c r="F41" i="7"/>
  <c r="F44" i="7" s="1"/>
  <c r="F47" i="7" s="1"/>
  <c r="F45" i="8"/>
  <c r="S36" i="8" s="1"/>
  <c r="M4" i="8"/>
  <c r="P4" i="8"/>
  <c r="O4" i="8"/>
  <c r="M5" i="8"/>
  <c r="P5" i="8"/>
  <c r="O5" i="8"/>
  <c r="M6" i="8"/>
  <c r="P6" i="8"/>
  <c r="O6" i="8"/>
  <c r="M7" i="8"/>
  <c r="P7" i="8"/>
  <c r="O7" i="8"/>
  <c r="M8" i="8"/>
  <c r="P8" i="8"/>
  <c r="O8" i="8"/>
  <c r="M9" i="8"/>
  <c r="P9" i="8"/>
  <c r="O9" i="8"/>
  <c r="M10" i="8"/>
  <c r="P10" i="8"/>
  <c r="O10" i="8"/>
  <c r="M11" i="8"/>
  <c r="P11" i="8"/>
  <c r="O11" i="8"/>
  <c r="M12" i="8"/>
  <c r="P12" i="8"/>
  <c r="O12" i="8"/>
  <c r="M13" i="8"/>
  <c r="P13" i="8"/>
  <c r="O13" i="8"/>
  <c r="M14" i="8"/>
  <c r="P14" i="8"/>
  <c r="O14" i="8"/>
  <c r="M15" i="8"/>
  <c r="P15" i="8"/>
  <c r="O15" i="8"/>
  <c r="M16" i="8"/>
  <c r="P16" i="8"/>
  <c r="O16" i="8"/>
  <c r="M17" i="8"/>
  <c r="P17" i="8"/>
  <c r="O17" i="8"/>
  <c r="M18" i="8"/>
  <c r="P18" i="8"/>
  <c r="O18" i="8"/>
  <c r="M19" i="8"/>
  <c r="P19" i="8"/>
  <c r="O19" i="8"/>
  <c r="M20" i="8"/>
  <c r="P20" i="8"/>
  <c r="O20" i="8"/>
  <c r="M21" i="8"/>
  <c r="P21" i="8"/>
  <c r="O21" i="8"/>
  <c r="M22" i="8"/>
  <c r="P22" i="8"/>
  <c r="O22" i="8"/>
  <c r="M23" i="8"/>
  <c r="P23" i="8"/>
  <c r="O23" i="8"/>
  <c r="M24" i="8"/>
  <c r="P24" i="8"/>
  <c r="O24" i="8"/>
  <c r="M25" i="8"/>
  <c r="P25" i="8"/>
  <c r="O25" i="8"/>
  <c r="M26" i="8"/>
  <c r="P26" i="8"/>
  <c r="O26" i="8"/>
  <c r="M27" i="8"/>
  <c r="P27" i="8"/>
  <c r="O27" i="8"/>
  <c r="M28" i="8"/>
  <c r="P28" i="8"/>
  <c r="O28" i="8"/>
  <c r="M29" i="8"/>
  <c r="P29" i="8"/>
  <c r="M31" i="8"/>
  <c r="P31" i="8"/>
  <c r="S31" i="8"/>
  <c r="M32" i="8"/>
  <c r="P32" i="8"/>
  <c r="M33" i="8"/>
  <c r="P33" i="8"/>
  <c r="M34" i="8"/>
  <c r="P34" i="8"/>
  <c r="M35" i="8"/>
  <c r="P35" i="8"/>
  <c r="M36" i="8"/>
  <c r="P36" i="8"/>
  <c r="M37" i="8"/>
  <c r="P37" i="8"/>
  <c r="M38" i="8"/>
  <c r="P38" i="8"/>
  <c r="S42" i="8"/>
  <c r="O29" i="8"/>
  <c r="O31" i="8"/>
  <c r="O32" i="8"/>
  <c r="O33" i="8"/>
  <c r="O34" i="8"/>
  <c r="O35" i="8"/>
  <c r="O36" i="8"/>
  <c r="O37" i="8"/>
  <c r="O38" i="8"/>
  <c r="M39" i="8"/>
  <c r="O39" i="8"/>
  <c r="P39" i="8"/>
  <c r="M40" i="8"/>
  <c r="O40" i="8"/>
  <c r="P40" i="8"/>
  <c r="M41" i="8"/>
  <c r="O41" i="8"/>
  <c r="P41" i="8"/>
  <c r="M42" i="8"/>
  <c r="O42" i="8"/>
  <c r="P42" i="8"/>
  <c r="M43" i="8"/>
  <c r="O43" i="8"/>
  <c r="P43" i="8"/>
  <c r="M44" i="8"/>
  <c r="O44" i="8"/>
  <c r="P44" i="8"/>
  <c r="M45" i="8"/>
  <c r="O45" i="8"/>
  <c r="P45" i="8"/>
  <c r="M46" i="8"/>
  <c r="O46" i="8"/>
  <c r="P46" i="8"/>
  <c r="M47" i="8"/>
  <c r="O47" i="8"/>
  <c r="P47" i="8"/>
  <c r="M48" i="8"/>
  <c r="O48" i="8"/>
  <c r="P48" i="8"/>
  <c r="M49" i="8"/>
  <c r="O49" i="8"/>
  <c r="P49" i="8"/>
  <c r="H15" i="9"/>
  <c r="H17" i="9" s="1"/>
  <c r="J30" i="9" s="1"/>
  <c r="H25" i="9"/>
  <c r="I28" i="9"/>
  <c r="R43" i="8"/>
  <c r="S43" i="8"/>
  <c r="R35" i="8"/>
  <c r="R48" i="8"/>
  <c r="S29" i="8"/>
  <c r="S25" i="8"/>
  <c r="S27" i="8"/>
  <c r="H32" i="9" l="1"/>
  <c r="H34" i="9" s="1"/>
  <c r="V52" i="3"/>
  <c r="I15" i="1"/>
  <c r="I17" i="1" s="1"/>
  <c r="I23" i="1" s="1"/>
  <c r="V50" i="3"/>
  <c r="D82" i="3"/>
  <c r="I30" i="1"/>
  <c r="F18" i="8"/>
  <c r="F36" i="8"/>
  <c r="S33" i="8"/>
  <c r="R24" i="8"/>
  <c r="R42" i="8"/>
  <c r="U42" i="8" s="1"/>
  <c r="R32" i="8"/>
  <c r="R38" i="8"/>
  <c r="R27" i="8"/>
  <c r="U27" i="8" s="1"/>
  <c r="R47" i="8"/>
  <c r="S30" i="8"/>
  <c r="R30" i="8"/>
  <c r="J10" i="1"/>
  <c r="V27" i="3"/>
  <c r="H14" i="7" s="1"/>
  <c r="R69" i="7" s="1"/>
  <c r="V29" i="3"/>
  <c r="V31" i="3"/>
  <c r="H27" i="9"/>
  <c r="V51" i="3"/>
  <c r="V28" i="3"/>
  <c r="E70" i="3"/>
  <c r="M10" i="1"/>
  <c r="L10" i="1"/>
  <c r="J33" i="9"/>
  <c r="U43" i="8"/>
  <c r="R26" i="8"/>
  <c r="S32" i="8"/>
  <c r="S35" i="8"/>
  <c r="U35" i="8" s="1"/>
  <c r="S37" i="8"/>
  <c r="S40" i="8"/>
  <c r="S44" i="8"/>
  <c r="S48" i="8"/>
  <c r="U48" i="8" s="1"/>
  <c r="R49" i="8"/>
  <c r="S47" i="8"/>
  <c r="R45" i="8"/>
  <c r="R41" i="8"/>
  <c r="R29" i="8"/>
  <c r="U29" i="8" s="1"/>
  <c r="R25" i="8"/>
  <c r="U25" i="8" s="1"/>
  <c r="S45" i="8"/>
  <c r="S39" i="8"/>
  <c r="R37" i="8"/>
  <c r="U37" i="8" s="1"/>
  <c r="R36" i="8"/>
  <c r="U36" i="8" s="1"/>
  <c r="R34" i="8"/>
  <c r="R33" i="8"/>
  <c r="R31" i="8"/>
  <c r="U31" i="8" s="1"/>
  <c r="S28" i="8"/>
  <c r="S24" i="8"/>
  <c r="R46" i="8"/>
  <c r="R40" i="8"/>
  <c r="R28" i="8"/>
  <c r="R44" i="8"/>
  <c r="S26" i="8"/>
  <c r="S41" i="8"/>
  <c r="S49" i="8"/>
  <c r="R39" i="8"/>
  <c r="S46" i="8"/>
  <c r="S38" i="8"/>
  <c r="S34" i="8"/>
  <c r="H61" i="3"/>
  <c r="J32" i="9" l="1"/>
  <c r="J35" i="9" s="1"/>
  <c r="J37" i="9" s="1"/>
  <c r="J38" i="9" s="1"/>
  <c r="M14" i="1"/>
  <c r="J14" i="1" s="1"/>
  <c r="I38" i="1"/>
  <c r="J51" i="1" s="1"/>
  <c r="I22" i="1"/>
  <c r="I27" i="1" s="1"/>
  <c r="I29" i="1" s="1"/>
  <c r="I33" i="1" s="1"/>
  <c r="M41" i="1"/>
  <c r="U44" i="8"/>
  <c r="U28" i="8"/>
  <c r="H17" i="8"/>
  <c r="S10" i="8" s="1"/>
  <c r="U47" i="8"/>
  <c r="S67" i="7"/>
  <c r="R73" i="7"/>
  <c r="S57" i="7"/>
  <c r="F28" i="7"/>
  <c r="S71" i="7"/>
  <c r="R67" i="7"/>
  <c r="R58" i="7"/>
  <c r="S68" i="7"/>
  <c r="R59" i="7"/>
  <c r="R61" i="7"/>
  <c r="R62" i="7"/>
  <c r="R65" i="7"/>
  <c r="R75" i="7"/>
  <c r="R64" i="7"/>
  <c r="S59" i="7"/>
  <c r="U59" i="7" s="1"/>
  <c r="F25" i="7"/>
  <c r="F27" i="7" s="1"/>
  <c r="R66" i="7"/>
  <c r="S64" i="7"/>
  <c r="U24" i="8"/>
  <c r="U32" i="8"/>
  <c r="U33" i="8"/>
  <c r="U38" i="8"/>
  <c r="U30" i="8"/>
  <c r="S58" i="7"/>
  <c r="S69" i="7"/>
  <c r="U69" i="7" s="1"/>
  <c r="S66" i="7"/>
  <c r="H31" i="8"/>
  <c r="R11" i="8" s="1"/>
  <c r="R68" i="7"/>
  <c r="U68" i="7" s="1"/>
  <c r="S62" i="7"/>
  <c r="S73" i="7"/>
  <c r="U73" i="7" s="1"/>
  <c r="U40" i="8"/>
  <c r="R72" i="7"/>
  <c r="S63" i="7"/>
  <c r="S56" i="7"/>
  <c r="S75" i="7"/>
  <c r="U75" i="7" s="1"/>
  <c r="S70" i="7"/>
  <c r="R56" i="7"/>
  <c r="R71" i="7"/>
  <c r="U71" i="7" s="1"/>
  <c r="S65" i="7"/>
  <c r="U65" i="7" s="1"/>
  <c r="S61" i="7"/>
  <c r="S74" i="7"/>
  <c r="R70" i="7"/>
  <c r="S60" i="7"/>
  <c r="S72" i="7"/>
  <c r="R63" i="7"/>
  <c r="R74" i="7"/>
  <c r="R57" i="7"/>
  <c r="R60" i="7"/>
  <c r="U41" i="8"/>
  <c r="S22" i="8"/>
  <c r="U39" i="8"/>
  <c r="J34" i="9"/>
  <c r="U46" i="8"/>
  <c r="U34" i="8"/>
  <c r="U45" i="8"/>
  <c r="U49" i="8"/>
  <c r="U26" i="8"/>
  <c r="S14" i="8" l="1"/>
  <c r="S6" i="8"/>
  <c r="S13" i="8"/>
  <c r="S15" i="8"/>
  <c r="S17" i="8"/>
  <c r="S9" i="8"/>
  <c r="R10" i="8"/>
  <c r="U10" i="8" s="1"/>
  <c r="S20" i="8"/>
  <c r="S23" i="8"/>
  <c r="I51" i="1"/>
  <c r="S12" i="8"/>
  <c r="U62" i="7"/>
  <c r="R21" i="8"/>
  <c r="R13" i="8"/>
  <c r="S4" i="8"/>
  <c r="S7" i="8"/>
  <c r="S21" i="8"/>
  <c r="S18" i="8"/>
  <c r="S8" i="8"/>
  <c r="S5" i="8"/>
  <c r="S19" i="8"/>
  <c r="S11" i="8"/>
  <c r="U11" i="8" s="1"/>
  <c r="F19" i="8"/>
  <c r="F21" i="8" s="1"/>
  <c r="F42" i="8" s="1"/>
  <c r="F44" i="8" s="1"/>
  <c r="S16" i="8"/>
  <c r="R9" i="8"/>
  <c r="U9" i="8" s="1"/>
  <c r="R22" i="8"/>
  <c r="U22" i="8" s="1"/>
  <c r="R14" i="8"/>
  <c r="U14" i="8" s="1"/>
  <c r="R15" i="8"/>
  <c r="U57" i="7"/>
  <c r="U74" i="7"/>
  <c r="U58" i="7"/>
  <c r="U67" i="7"/>
  <c r="U60" i="7"/>
  <c r="U72" i="7"/>
  <c r="U70" i="7"/>
  <c r="U61" i="7"/>
  <c r="U63" i="7"/>
  <c r="U66" i="7"/>
  <c r="U64" i="7"/>
  <c r="R16" i="8"/>
  <c r="R23" i="8"/>
  <c r="U23" i="8" s="1"/>
  <c r="R4" i="8"/>
  <c r="R18" i="8"/>
  <c r="R19" i="8"/>
  <c r="R17" i="8"/>
  <c r="U17" i="8" s="1"/>
  <c r="R8" i="8"/>
  <c r="R5" i="8"/>
  <c r="R20" i="8"/>
  <c r="R12" i="8"/>
  <c r="R7" i="8"/>
  <c r="R6" i="8"/>
  <c r="U6" i="8" s="1"/>
  <c r="U56" i="7"/>
  <c r="I42" i="1"/>
  <c r="J42" i="1"/>
  <c r="L51" i="1" s="1"/>
  <c r="I35" i="1"/>
  <c r="J36" i="1" s="1"/>
  <c r="M51" i="1"/>
  <c r="U5" i="8" l="1"/>
  <c r="U21" i="8"/>
  <c r="U18" i="8"/>
  <c r="U12" i="8"/>
  <c r="U13" i="8"/>
  <c r="U15" i="8"/>
  <c r="U19" i="8"/>
  <c r="U8" i="8"/>
  <c r="U4" i="8"/>
  <c r="U20" i="8"/>
  <c r="U7" i="8"/>
  <c r="U16" i="8"/>
  <c r="U77" i="7"/>
  <c r="U78" i="7" s="1"/>
  <c r="F29" i="7" s="1"/>
  <c r="L41" i="1"/>
  <c r="I37" i="1"/>
  <c r="J63" i="1" s="1"/>
  <c r="U51" i="8" l="1"/>
  <c r="F48" i="8" s="1"/>
  <c r="F30" i="7"/>
  <c r="I43" i="1"/>
  <c r="J45" i="1"/>
  <c r="L45" i="1" s="1"/>
  <c r="I63" i="1"/>
  <c r="I45" i="1"/>
  <c r="I44" i="1"/>
  <c r="I64" i="1"/>
  <c r="J64" i="1"/>
  <c r="I60" i="1"/>
  <c r="J44" i="1"/>
  <c r="M44" i="1" s="1"/>
  <c r="J62" i="1"/>
  <c r="J60" i="1"/>
  <c r="J43" i="1"/>
  <c r="L43" i="1" s="1"/>
  <c r="I62" i="1"/>
  <c r="U52" i="8" l="1"/>
  <c r="F46" i="8" s="1"/>
  <c r="L44" i="1"/>
  <c r="M45" i="1"/>
  <c r="M43" i="1"/>
  <c r="I65" i="1"/>
  <c r="J65" i="1"/>
  <c r="I67" i="1" l="1"/>
  <c r="J67" i="1"/>
  <c r="J46" i="1" s="1"/>
  <c r="I46" i="1" s="1"/>
  <c r="I49" i="1" l="1"/>
  <c r="F79" i="1"/>
  <c r="I79" i="1" s="1"/>
  <c r="F76" i="1"/>
  <c r="I76" i="1" s="1"/>
  <c r="J50" i="1"/>
  <c r="M50" i="1" s="1"/>
  <c r="J48" i="1"/>
  <c r="M48" i="1" s="1"/>
  <c r="J49" i="1"/>
  <c r="M49" i="1" s="1"/>
  <c r="J47" i="1"/>
  <c r="M47" i="1" s="1"/>
  <c r="I50" i="1"/>
  <c r="I47" i="1"/>
  <c r="I48" i="1"/>
  <c r="J74" i="1"/>
  <c r="F78" i="1"/>
  <c r="I78" i="1" s="1"/>
  <c r="F77" i="1"/>
  <c r="I74" i="1"/>
  <c r="J76" i="1" l="1"/>
  <c r="L48" i="1"/>
  <c r="J79" i="1"/>
  <c r="L50" i="1"/>
  <c r="L47" i="1"/>
  <c r="J78" i="1"/>
  <c r="F80" i="1"/>
  <c r="J54" i="1"/>
  <c r="M54" i="1" s="1"/>
  <c r="L49" i="1"/>
  <c r="I54" i="1"/>
  <c r="I56" i="1" s="1"/>
  <c r="L46" i="1"/>
  <c r="M46" i="1"/>
  <c r="I77" i="1"/>
  <c r="I80" i="1" s="1"/>
  <c r="I69" i="1" s="1"/>
  <c r="I71" i="1" s="1"/>
  <c r="J77" i="1"/>
  <c r="J80" i="1" l="1"/>
  <c r="J69" i="1" s="1"/>
  <c r="J71" i="1" s="1"/>
  <c r="L54" i="1"/>
</calcChain>
</file>

<file path=xl/comments1.xml><?xml version="1.0" encoding="utf-8"?>
<comments xmlns="http://schemas.openxmlformats.org/spreadsheetml/2006/main">
  <authors>
    <author>Bé Keizer</author>
    <author>Keizer</author>
    <author>B. Keizer</author>
  </authors>
  <commentList>
    <comment ref="G13"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1" authorId="0" shapeId="0">
      <text>
        <r>
          <rPr>
            <sz val="9"/>
            <color indexed="81"/>
            <rFont val="Tahoma"/>
            <family val="2"/>
          </rPr>
          <t xml:space="preserve">
Geldt voor de leraren schaal LA op de basisschool resp. LB op de SBO / (V)SO die op 1 aug. 2014 op regel 15 van hun schaal zaten.</t>
        </r>
      </text>
    </comment>
    <comment ref="F25" authorId="1" shapeId="0">
      <text>
        <r>
          <rPr>
            <sz val="9"/>
            <color indexed="81"/>
            <rFont val="Tahoma"/>
            <family val="2"/>
          </rPr>
          <t>Deze eindejaarsuitkering wordt toegekend aan de schalen 1  t/m 8. Zie tabellen.</t>
        </r>
      </text>
    </comment>
    <comment ref="F26" authorId="0" shapeId="0">
      <text>
        <r>
          <rPr>
            <sz val="9"/>
            <color indexed="81"/>
            <rFont val="Tahoma"/>
            <family val="2"/>
          </rPr>
          <t xml:space="preserve">
Geldt voor de directeuren verbonden aan een school PO die benoemd zijn in de schalen DA t/m DCuitloop (incl. meerhoofdig).</t>
        </r>
      </text>
    </comment>
    <comment ref="G31" authorId="0" shapeId="0">
      <text>
        <r>
          <rPr>
            <sz val="9"/>
            <color indexed="81"/>
            <rFont val="Tahoma"/>
            <family val="2"/>
          </rPr>
          <t xml:space="preserve">
De uitkering bedraagt bij een normbetrekking 200 euro die in de maanden januari t/m oktober wordt opgebouwd en uitgekeerd in oktober. In 2015 inclusief vrijval pensioenpremie.</t>
        </r>
      </text>
    </comment>
    <comment ref="D32" authorId="2" shapeId="0">
      <text>
        <r>
          <rPr>
            <sz val="9"/>
            <color indexed="81"/>
            <rFont val="Tahoma"/>
            <family val="2"/>
          </rPr>
          <t xml:space="preserve">
Deze toekenning loopt iets vooruit op de aanpassing van de cao. Aanpassing van de salaristabel  zal plaatsvinden zodra de nieuwe cao po bekend is.</t>
        </r>
      </text>
    </comment>
    <comment ref="G32" authorId="2" shapeId="0">
      <text>
        <r>
          <rPr>
            <sz val="9"/>
            <color indexed="81"/>
            <rFont val="Tahoma"/>
            <family val="2"/>
          </rPr>
          <t xml:space="preserve">
Deze toekenning loopt iets vooruit op de aanpassing van de cao. Aanpassing van de salaristabel  zal plaatsvinden zodra de nieuwe cao po bekend is.</t>
        </r>
      </text>
    </comment>
    <comment ref="E37" authorId="1" shapeId="0">
      <text>
        <r>
          <rPr>
            <sz val="9"/>
            <color indexed="81"/>
            <rFont val="Tahoma"/>
            <family val="2"/>
          </rPr>
          <t xml:space="preserve">
Het jaarinkomen ABP wordt in januari van elk jaar bepaald.</t>
        </r>
      </text>
    </comment>
    <comment ref="G38" authorId="1" shapeId="0">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G49" authorId="0" shapeId="0">
      <text>
        <r>
          <rPr>
            <sz val="9"/>
            <color indexed="81"/>
            <rFont val="Tahoma"/>
            <family val="2"/>
          </rPr>
          <t xml:space="preserve">
Zie toelichting:
1 = premie verplichte verzekering (6,0%)
2 = premie vrijwillige verzekering (6,0%)
3 = eigenrisicodrager (0,21%)
4 = geen vrijwillige verzekering (0,00%)</t>
        </r>
      </text>
    </comment>
    <comment ref="G52" authorId="2" shapeId="0">
      <text>
        <r>
          <rPr>
            <sz val="9"/>
            <color indexed="81"/>
            <rFont val="Tahoma"/>
            <family val="2"/>
          </rPr>
          <t xml:space="preserve">
Het kan hierbij gaan om een afgesproken vergoeding voor reis- en verblijfkosten, parkeerkosten en dergelijke.</t>
        </r>
      </text>
    </comment>
  </commentList>
</comments>
</file>

<file path=xl/comments2.xml><?xml version="1.0" encoding="utf-8"?>
<comments xmlns="http://schemas.openxmlformats.org/spreadsheetml/2006/main">
  <authors>
    <author>Bé Keizer</author>
    <author>Gebruiker</author>
    <author>Keizer</author>
  </authors>
  <commentList>
    <comment ref="D13" authorId="0" shape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text>
        <r>
          <rPr>
            <sz val="8"/>
            <color indexed="81"/>
            <rFont val="Tahoma"/>
            <family val="2"/>
          </rPr>
          <t xml:space="preserve">
</t>
        </r>
        <r>
          <rPr>
            <sz val="10"/>
            <color indexed="81"/>
            <rFont val="Tahoma"/>
            <family val="2"/>
          </rPr>
          <t>delen van een maand als hele maand rekenen</t>
        </r>
      </text>
    </comment>
    <comment ref="H46" authorId="2" shapeId="0">
      <text>
        <r>
          <rPr>
            <sz val="8"/>
            <color indexed="81"/>
            <rFont val="Tahoma"/>
            <family val="2"/>
          </rPr>
          <t xml:space="preserve">
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39" authorId="0" shapeId="0">
      <text>
        <r>
          <rPr>
            <sz val="8"/>
            <color indexed="81"/>
            <rFont val="Tahoma"/>
            <family val="2"/>
          </rPr>
          <t>Omvang personeelsbestand bestuur in aantal fte.</t>
        </r>
      </text>
    </comment>
    <comment ref="F40" authorId="0" shapeId="0">
      <text>
        <r>
          <rPr>
            <sz val="8"/>
            <color indexed="81"/>
            <rFont val="Tahoma"/>
            <family val="2"/>
          </rPr>
          <t xml:space="preserve">
Vaststellen op basis van totaal aantal fte gedeeld door het totaal aantal personeelsleden bij het betreffende bestuur. 
De 73,9% is een landelijk gegeven (2010).</t>
        </r>
      </text>
    </comment>
    <comment ref="F43" authorId="0" shape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5" authorId="0" shape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Bé Keizer</author>
    <author>B. Keizer</author>
  </authors>
  <commentList>
    <comment ref="B5" authorId="0" shapeId="0">
      <text>
        <r>
          <rPr>
            <sz val="10"/>
            <color indexed="81"/>
            <rFont val="Tahoma"/>
            <family val="2"/>
          </rPr>
          <t xml:space="preserve">
CAO 2014, verhoging per 1 sept. 2014 met 1,2%.</t>
        </r>
      </text>
    </comment>
    <comment ref="B32" authorId="1" shapeId="0">
      <text>
        <r>
          <rPr>
            <sz val="9"/>
            <color indexed="81"/>
            <rFont val="Tahoma"/>
            <family val="2"/>
          </rPr>
          <t xml:space="preserve">
Bijstelling per 1 juli 2015 i.v.m. aanpassing minimumloon naar 1.507,80.</t>
        </r>
      </text>
    </comment>
    <comment ref="A55" authorId="1" shapeId="0">
      <text>
        <r>
          <rPr>
            <sz val="9"/>
            <color indexed="81"/>
            <rFont val="Tahoma"/>
            <family val="2"/>
          </rPr>
          <t xml:space="preserve">
Conform normen per augustus 2015. </t>
        </r>
      </text>
    </comment>
    <comment ref="G56" authorId="0" shapeId="0">
      <text>
        <r>
          <rPr>
            <sz val="9"/>
            <color indexed="81"/>
            <rFont val="Tahoma"/>
            <family val="2"/>
          </rPr>
          <t xml:space="preserve">
Belastingdienst, Nieuwsbrief Loonheffingen 2015.</t>
        </r>
      </text>
    </comment>
    <comment ref="A57" authorId="0" shapeId="0">
      <text>
        <r>
          <rPr>
            <sz val="9"/>
            <color indexed="81"/>
            <rFont val="Tahoma"/>
            <family val="2"/>
          </rPr>
          <t xml:space="preserve">
Inclusief Anw-compensatie van 0,075% WG en 0,225% WN.</t>
        </r>
      </text>
    </comment>
    <comment ref="A61" authorId="0"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61" authorId="0"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62" authorId="1" shapeId="0">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
</t>
        </r>
      </text>
    </comment>
    <comment ref="A63" authorId="0" shapeId="0">
      <text>
        <r>
          <rPr>
            <sz val="9"/>
            <color indexed="81"/>
            <rFont val="Tahoma"/>
            <family val="2"/>
          </rPr>
          <t xml:space="preserve">
Premie is verlaagd met 0,55%.</t>
        </r>
      </text>
    </comment>
    <comment ref="A64" authorId="1" shapeId="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2015, art. 4 en 10).</t>
        </r>
      </text>
    </comment>
    <comment ref="A65" authorId="0" shapeId="0">
      <text>
        <r>
          <rPr>
            <sz val="10"/>
            <color indexed="81"/>
            <rFont val="Tahoma"/>
            <family val="2"/>
          </rPr>
          <t xml:space="preserve">
Premie VF vanaf 1 aug. 2015. </t>
        </r>
      </text>
    </comment>
    <comment ref="A67" authorId="0" shapeId="0">
      <text>
        <r>
          <rPr>
            <sz val="10"/>
            <color indexed="81"/>
            <rFont val="Tahoma"/>
            <family val="2"/>
          </rPr>
          <t xml:space="preserve">
Premie VF vanaf 1 aug. 2015. 
Verplicht  0,21%.</t>
        </r>
      </text>
    </comment>
    <comment ref="A69" authorId="0" shapeId="0">
      <text>
        <r>
          <rPr>
            <sz val="9"/>
            <color indexed="81"/>
            <rFont val="Tahoma"/>
            <family val="2"/>
          </rPr>
          <t xml:space="preserve">
Premie per 1 jan. 2015.</t>
        </r>
      </text>
    </comment>
    <comment ref="A79" authorId="1" shapeId="0">
      <text>
        <r>
          <rPr>
            <sz val="9"/>
            <color indexed="81"/>
            <rFont val="Tahoma"/>
            <family val="2"/>
          </rPr>
          <t xml:space="preserve">
Geldt voor de leraren schaal LA basisschool resp. LB SBO / (V)SO die op 1 augustus 2015 op regel 15 van hun schaal zitten.</t>
        </r>
      </text>
    </comment>
    <comment ref="D98" authorId="2" shapeId="0">
      <text>
        <r>
          <rPr>
            <sz val="9"/>
            <color indexed="81"/>
            <rFont val="Tahoma"/>
            <family val="2"/>
          </rPr>
          <t xml:space="preserve">
Is in 2015 inclusief vrijval pensioenpremie.</t>
        </r>
      </text>
    </comment>
    <comment ref="A99" authorId="2" shapeId="0">
      <text>
        <r>
          <rPr>
            <sz val="9"/>
            <color indexed="81"/>
            <rFont val="Tahoma"/>
            <family val="2"/>
          </rPr>
          <t xml:space="preserve">
Deze toekenning loopt iets vooruit op de aanpassing van de cao. Aanpassing van de salaristabel  zal plaatsvinden zodra de nieuwe cao po bekend is.</t>
        </r>
      </text>
    </comment>
    <comment ref="A101" authorId="1" shapeId="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<sst xmlns="http://schemas.openxmlformats.org/spreadsheetml/2006/main" count="594" uniqueCount="376">
  <si>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</si>
  <si>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</si>
  <si>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</si>
  <si>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</si>
  <si>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</si>
  <si>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</si>
  <si>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</si>
  <si>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</si>
  <si>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</si>
  <si>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</si>
  <si>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</si>
  <si>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</si>
  <si>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</si>
  <si>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</si>
  <si>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</si>
  <si>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</si>
  <si>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</si>
  <si>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</si>
  <si>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</si>
  <si>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</si>
  <si>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</si>
  <si>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</si>
  <si>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</si>
  <si>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</si>
  <si>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</si>
  <si>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</si>
  <si>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</si>
  <si>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</si>
  <si>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</si>
  <si>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</si>
  <si>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</si>
  <si>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</si>
  <si>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</si>
  <si>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</si>
  <si>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</si>
  <si>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</si>
  <si>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</si>
  <si>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</si>
  <si>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</si>
  <si>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</si>
  <si>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</si>
  <si>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</si>
  <si>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</si>
  <si>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</si>
  <si>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</si>
  <si>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</si>
  <si>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</si>
  <si>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</si>
  <si>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</si>
  <si>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</si>
  <si>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</si>
  <si>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</si>
  <si>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</si>
  <si>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</si>
  <si>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</si>
  <si>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</si>
  <si>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</si>
  <si>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</si>
  <si>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</si>
  <si>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</si>
  <si>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</si>
  <si>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</si>
  <si>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Totaal werkgeverslasten</t>
  </si>
  <si>
    <t>Maximumdebrutering:</t>
  </si>
  <si>
    <t>Debrutering</t>
  </si>
  <si>
    <t>Jaarinkomen ABP</t>
  </si>
  <si>
    <t>per maand</t>
  </si>
  <si>
    <t>per jaar</t>
  </si>
  <si>
    <t>max. regel:</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</si>
  <si>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</si>
  <si>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</si>
  <si>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</si>
  <si>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</si>
  <si>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</si>
  <si>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</si>
  <si>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</si>
  <si>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</si>
  <si>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</si>
  <si>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</si>
  <si>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</si>
  <si>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</si>
  <si>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</si>
  <si>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</si>
  <si>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</si>
  <si>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</si>
  <si>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</si>
  <si>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</si>
  <si>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</si>
  <si>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</si>
  <si>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</si>
  <si>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</si>
  <si>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</si>
  <si>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</si>
  <si>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</si>
  <si>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</si>
  <si>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</si>
  <si>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</si>
  <si>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</si>
  <si>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</si>
  <si>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</si>
  <si>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</si>
  <si>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</si>
  <si>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</si>
  <si>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</si>
  <si>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</si>
  <si>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</si>
  <si>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</si>
  <si>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</si>
  <si>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</si>
  <si>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</si>
  <si>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</si>
  <si>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</si>
  <si>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</si>
  <si>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</si>
  <si>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</si>
  <si>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</si>
  <si>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</si>
  <si>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</si>
  <si>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</si>
  <si>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</si>
  <si>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</si>
  <si>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</si>
  <si>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</si>
  <si>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</si>
  <si>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</si>
  <si>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</si>
  <si>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</si>
  <si>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</si>
  <si>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</si>
  <si>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</si>
  <si>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</si>
  <si>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</si>
  <si>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</si>
  <si>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</si>
  <si>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</si>
  <si>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</si>
  <si>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</si>
  <si>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</si>
  <si>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</si>
  <si>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</si>
  <si>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</si>
  <si>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</si>
  <si>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</si>
  <si>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</si>
  <si>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</si>
  <si>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</si>
  <si>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</si>
  <si>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</si>
  <si>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</si>
  <si>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</si>
  <si>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</si>
  <si>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</si>
  <si>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</si>
  <si>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</si>
  <si>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</si>
  <si>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</si>
  <si>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</si>
  <si>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</si>
  <si>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</si>
  <si>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</si>
  <si>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</si>
  <si>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</si>
  <si>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</si>
  <si>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</si>
  <si>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</si>
  <si>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</si>
  <si>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</si>
  <si>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</si>
  <si>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</si>
  <si>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</si>
  <si>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</si>
  <si>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</si>
  <si>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</si>
  <si>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</si>
  <si>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</si>
  <si>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</si>
  <si>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</si>
  <si>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</si>
  <si>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</si>
  <si>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</si>
  <si>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</si>
  <si>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</si>
  <si>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</si>
  <si>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</si>
  <si>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</si>
  <si>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</si>
  <si>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</si>
  <si>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</si>
  <si>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</si>
  <si>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</si>
  <si>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</si>
  <si>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</si>
  <si>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</si>
  <si>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</si>
  <si>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</si>
  <si>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</si>
  <si>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</si>
  <si>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</si>
  <si>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</si>
  <si>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</si>
  <si>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</si>
  <si>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</si>
  <si>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</si>
  <si>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</si>
  <si>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</si>
  <si>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</si>
  <si>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</si>
  <si>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</si>
  <si>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</si>
  <si>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</si>
  <si>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</si>
  <si>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</si>
  <si>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</si>
  <si>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</si>
  <si>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</si>
  <si>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</si>
  <si>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Voor het maken van meerjarenformatiebeleid in relatie tot een meerjarenbegroting is deze info van belang.</t>
  </si>
  <si>
    <t>0,8% levensloop</t>
  </si>
  <si>
    <t>kosten levensloop</t>
  </si>
  <si>
    <t>Tabel 1 Schijventarief inkomstenbelasting/premie volksverzekeringen</t>
  </si>
  <si>
    <t>Inkomsten</t>
  </si>
  <si>
    <t>totaal</t>
  </si>
  <si>
    <t>WAO/WIA</t>
  </si>
  <si>
    <t>Deze toeslag wordt toegekend op basis van artikel 6.14 van de CAO PO.</t>
  </si>
  <si>
    <t>Deze toeslag wordt toegekend op basis van artikel 6.13 van de CAO PO.</t>
  </si>
  <si>
    <t>Doorbetaling 55% salaris werkgever</t>
  </si>
  <si>
    <t>Dag van de leraar (OP, OOP, Dir)</t>
  </si>
  <si>
    <t>AOP</t>
  </si>
  <si>
    <t>VF: premie verplichte aansluiting</t>
  </si>
  <si>
    <t>VF: premie vrijwillige aansluiting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</si>
  <si>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</si>
  <si>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</si>
  <si>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</si>
  <si>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</si>
  <si>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</si>
  <si>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</si>
  <si>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</si>
  <si>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</si>
  <si>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Het onderdeel bestuur biedt de mogelijkheid de kosten van extra periodieken te ramen voor de herintreedsters.</t>
  </si>
  <si>
    <t>Schaaluitloopbedrag</t>
  </si>
  <si>
    <t>LA  en LB</t>
  </si>
  <si>
    <t>schaal-uitloopbedrag</t>
  </si>
  <si>
    <t>Toelage directeuren</t>
  </si>
  <si>
    <t>toelage directeuren</t>
  </si>
  <si>
    <t>de Internetpublicaties van de Belastingdienst, ABP, UWV en OCW, en</t>
  </si>
  <si>
    <t>Twee aanloopschalen bij ID1 zijn achterwege gelaten (minder relevant en onnodig complicerend voor de uitwerking in dit instrument).</t>
  </si>
  <si>
    <t>bij een normbetrekking, per maand</t>
  </si>
  <si>
    <t xml:space="preserve">De gegevens omtrent de grondslag van uitkeringen e.d. zijn ontleend aan </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</si>
  <si>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</si>
  <si>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</si>
  <si>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</si>
  <si>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</si>
  <si>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In individuele gevallen zal er nog sprake zijn van loonkosten die hier niet zijn opgenomen. Bijvoorbeeld reiskosten, een </t>
  </si>
  <si>
    <t>jubileumuitkering of spaarloon. Dergelijke componenten zijn in dit model niet verwerkt.</t>
  </si>
  <si>
    <t>betreffende werknemer laat de salariskosten zien die de werkgever moet betalen uit eigen middelen.</t>
  </si>
  <si>
    <t>WERKGEVERSLASTEN PO</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</si>
  <si>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</si>
  <si>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</si>
  <si>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</si>
  <si>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</si>
  <si>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</si>
  <si>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</si>
  <si>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</si>
  <si>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</si>
  <si>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</si>
  <si>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</si>
  <si>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</si>
  <si>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</si>
  <si>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</si>
  <si>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</si>
  <si>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</si>
  <si>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</si>
  <si>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</si>
  <si>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</si>
  <si>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</si>
  <si>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</si>
  <si>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</si>
  <si>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 xml:space="preserve"> belastbaar loon</t>
  </si>
  <si>
    <t>Loonheffing zonder loonheffingskortingen</t>
  </si>
  <si>
    <t>Loonheffing</t>
  </si>
  <si>
    <t>Opslagpercentage t.o.v. bruto salaris</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</si>
  <si>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</si>
  <si>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</si>
  <si>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be.keizer@wxs.nl</t>
  </si>
  <si>
    <t>Bé Keizer,                              tel.: 06-22939674 of, bij voorkeur, per e-mail: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</si>
  <si>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</si>
  <si>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</si>
  <si>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</si>
  <si>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</si>
  <si>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</si>
  <si>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 xml:space="preserve">Echter de pensioenpremies en de premies van het VF/PF wijzigen momenteel vaker, waardoor de berekening dan een </t>
  </si>
  <si>
    <t>Functie</t>
  </si>
  <si>
    <t>toe(s)lagen</t>
  </si>
  <si>
    <t>OOP &lt;S9</t>
  </si>
  <si>
    <t>uitkering van € 200, de toelage directeuren en het schaal-uitloopbedrag, plus ook de inkortingen van de schalen.</t>
  </si>
  <si>
    <t>VF: geen vrijwillige aansluiting</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</si>
  <si>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</si>
  <si>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</si>
  <si>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</si>
  <si>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</si>
  <si>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</si>
  <si>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</si>
  <si>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</si>
  <si>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 jaarinkomen</t>
  </si>
  <si>
    <t>Overgangspremie VPL</t>
  </si>
  <si>
    <t>Jaarinkomen</t>
  </si>
  <si>
    <t>op regel 15 - het maximum - komt, dan meteen ook de schaal-uitlooptoeslag ontvangt.</t>
  </si>
  <si>
    <t xml:space="preserve">Dit programmaonderdeel heeft niet de pretentie een exacte salarisberekening te maken! Zo wordt ook de vakantieuitkering en de </t>
  </si>
  <si>
    <t xml:space="preserve">eindejaarsuitkering per maand berekend. Het beoogt alleen een indicatie te geven van de omvang van de werkgeverslasten en enig inzicht te geven </t>
  </si>
  <si>
    <t>in de opbouw daarvan. Als zodanig is het een hulpmiddel voor het management bij het ramen van de personele kosten.</t>
  </si>
  <si>
    <t xml:space="preserve">Op grond van het bruto salaris per maand wordt het jaarinkomen berekend. </t>
  </si>
  <si>
    <t>Het jaarinkomen ABP wordt bepaald op basis van de situatie in januari van het betreffende jaar.</t>
  </si>
  <si>
    <t xml:space="preserve">Ten opzichte van het jaarinkomen wordt dat in een percentage omgerekend, maar belangrijker: ook in een opslagpercentage </t>
  </si>
  <si>
    <t>ZVW premie werkgever</t>
  </si>
  <si>
    <t xml:space="preserve">Voor de werkgeverslasten is al een percentage opgegeven: </t>
  </si>
  <si>
    <t>Geraamde gemiddelde WG-lasten</t>
  </si>
  <si>
    <t>Voor de werkgeverslasten is al een percentage opgegeven:</t>
  </si>
  <si>
    <t>vosabb</t>
  </si>
  <si>
    <t xml:space="preserve">Helpdesk,            bereikbaar via de website van VOS/ABB: </t>
  </si>
  <si>
    <t>helpdesk@vosabb.nl</t>
  </si>
  <si>
    <t>www.vosabb.nl</t>
  </si>
  <si>
    <t xml:space="preserve">Bij het VF gold dat grote schoolbesturen (reguliere lumpsum &gt; 20 mln.) eigen risicodrager konden worden voor de </t>
  </si>
  <si>
    <t>ziektevervanging van de eerste 52 weken, als ze hiervoor hadden gekozen. In dat geval betalen ze een aanzienlijk lagere premie.</t>
  </si>
  <si>
    <t>Na een systeemwijziging geldt vanaf 1 augustus 2013 voor deze besturen een heel lage premie:</t>
  </si>
  <si>
    <r>
      <t xml:space="preserve">De grote schoolbesturen (meer dan 20 mln. lumpsum) betalen </t>
    </r>
    <r>
      <rPr>
        <b/>
        <sz val="10"/>
        <rFont val="Calibri"/>
        <family val="2"/>
      </rPr>
      <t>geen extra risicopremie meer</t>
    </r>
    <r>
      <rPr>
        <sz val="10"/>
        <rFont val="Calibri"/>
        <family val="2"/>
      </rPr>
      <t xml:space="preserve"> op de verplichte verzekering.</t>
    </r>
  </si>
  <si>
    <t>VF: eigenrisicodrager</t>
  </si>
  <si>
    <t>Bruto-netto traject 2013 Werknemer (indicatief)</t>
  </si>
  <si>
    <t>n</t>
  </si>
  <si>
    <t>WAO/WIA-basispremie (AOF, incl. KO)</t>
  </si>
  <si>
    <t>UFO-premie</t>
  </si>
  <si>
    <t>Alle nieuwe aanstellingen vallen onder de verplichte verzekering.</t>
  </si>
  <si>
    <t xml:space="preserve">De aanpassingen als gevolg van het actieplan LeerKracht zijn volledig verwerkt in de CAO PO. Dat betreft de structurele nominale </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</si>
  <si>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</si>
  <si>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</si>
  <si>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</si>
  <si>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</si>
  <si>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 xml:space="preserve">in de werkorganisatie. Per 1 januari 2014 moet nu ook een gedifferentieerde premie betaald worden voor flexwerkers. Omdat verwerking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</si>
  <si>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</si>
  <si>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</si>
  <si>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</si>
  <si>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</si>
  <si>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</si>
  <si>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</si>
  <si>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</si>
  <si>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Het door de Belastingdienst opgegeven percentage WGA-vast dient u op te geven in het werkblad tabellen.</t>
  </si>
  <si>
    <t>raming werkgeverslasten</t>
  </si>
  <si>
    <t>de CAO PO 2014-2015.</t>
  </si>
  <si>
    <t>Whk-gediferentieerd</t>
  </si>
  <si>
    <t xml:space="preserve">De salaristabellen zijn de tabellen die gelden vanaf 1 januari 2015. </t>
  </si>
  <si>
    <r>
      <t xml:space="preserve">De algemene premies zijn van toepassing vanaf </t>
    </r>
    <r>
      <rPr>
        <b/>
        <i/>
        <sz val="10"/>
        <rFont val="Calibri"/>
        <family val="2"/>
      </rPr>
      <t>1 jan. 2015.</t>
    </r>
    <r>
      <rPr>
        <sz val="10"/>
        <rFont val="Calibri"/>
        <family val="2"/>
      </rPr>
      <t xml:space="preserve"> </t>
    </r>
    <r>
      <rPr>
        <b/>
        <sz val="10"/>
        <rFont val="Calibri"/>
        <family val="2"/>
      </rPr>
      <t xml:space="preserve">Per 1 januari is de premie ABP fors verlaagd. </t>
    </r>
  </si>
  <si>
    <r>
      <t xml:space="preserve">Premies VF zijn per </t>
    </r>
    <r>
      <rPr>
        <b/>
        <i/>
        <sz val="10"/>
        <rFont val="Calibri"/>
        <family val="2"/>
      </rPr>
      <t>1 jan. 2015</t>
    </r>
    <r>
      <rPr>
        <sz val="10"/>
        <rFont val="Calibri"/>
        <family val="2"/>
      </rPr>
      <t xml:space="preserve"> verlaagd. Daarbij wordt onderscheid gemaakt in de premie VF voor </t>
    </r>
  </si>
  <si>
    <t xml:space="preserve"> - verplicht verzekerde werknemers: reguliere premie van 0,21% (jaarbasis)</t>
  </si>
  <si>
    <r>
      <t xml:space="preserve"> - vrijwillig verzekerde werknemers: premie is vastgesteld op ook 0,21%</t>
    </r>
    <r>
      <rPr>
        <i/>
        <sz val="10"/>
        <rFont val="Calibri"/>
        <family val="2"/>
      </rPr>
      <t>.</t>
    </r>
  </si>
  <si>
    <t>In het werkblad Werkgeverslasten zijn er vier keuzes voor de bepaling van het premiepercentage VF dat van toepassing is.</t>
  </si>
  <si>
    <r>
      <t>De premie van het PF is verhoogd met ingang van 1 januari 2015 naar 5</t>
    </r>
    <r>
      <rPr>
        <b/>
        <sz val="10"/>
        <rFont val="Calibri"/>
        <family val="2"/>
      </rPr>
      <t>,00%</t>
    </r>
    <r>
      <rPr>
        <sz val="10"/>
        <rFont val="Calibri"/>
        <family val="2"/>
      </rPr>
      <t>.</t>
    </r>
  </si>
  <si>
    <r>
      <t xml:space="preserve">bijgestelde versie van dit instrument vergt. In die gevallen komt er dus zo'n </t>
    </r>
    <r>
      <rPr>
        <b/>
        <sz val="10"/>
        <rFont val="Calibri"/>
        <family val="2"/>
      </rPr>
      <t>bijgestelde versie</t>
    </r>
    <r>
      <rPr>
        <sz val="10"/>
        <rFont val="Calibri"/>
        <family val="2"/>
      </rPr>
      <t>.</t>
    </r>
  </si>
  <si>
    <t xml:space="preserve">Voor 2015 is sprake van enkele wijzigingen in de premievaststelling. Het deel voor de kinderopvang dat bij de UFO was ondergebracht,  </t>
  </si>
  <si>
    <t xml:space="preserve">is onderdeel van de basispremie WAO/WIA. </t>
  </si>
  <si>
    <t xml:space="preserve">De betaling aan de verlofganger is veranderd sinds 1 januari 2007 in 55%. </t>
  </si>
  <si>
    <t>Belastingen 2015</t>
  </si>
  <si>
    <t>Tarieven, bedragen en percentages vanaf 1 januari 2015</t>
  </si>
  <si>
    <t>vanaf 1 augustus</t>
  </si>
  <si>
    <t>Eenmalige uitkering oktober 2015</t>
  </si>
  <si>
    <t>Structurele nominale uitkering (dag van de leraar)</t>
  </si>
  <si>
    <t>2015/2016</t>
  </si>
  <si>
    <t>eigen beleid</t>
  </si>
  <si>
    <r>
      <t xml:space="preserve">De keuze van eigen risicodragerschap is nu </t>
    </r>
    <r>
      <rPr>
        <b/>
        <sz val="10"/>
        <rFont val="Calibri"/>
        <family val="2"/>
      </rPr>
      <t>verbreed</t>
    </r>
    <r>
      <rPr>
        <sz val="10"/>
        <rFont val="Calibri"/>
        <family val="2"/>
      </rPr>
      <t xml:space="preserve"> voor ook samenwerkingsverbanden van besturen.</t>
    </r>
  </si>
  <si>
    <t xml:space="preserve">In 2015 is de uitkering van € 200 verhoogd naar € 324 i.v.m. vrijval pensioenpremies. </t>
  </si>
  <si>
    <t>Bovendien is een uitkering van € 500 aan de orde voor iedere werknemer die in september 2015 is aangesteld.</t>
  </si>
  <si>
    <t>Het schaal-uitloopbedrag wordt toegekend zodra het maximum wordt bereikt. Het betekent dus ook dat degene die op 1 augustus 2015</t>
  </si>
  <si>
    <t xml:space="preserve">zoals reis- en verblijfkosten, parkeervergoeding e.d. Ga daarom na welke kosten bij uw bestuur ook nog gemaakt worden. Een schatting van </t>
  </si>
  <si>
    <t xml:space="preserve">deze kosten kan opgevoerd worden bij "k. eigen beleid". </t>
  </si>
  <si>
    <t>Dit werkblad bevat relevante tabellen, conform de gegevens zoals die per 1 augustus 2015 gelden.</t>
  </si>
  <si>
    <r>
      <t xml:space="preserve">Ook moet rekening gehouden worden met </t>
    </r>
    <r>
      <rPr>
        <b/>
        <sz val="10"/>
        <rFont val="Calibri"/>
        <family val="2"/>
        <scheme val="minor"/>
      </rPr>
      <t>Overige kosten</t>
    </r>
    <r>
      <rPr>
        <sz val="10"/>
        <rFont val="Calibri"/>
        <family val="2"/>
        <scheme val="minor"/>
      </rPr>
      <t xml:space="preserve"> die hier niet zijn opgenomen omdat ze per individu sterk  kunnen verschillen, </t>
    </r>
  </si>
  <si>
    <r>
      <t xml:space="preserve"> - verplicht verzekerde werknemers: reguliere premie van 6,0</t>
    </r>
    <r>
      <rPr>
        <i/>
        <sz val="10"/>
        <rFont val="Calibri"/>
        <family val="2"/>
      </rPr>
      <t>%</t>
    </r>
    <r>
      <rPr>
        <sz val="10"/>
        <rFont val="Calibri"/>
        <family val="2"/>
      </rPr>
      <t xml:space="preserve"> (jaarbasis)</t>
    </r>
  </si>
  <si>
    <t xml:space="preserve"> - vrijwillig verzekerde werknemers: premie is vastgesteld op ook 6,0%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</si>
</sst>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5" formatCode="_(&quot;€&quot;\ * #,##0_);_(&quot;€&quot;\ * \(#,##0\);_(&quot;€&quot;\ * &quot;-&quot;_);_(@_)"/>
    <numFmt numFmtId="167" formatCode="_-&quot;€&quot;\ * #,##0_-;_-&quot;€&quot;\ * #,##0\-;_-&quot;€&quot;\ * &quot;-&quot;_-;_-@_-"/>
    <numFmt numFmtId="168" formatCode="_-&quot;€&quot;\ * #,##0.00_-;_-&quot;€&quot;\ * #,##0.00\-;_-&quot;€&quot;\ * &quot;-&quot;??_-;_-@_-"/>
    <numFmt numFmtId="169" formatCode="_-&quot;fl&quot;\ * #,##0.00_-;_-&quot;fl&quot;\ * #,##0.00\-;_-&quot;fl&quot;\ * &quot;-&quot;??_-;_-@_-"/>
    <numFmt numFmtId="170" formatCode="d/mm/yy"/>
    <numFmt numFmtId="171" formatCode="0.0000"/>
    <numFmt numFmtId="172" formatCode="0.000%"/>
    <numFmt numFmtId="173" formatCode="#,##0.00_ ;[Red]\-#,##0.00\ "/>
    <numFmt numFmtId="174" formatCode="0.0%"/>
    <numFmt numFmtId="175" formatCode="#,##0.0000_ ;\-#,##0.0000\ "/>
    <numFmt numFmtId="176" formatCode="#,##0_-"/>
    <numFmt numFmtId="177" formatCode="_-[$€-2]\ * #,##0.00_-;_-[$€-2]\ * #,##0.00\-;_-[$€-2]\ * &quot;-&quot;??_-;_-@_-"/>
    <numFmt numFmtId="178" formatCode="_-[$€-413]\ * #,##0.00_-;_-[$€-413]\ * #,##0.00\-;_-[$€-413]\ * &quot;-&quot;??_-;_-@_-"/>
  </numFmts>
  <fonts count="65"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sz val="11"/>
      <color indexed="9"/>
      <name val="Calibri"/>
      <family val="2"/>
    </font>
    <font>
      <b/>
      <sz val="11"/>
      <color indexed="9"/>
      <name val="Calibri"/>
      <family val="2"/>
    </font>
    <font>
      <b/>
      <i/>
      <sz val="11"/>
      <name val="Calibri"/>
      <family val="2"/>
    </font>
    <font>
      <b/>
      <i/>
      <sz val="11"/>
      <color indexed="47"/>
      <name val="Calibri"/>
      <family val="2"/>
    </font>
    <font>
      <i/>
      <sz val="11"/>
      <color indexed="23"/>
      <name val="Calibri"/>
      <family val="2"/>
    </font>
    <font>
      <sz val="10"/>
      <name val="Calibri"/>
      <family val="2"/>
    </font>
    <font>
      <b/>
      <sz val="10"/>
      <name val="Calibri"/>
      <family val="2"/>
    </font>
    <font>
      <sz val="10"/>
      <color indexed="9"/>
      <name val="Calibri"/>
      <family val="2"/>
    </font>
    <font>
      <b/>
      <sz val="10"/>
      <color indexed="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b/>
      <sz val="10"/>
      <name val="Arial"/>
      <family val="2"/>
    </font>
    <font>
      <b/>
      <i/>
      <sz val="10"/>
      <color indexed="10"/>
      <name val="Calibri"/>
      <family val="2"/>
    </font>
    <font>
      <sz val="10"/>
      <color indexed="55"/>
      <name val="Calibri"/>
      <family val="2"/>
    </font>
    <font>
      <sz val="10"/>
      <color theme="0" tint="-0.249977111117893"/>
      <name val="Calibri"/>
      <family val="2"/>
    </font>
    <font>
      <u/>
      <sz val="10"/>
      <color indexed="12"/>
      <name val="Calibri"/>
      <family val="2"/>
      <scheme val="minor"/>
    </font>
    <font>
      <u/>
      <sz val="10"/>
      <color theme="0"/>
      <name val="Arial"/>
      <family val="2"/>
    </font>
    <font>
      <sz val="10"/>
      <color indexed="8"/>
      <name val="Calibri"/>
      <family val="2"/>
      <scheme val="minor"/>
    </font>
    <font>
      <sz val="10"/>
      <name val="Calibri"/>
      <family val="2"/>
      <scheme val="minor"/>
    </font>
    <font>
      <b/>
      <i/>
      <sz val="10"/>
      <name val="Calibri"/>
      <family val="2"/>
      <scheme val="minor"/>
    </font>
    <font>
      <b/>
      <sz val="10"/>
      <name val="Calibri"/>
      <family val="2"/>
      <scheme val="minor"/>
    </font>
  </fonts>
  <fills count="10">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CC99"/>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style="thin">
        <color indexed="22"/>
      </top>
      <bottom style="thin">
        <color indexed="22"/>
      </bottom>
      <diagonal/>
    </border>
    <border>
      <left/>
      <right/>
      <top/>
      <bottom style="thin">
        <color theme="0"/>
      </bottom>
      <diagonal/>
    </border>
    <border>
      <left/>
      <right/>
      <top style="thin">
        <color indexed="47"/>
      </top>
      <bottom style="thin">
        <color indexed="47"/>
      </bottom>
      <diagonal/>
    </border>
  </borders>
  <cellStyleXfs count="4">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9" fontId="1" fillId="0" borderId="0" applyFont="0" applyFill="0" applyBorder="0" applyAlignment="0" applyProtection="0"/>
  </cellStyleXfs>
  <cellXfs count="516">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7"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8" fillId="2" borderId="0" xfId="0" applyFont="1" applyFill="1" applyProtection="1"/>
    <xf numFmtId="0" fontId="19" fillId="2" borderId="0" xfId="0" applyFont="1" applyFill="1" applyProtection="1"/>
    <xf numFmtId="0" fontId="15" fillId="3" borderId="1" xfId="0" applyFont="1" applyFill="1" applyBorder="1" applyProtection="1"/>
    <xf numFmtId="0" fontId="15" fillId="3" borderId="2" xfId="0" applyFont="1" applyFill="1" applyBorder="1" applyProtection="1"/>
    <xf numFmtId="0" fontId="13" fillId="3" borderId="2" xfId="0" applyFont="1" applyFill="1" applyBorder="1" applyProtection="1"/>
    <xf numFmtId="9" fontId="19" fillId="3" borderId="2" xfId="2" applyFont="1" applyFill="1" applyBorder="1" applyAlignment="1" applyProtection="1">
      <alignment horizontal="center"/>
    </xf>
    <xf numFmtId="0" fontId="15" fillId="4" borderId="3" xfId="0" applyFont="1" applyFill="1" applyBorder="1" applyProtection="1"/>
    <xf numFmtId="0" fontId="15" fillId="4" borderId="4" xfId="0" applyFont="1" applyFill="1" applyBorder="1" applyProtection="1"/>
    <xf numFmtId="0" fontId="15" fillId="4" borderId="4" xfId="0" applyFont="1" applyFill="1" applyBorder="1" applyAlignment="1" applyProtection="1">
      <alignment horizontal="left"/>
    </xf>
    <xf numFmtId="0" fontId="15" fillId="4" borderId="4" xfId="0" applyFont="1" applyFill="1" applyBorder="1" applyAlignment="1" applyProtection="1">
      <alignment horizontal="center"/>
    </xf>
    <xf numFmtId="0" fontId="15" fillId="4" borderId="5" xfId="0" applyFont="1" applyFill="1" applyBorder="1" applyProtection="1"/>
    <xf numFmtId="0" fontId="15" fillId="4" borderId="6"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5" fillId="4" borderId="7" xfId="0" applyFont="1" applyFill="1" applyBorder="1" applyProtection="1"/>
    <xf numFmtId="0" fontId="15" fillId="4" borderId="0" xfId="0" applyFont="1" applyFill="1" applyBorder="1"/>
    <xf numFmtId="0" fontId="20" fillId="4" borderId="0" xfId="0" applyFont="1" applyFill="1" applyBorder="1" applyProtection="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6"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6" fillId="4" borderId="7" xfId="0" applyFont="1" applyFill="1" applyBorder="1" applyProtection="1"/>
    <xf numFmtId="0" fontId="19" fillId="4" borderId="6" xfId="0" applyFont="1" applyFill="1" applyBorder="1" applyProtection="1"/>
    <xf numFmtId="0" fontId="19" fillId="4" borderId="7" xfId="0" applyFont="1" applyFill="1" applyBorder="1"/>
    <xf numFmtId="0" fontId="15" fillId="4" borderId="7" xfId="0" applyFont="1" applyFill="1" applyBorder="1"/>
    <xf numFmtId="0" fontId="16" fillId="4" borderId="0" xfId="0" applyFont="1" applyFill="1" applyBorder="1" applyProtection="1"/>
    <xf numFmtId="0" fontId="17" fillId="4" borderId="6" xfId="0" applyFont="1" applyFill="1" applyBorder="1" applyProtection="1"/>
    <xf numFmtId="0" fontId="16" fillId="4" borderId="7" xfId="0" applyFont="1" applyFill="1" applyBorder="1"/>
    <xf numFmtId="0" fontId="25" fillId="4" borderId="7" xfId="0" applyFont="1" applyFill="1" applyBorder="1" applyProtection="1"/>
    <xf numFmtId="0" fontId="26" fillId="4" borderId="7" xfId="0" applyFont="1" applyFill="1" applyBorder="1" applyProtection="1"/>
    <xf numFmtId="0" fontId="15" fillId="2" borderId="0" xfId="0" applyFont="1" applyFill="1" applyBorder="1" applyProtection="1"/>
    <xf numFmtId="4" fontId="25" fillId="4" borderId="7" xfId="0" applyNumberFormat="1" applyFont="1" applyFill="1" applyBorder="1" applyProtection="1"/>
    <xf numFmtId="0" fontId="17" fillId="4" borderId="7" xfId="0" applyFont="1" applyFill="1" applyBorder="1" applyProtection="1"/>
    <xf numFmtId="0" fontId="18" fillId="4" borderId="6" xfId="0" applyFont="1" applyFill="1" applyBorder="1" applyProtection="1"/>
    <xf numFmtId="0" fontId="18" fillId="4" borderId="7" xfId="0" applyFont="1" applyFill="1" applyBorder="1" applyProtection="1"/>
    <xf numFmtId="168" fontId="15" fillId="4" borderId="0" xfId="0" applyNumberFormat="1" applyFont="1" applyFill="1" applyBorder="1" applyProtection="1"/>
    <xf numFmtId="0" fontId="15" fillId="3" borderId="8" xfId="0" applyFont="1" applyFill="1" applyBorder="1" applyProtection="1"/>
    <xf numFmtId="3"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protection locked="0"/>
    </xf>
    <xf numFmtId="0" fontId="30" fillId="0" borderId="0" xfId="0" applyFont="1" applyBorder="1" applyAlignment="1" applyProtection="1">
      <alignment horizontal="left"/>
    </xf>
    <xf numFmtId="2" fontId="30" fillId="0" borderId="0" xfId="0" applyNumberFormat="1" applyFont="1" applyFill="1" applyBorder="1" applyAlignment="1" applyProtection="1">
      <alignment horizontal="left"/>
      <protection locked="0"/>
    </xf>
    <xf numFmtId="0" fontId="31" fillId="0" borderId="0" xfId="0" applyFont="1" applyBorder="1" applyAlignment="1" applyProtection="1">
      <alignment horizontal="left"/>
    </xf>
    <xf numFmtId="170" fontId="30" fillId="6" borderId="0" xfId="0" applyNumberFormat="1" applyFont="1" applyFill="1" applyBorder="1" applyAlignment="1" applyProtection="1">
      <alignment horizontal="left"/>
      <protection locked="0"/>
    </xf>
    <xf numFmtId="0" fontId="30" fillId="0" borderId="0" xfId="0" applyFont="1" applyFill="1" applyBorder="1" applyAlignment="1" applyProtection="1">
      <alignment horizontal="left"/>
    </xf>
    <xf numFmtId="0" fontId="30" fillId="0" borderId="0" xfId="0" applyFont="1" applyBorder="1" applyAlignment="1">
      <alignment horizontal="left"/>
    </xf>
    <xf numFmtId="0" fontId="30" fillId="0" borderId="0" xfId="0" applyNumberFormat="1" applyFont="1" applyBorder="1" applyAlignment="1" applyProtection="1">
      <alignment horizontal="left"/>
    </xf>
    <xf numFmtId="1" fontId="30" fillId="0" borderId="0" xfId="0" applyNumberFormat="1" applyFont="1" applyBorder="1" applyAlignment="1" applyProtection="1">
      <alignment horizontal="left"/>
    </xf>
    <xf numFmtId="0" fontId="30" fillId="4" borderId="0" xfId="0" applyFont="1" applyFill="1" applyBorder="1" applyAlignment="1" applyProtection="1">
      <alignment horizontal="left"/>
      <protection locked="0"/>
    </xf>
    <xf numFmtId="49" fontId="30" fillId="0" borderId="0" xfId="0" applyNumberFormat="1" applyFont="1" applyBorder="1" applyAlignment="1" applyProtection="1">
      <alignment horizontal="left"/>
    </xf>
    <xf numFmtId="172" fontId="30" fillId="6" borderId="0" xfId="0" applyNumberFormat="1" applyFont="1" applyFill="1" applyBorder="1" applyAlignment="1" applyProtection="1">
      <alignment horizontal="left"/>
      <protection locked="0"/>
    </xf>
    <xf numFmtId="4" fontId="30" fillId="6" borderId="0" xfId="0" applyNumberFormat="1" applyFont="1" applyFill="1" applyBorder="1" applyAlignment="1" applyProtection="1">
      <alignment horizontal="left"/>
      <protection locked="0"/>
    </xf>
    <xf numFmtId="10"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xf>
    <xf numFmtId="9" fontId="30" fillId="0" borderId="0" xfId="0" applyNumberFormat="1" applyFont="1" applyBorder="1" applyAlignment="1" applyProtection="1">
      <alignment horizontal="left"/>
    </xf>
    <xf numFmtId="10" fontId="30" fillId="6" borderId="0" xfId="0" applyNumberFormat="1" applyFont="1" applyFill="1" applyBorder="1" applyAlignment="1" applyProtection="1">
      <alignment horizontal="left"/>
    </xf>
    <xf numFmtId="10" fontId="30" fillId="0" borderId="0" xfId="0" applyNumberFormat="1" applyFont="1" applyBorder="1" applyAlignment="1" applyProtection="1">
      <alignment horizontal="left"/>
    </xf>
    <xf numFmtId="2" fontId="32" fillId="0" borderId="0" xfId="0" applyNumberFormat="1" applyFont="1" applyFill="1" applyBorder="1" applyAlignment="1" applyProtection="1">
      <alignment horizontal="left"/>
    </xf>
    <xf numFmtId="2" fontId="30" fillId="6" borderId="0" xfId="0" applyNumberFormat="1" applyFont="1" applyFill="1" applyBorder="1" applyAlignment="1" applyProtection="1">
      <alignment horizontal="left"/>
      <protection locked="0"/>
    </xf>
    <xf numFmtId="173" fontId="30" fillId="6" borderId="0" xfId="0" applyNumberFormat="1" applyFont="1" applyFill="1" applyBorder="1" applyAlignment="1" applyProtection="1">
      <alignment horizontal="left"/>
      <protection locked="0"/>
    </xf>
    <xf numFmtId="2" fontId="30" fillId="0" borderId="0" xfId="0" applyNumberFormat="1" applyFont="1" applyBorder="1" applyAlignment="1" applyProtection="1">
      <alignment horizontal="left"/>
    </xf>
    <xf numFmtId="0" fontId="33" fillId="0" borderId="0" xfId="0" applyFont="1" applyBorder="1" applyAlignment="1" applyProtection="1">
      <alignment horizontal="left"/>
    </xf>
    <xf numFmtId="4" fontId="30" fillId="0" borderId="0" xfId="0" applyNumberFormat="1" applyFont="1" applyBorder="1" applyAlignment="1" applyProtection="1">
      <alignment horizontal="left"/>
    </xf>
    <xf numFmtId="3" fontId="30" fillId="0" borderId="0" xfId="0" applyNumberFormat="1" applyFont="1" applyBorder="1" applyAlignment="1" applyProtection="1">
      <alignment horizontal="left"/>
    </xf>
    <xf numFmtId="172" fontId="30" fillId="0" borderId="0" xfId="0" applyNumberFormat="1" applyFont="1" applyBorder="1" applyAlignment="1" applyProtection="1">
      <alignment horizontal="left"/>
    </xf>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3" xfId="0" applyFont="1" applyFill="1" applyBorder="1"/>
    <xf numFmtId="0" fontId="15" fillId="4" borderId="4" xfId="0" applyFont="1" applyFill="1" applyBorder="1"/>
    <xf numFmtId="0" fontId="15" fillId="4" borderId="5" xfId="0" applyFont="1" applyFill="1" applyBorder="1"/>
    <xf numFmtId="0" fontId="15" fillId="4" borderId="6" xfId="0" applyFont="1" applyFill="1" applyBorder="1"/>
    <xf numFmtId="0" fontId="15" fillId="5" borderId="0" xfId="0" applyFont="1" applyFill="1" applyBorder="1" applyAlignment="1" applyProtection="1">
      <protection locked="0"/>
    </xf>
    <xf numFmtId="0" fontId="16" fillId="4" borderId="6" xfId="0" applyFont="1" applyFill="1" applyBorder="1"/>
    <xf numFmtId="168" fontId="15" fillId="4" borderId="0" xfId="0" applyNumberFormat="1" applyFont="1" applyFill="1" applyBorder="1"/>
    <xf numFmtId="0" fontId="16" fillId="4" borderId="6" xfId="0" applyFont="1" applyFill="1" applyBorder="1" applyAlignment="1">
      <alignment horizontal="right"/>
    </xf>
    <xf numFmtId="0" fontId="15" fillId="4" borderId="6" xfId="0" applyFont="1" applyFill="1" applyBorder="1" applyAlignment="1">
      <alignment horizontal="right"/>
    </xf>
    <xf numFmtId="0" fontId="12" fillId="3" borderId="1" xfId="0" applyFont="1" applyFill="1" applyBorder="1"/>
    <xf numFmtId="0" fontId="12" fillId="3" borderId="2" xfId="0" applyFont="1" applyFill="1" applyBorder="1"/>
    <xf numFmtId="0" fontId="12" fillId="3" borderId="8" xfId="0" applyFont="1" applyFill="1" applyBorder="1"/>
    <xf numFmtId="0" fontId="38" fillId="2" borderId="0" xfId="0" applyFont="1" applyFill="1" applyProtection="1"/>
    <xf numFmtId="0" fontId="38" fillId="2" borderId="0" xfId="0" applyFont="1" applyFill="1"/>
    <xf numFmtId="0" fontId="38" fillId="4" borderId="6" xfId="0" applyFont="1" applyFill="1" applyBorder="1" applyProtection="1"/>
    <xf numFmtId="0" fontId="38" fillId="4" borderId="0" xfId="0" applyFont="1" applyFill="1" applyBorder="1" applyProtection="1"/>
    <xf numFmtId="0" fontId="38" fillId="4" borderId="7" xfId="0" applyFont="1" applyFill="1" applyBorder="1" applyProtection="1"/>
    <xf numFmtId="0" fontId="38" fillId="4" borderId="0" xfId="0" applyFont="1" applyFill="1" applyBorder="1" applyAlignment="1" applyProtection="1">
      <alignment horizontal="center"/>
    </xf>
    <xf numFmtId="0" fontId="15" fillId="3" borderId="2" xfId="0" applyFont="1" applyFill="1" applyBorder="1" applyAlignment="1" applyProtection="1">
      <alignment horizontal="center"/>
    </xf>
    <xf numFmtId="0" fontId="15" fillId="4" borderId="0" xfId="0" applyFont="1" applyFill="1" applyBorder="1" applyAlignment="1" applyProtection="1">
      <protection locked="0"/>
    </xf>
    <xf numFmtId="0" fontId="12" fillId="3" borderId="1" xfId="0" applyFont="1" applyFill="1" applyBorder="1" applyProtection="1"/>
    <xf numFmtId="0" fontId="12" fillId="3" borderId="2" xfId="0" applyFont="1" applyFill="1" applyBorder="1" applyProtection="1"/>
    <xf numFmtId="0" fontId="39" fillId="4" borderId="6"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39" fillId="4" borderId="0" xfId="0" applyFont="1" applyFill="1" applyBorder="1" applyAlignment="1" applyProtection="1">
      <alignment horizontal="center"/>
    </xf>
    <xf numFmtId="0" fontId="39" fillId="4" borderId="0" xfId="0" applyFont="1" applyFill="1" applyBorder="1" applyAlignment="1" applyProtection="1">
      <alignment horizontal="right"/>
    </xf>
    <xf numFmtId="0" fontId="39" fillId="4" borderId="7" xfId="0" applyFont="1" applyFill="1" applyBorder="1" applyProtection="1"/>
    <xf numFmtId="0" fontId="39" fillId="2" borderId="0" xfId="0" applyFont="1" applyFill="1" applyProtection="1"/>
    <xf numFmtId="0" fontId="39" fillId="4" borderId="6" xfId="0" applyFont="1" applyFill="1" applyBorder="1"/>
    <xf numFmtId="0" fontId="39" fillId="4" borderId="0" xfId="0" applyFont="1" applyFill="1" applyBorder="1"/>
    <xf numFmtId="0" fontId="39" fillId="4" borderId="7" xfId="0" applyFont="1" applyFill="1" applyBorder="1"/>
    <xf numFmtId="0" fontId="39" fillId="2" borderId="0" xfId="0" applyFont="1" applyFill="1"/>
    <xf numFmtId="0" fontId="40" fillId="4" borderId="6" xfId="0" applyFont="1" applyFill="1" applyBorder="1" applyProtection="1"/>
    <xf numFmtId="0" fontId="40" fillId="4" borderId="0" xfId="0" applyFont="1" applyFill="1" applyBorder="1" applyProtection="1"/>
    <xf numFmtId="0" fontId="40" fillId="4" borderId="7" xfId="0" applyFont="1" applyFill="1" applyBorder="1" applyProtection="1"/>
    <xf numFmtId="0" fontId="40" fillId="2" borderId="0" xfId="0" applyFont="1" applyFill="1" applyProtection="1"/>
    <xf numFmtId="0" fontId="40" fillId="2" borderId="0" xfId="0" applyFont="1" applyFill="1"/>
    <xf numFmtId="0" fontId="17" fillId="4" borderId="0" xfId="0" applyFont="1" applyFill="1" applyBorder="1" applyProtection="1"/>
    <xf numFmtId="0" fontId="30" fillId="2" borderId="0" xfId="0" applyFont="1" applyFill="1"/>
    <xf numFmtId="0" fontId="31" fillId="2" borderId="0" xfId="0" applyFont="1" applyFill="1" applyAlignment="1">
      <alignment horizontal="right"/>
    </xf>
    <xf numFmtId="0" fontId="41" fillId="2" borderId="0" xfId="0" applyFont="1" applyFill="1"/>
    <xf numFmtId="0" fontId="30" fillId="4" borderId="0" xfId="0" applyFont="1" applyFill="1"/>
    <xf numFmtId="0" fontId="30" fillId="4" borderId="0" xfId="0" applyFont="1" applyFill="1" applyBorder="1"/>
    <xf numFmtId="0" fontId="41" fillId="4" borderId="0" xfId="0" applyFont="1" applyFill="1" applyBorder="1"/>
    <xf numFmtId="0" fontId="41" fillId="4" borderId="0" xfId="0" applyFont="1" applyFill="1" applyBorder="1" applyAlignment="1">
      <alignment horizontal="right"/>
    </xf>
    <xf numFmtId="0" fontId="31" fillId="4" borderId="0" xfId="0" applyFont="1" applyFill="1" applyBorder="1"/>
    <xf numFmtId="0" fontId="31" fillId="4" borderId="0" xfId="0" applyFont="1" applyFill="1" applyBorder="1" applyAlignment="1">
      <alignment horizontal="right"/>
    </xf>
    <xf numFmtId="0" fontId="43" fillId="4" borderId="0" xfId="0" applyFont="1" applyFill="1" applyBorder="1"/>
    <xf numFmtId="0" fontId="30" fillId="3" borderId="0" xfId="0" applyFont="1" applyFill="1" applyBorder="1"/>
    <xf numFmtId="0" fontId="17" fillId="2" borderId="0" xfId="0" applyFont="1" applyFill="1" applyAlignment="1" applyProtection="1">
      <alignment horizontal="left"/>
    </xf>
    <xf numFmtId="167" fontId="15" fillId="2" borderId="0" xfId="3" applyNumberFormat="1" applyFont="1" applyFill="1" applyProtection="1"/>
    <xf numFmtId="167" fontId="15" fillId="2" borderId="0" xfId="3" applyNumberFormat="1" applyFont="1" applyFill="1" applyAlignment="1" applyProtection="1">
      <alignment horizontal="center"/>
    </xf>
    <xf numFmtId="167" fontId="15" fillId="2" borderId="0" xfId="3" applyNumberFormat="1" applyFont="1" applyFill="1"/>
    <xf numFmtId="168" fontId="15" fillId="4" borderId="7" xfId="0" applyNumberFormat="1" applyFont="1" applyFill="1" applyBorder="1" applyProtection="1"/>
    <xf numFmtId="168" fontId="16" fillId="4" borderId="7" xfId="0" applyNumberFormat="1" applyFont="1" applyFill="1" applyBorder="1" applyProtection="1"/>
    <xf numFmtId="168" fontId="12" fillId="3" borderId="8" xfId="0" applyNumberFormat="1" applyFont="1" applyFill="1" applyBorder="1" applyProtection="1"/>
    <xf numFmtId="168" fontId="15" fillId="2" borderId="0" xfId="0" applyNumberFormat="1" applyFont="1" applyFill="1" applyProtection="1"/>
    <xf numFmtId="168" fontId="15" fillId="3" borderId="8" xfId="0" applyNumberFormat="1" applyFont="1" applyFill="1" applyBorder="1" applyProtection="1"/>
    <xf numFmtId="168" fontId="12" fillId="3" borderId="2" xfId="0" applyNumberFormat="1" applyFont="1" applyFill="1" applyBorder="1"/>
    <xf numFmtId="168" fontId="15" fillId="2" borderId="0" xfId="0" applyNumberFormat="1" applyFont="1" applyFill="1"/>
    <xf numFmtId="168" fontId="15" fillId="2" borderId="0" xfId="3" applyNumberFormat="1" applyFont="1" applyFill="1" applyProtection="1"/>
    <xf numFmtId="168" fontId="19" fillId="2" borderId="0" xfId="3" applyNumberFormat="1" applyFont="1" applyFill="1" applyProtection="1"/>
    <xf numFmtId="168" fontId="15" fillId="2" borderId="0" xfId="3" applyNumberFormat="1" applyFont="1" applyFill="1" applyAlignment="1" applyProtection="1">
      <alignment horizontal="center"/>
    </xf>
    <xf numFmtId="168" fontId="19" fillId="2" borderId="0" xfId="3" applyNumberFormat="1" applyFont="1" applyFill="1" applyAlignment="1" applyProtection="1">
      <alignment horizontal="center"/>
    </xf>
    <xf numFmtId="168" fontId="15" fillId="2" borderId="0" xfId="3" applyNumberFormat="1" applyFont="1" applyFill="1"/>
    <xf numFmtId="168" fontId="19" fillId="2" borderId="0" xfId="3" applyNumberFormat="1" applyFont="1" applyFill="1"/>
    <xf numFmtId="168" fontId="19" fillId="2" borderId="0" xfId="0" applyNumberFormat="1" applyFont="1" applyFill="1"/>
    <xf numFmtId="168" fontId="19" fillId="2" borderId="0" xfId="0" applyNumberFormat="1" applyFont="1" applyFill="1" applyProtection="1"/>
    <xf numFmtId="0" fontId="44" fillId="4" borderId="0" xfId="0" applyFont="1" applyFill="1" applyBorder="1"/>
    <xf numFmtId="168" fontId="30" fillId="4" borderId="0" xfId="0" applyNumberFormat="1" applyFont="1" applyFill="1" applyBorder="1"/>
    <xf numFmtId="0" fontId="45" fillId="4" borderId="0" xfId="0" applyFont="1" applyFill="1" applyBorder="1"/>
    <xf numFmtId="168" fontId="46" fillId="4" borderId="0" xfId="3" applyNumberFormat="1" applyFont="1" applyFill="1" applyBorder="1"/>
    <xf numFmtId="168" fontId="46" fillId="4" borderId="0" xfId="0" applyNumberFormat="1" applyFont="1" applyFill="1" applyBorder="1"/>
    <xf numFmtId="168" fontId="30" fillId="4" borderId="0" xfId="3" applyNumberFormat="1" applyFont="1" applyFill="1" applyBorder="1"/>
    <xf numFmtId="167" fontId="30" fillId="4" borderId="0" xfId="3" applyNumberFormat="1" applyFont="1" applyFill="1" applyBorder="1"/>
    <xf numFmtId="0" fontId="47" fillId="4" borderId="0" xfId="1" applyFont="1" applyFill="1" applyBorder="1" applyAlignment="1" applyProtection="1"/>
    <xf numFmtId="0" fontId="48" fillId="4" borderId="6" xfId="0" applyFont="1" applyFill="1" applyBorder="1" applyProtection="1"/>
    <xf numFmtId="0" fontId="48" fillId="4" borderId="7" xfId="0" applyFont="1" applyFill="1" applyBorder="1" applyProtection="1"/>
    <xf numFmtId="0" fontId="48" fillId="2" borderId="0" xfId="0" applyFont="1" applyFill="1" applyProtection="1"/>
    <xf numFmtId="0" fontId="30" fillId="2" borderId="0" xfId="0" applyFont="1" applyFill="1" applyBorder="1" applyAlignment="1" applyProtection="1">
      <alignment horizontal="left"/>
    </xf>
    <xf numFmtId="49" fontId="30" fillId="2" borderId="0" xfId="0" applyNumberFormat="1" applyFont="1" applyFill="1" applyBorder="1" applyAlignment="1" applyProtection="1">
      <alignment horizontal="left"/>
    </xf>
    <xf numFmtId="0" fontId="11" fillId="4" borderId="4" xfId="0" applyFont="1" applyFill="1" applyBorder="1"/>
    <xf numFmtId="0" fontId="11" fillId="4" borderId="0" xfId="0" applyFont="1" applyFill="1" applyBorder="1"/>
    <xf numFmtId="0" fontId="50" fillId="4" borderId="0" xfId="0" applyFont="1" applyFill="1" applyBorder="1"/>
    <xf numFmtId="168" fontId="11" fillId="4" borderId="0" xfId="0" applyNumberFormat="1" applyFont="1" applyFill="1" applyBorder="1"/>
    <xf numFmtId="0" fontId="11" fillId="2" borderId="0" xfId="0" applyFont="1" applyFill="1"/>
    <xf numFmtId="0" fontId="12" fillId="2" borderId="0" xfId="0" applyFont="1" applyFill="1" applyBorder="1" applyProtection="1"/>
    <xf numFmtId="168" fontId="12" fillId="2" borderId="0" xfId="0" applyNumberFormat="1" applyFont="1" applyFill="1" applyBorder="1" applyProtection="1"/>
    <xf numFmtId="168" fontId="13" fillId="2" borderId="0" xfId="0" applyNumberFormat="1" applyFont="1" applyFill="1" applyBorder="1" applyAlignment="1" applyProtection="1">
      <alignment horizontal="right"/>
    </xf>
    <xf numFmtId="0" fontId="29" fillId="4" borderId="0" xfId="0" applyFont="1" applyFill="1" applyBorder="1" applyAlignment="1" applyProtection="1">
      <alignment horizontal="center"/>
    </xf>
    <xf numFmtId="0" fontId="29" fillId="4" borderId="0" xfId="0" applyFont="1" applyFill="1" applyBorder="1" applyAlignment="1" applyProtection="1">
      <alignment horizontal="right"/>
    </xf>
    <xf numFmtId="0" fontId="15" fillId="5" borderId="9" xfId="0" applyFont="1" applyFill="1" applyBorder="1" applyProtection="1"/>
    <xf numFmtId="0" fontId="15" fillId="5" borderId="10" xfId="0" applyFont="1" applyFill="1" applyBorder="1" applyProtection="1"/>
    <xf numFmtId="0" fontId="20" fillId="5" borderId="10" xfId="0" applyFont="1" applyFill="1" applyBorder="1" applyProtection="1"/>
    <xf numFmtId="0" fontId="15" fillId="5" borderId="10" xfId="0" applyFont="1" applyFill="1" applyBorder="1" applyAlignment="1" applyProtection="1">
      <alignment horizontal="left"/>
    </xf>
    <xf numFmtId="0" fontId="15" fillId="5" borderId="10" xfId="0" applyFont="1" applyFill="1" applyBorder="1" applyAlignment="1" applyProtection="1">
      <alignment horizontal="center"/>
    </xf>
    <xf numFmtId="0" fontId="15" fillId="5" borderId="10" xfId="0" applyFont="1" applyFill="1" applyBorder="1"/>
    <xf numFmtId="0" fontId="15" fillId="5" borderId="11" xfId="0" applyFont="1" applyFill="1" applyBorder="1" applyProtection="1"/>
    <xf numFmtId="0" fontId="15" fillId="5" borderId="12" xfId="0" applyFont="1" applyFill="1" applyBorder="1" applyProtection="1"/>
    <xf numFmtId="0" fontId="18" fillId="5" borderId="13" xfId="0" applyFont="1" applyFill="1" applyBorder="1" applyProtection="1"/>
    <xf numFmtId="0" fontId="20" fillId="5" borderId="13" xfId="0" applyFont="1" applyFill="1" applyBorder="1" applyProtection="1"/>
    <xf numFmtId="0" fontId="15" fillId="5" borderId="13" xfId="0" applyFont="1" applyFill="1" applyBorder="1" applyAlignment="1" applyProtection="1">
      <alignment horizontal="left"/>
    </xf>
    <xf numFmtId="0" fontId="15" fillId="5" borderId="13" xfId="0" applyFont="1" applyFill="1" applyBorder="1" applyAlignment="1" applyProtection="1">
      <alignment horizontal="center"/>
    </xf>
    <xf numFmtId="0" fontId="15" fillId="5" borderId="13" xfId="0" applyFont="1" applyFill="1" applyBorder="1" applyProtection="1"/>
    <xf numFmtId="0" fontId="15" fillId="5" borderId="13" xfId="0" applyFont="1" applyFill="1" applyBorder="1"/>
    <xf numFmtId="0" fontId="15" fillId="5" borderId="14" xfId="0" applyFont="1" applyFill="1" applyBorder="1" applyProtection="1"/>
    <xf numFmtId="0" fontId="16" fillId="5" borderId="12" xfId="0" applyFont="1" applyFill="1" applyBorder="1" applyProtection="1"/>
    <xf numFmtId="0" fontId="15" fillId="4" borderId="13" xfId="0" applyFont="1" applyFill="1" applyBorder="1" applyProtection="1">
      <protection locked="0"/>
    </xf>
    <xf numFmtId="0" fontId="12" fillId="4" borderId="13" xfId="0" applyFont="1" applyFill="1" applyBorder="1" applyAlignment="1" applyProtection="1">
      <alignment horizontal="center"/>
    </xf>
    <xf numFmtId="0" fontId="16" fillId="5" borderId="13" xfId="0" applyFont="1" applyFill="1" applyBorder="1" applyAlignment="1" applyProtection="1">
      <alignment horizontal="right"/>
    </xf>
    <xf numFmtId="0" fontId="15" fillId="4" borderId="13" xfId="0" applyFont="1" applyFill="1" applyBorder="1" applyAlignment="1" applyProtection="1">
      <alignment horizontal="center"/>
      <protection locked="0"/>
    </xf>
    <xf numFmtId="0" fontId="21" fillId="5" borderId="13" xfId="0" applyFont="1" applyFill="1" applyBorder="1" applyAlignment="1" applyProtection="1">
      <alignment horizontal="right"/>
    </xf>
    <xf numFmtId="0" fontId="21" fillId="5" borderId="13" xfId="0" applyFont="1" applyFill="1" applyBorder="1" applyProtection="1"/>
    <xf numFmtId="0" fontId="15" fillId="5" borderId="13" xfId="0" applyFont="1" applyFill="1" applyBorder="1" applyProtection="1">
      <protection locked="0"/>
    </xf>
    <xf numFmtId="0" fontId="16" fillId="5" borderId="13" xfId="0" applyFont="1" applyFill="1" applyBorder="1" applyProtection="1"/>
    <xf numFmtId="0" fontId="14" fillId="5" borderId="13" xfId="0" applyFont="1" applyFill="1" applyBorder="1" applyProtection="1"/>
    <xf numFmtId="168" fontId="24" fillId="5" borderId="13" xfId="0" applyNumberFormat="1" applyFont="1" applyFill="1" applyBorder="1" applyAlignment="1" applyProtection="1">
      <alignment horizontal="center"/>
    </xf>
    <xf numFmtId="4" fontId="15" fillId="5" borderId="13" xfId="0" applyNumberFormat="1" applyFont="1" applyFill="1" applyBorder="1" applyProtection="1"/>
    <xf numFmtId="0" fontId="22" fillId="5" borderId="13" xfId="0" applyFont="1" applyFill="1" applyBorder="1" applyAlignment="1" applyProtection="1">
      <alignment horizontal="center"/>
    </xf>
    <xf numFmtId="0" fontId="21" fillId="5" borderId="13" xfId="0" applyFont="1" applyFill="1" applyBorder="1" applyAlignment="1" applyProtection="1">
      <alignment horizontal="left"/>
    </xf>
    <xf numFmtId="168" fontId="15" fillId="7" borderId="13" xfId="0" applyNumberFormat="1" applyFont="1" applyFill="1" applyBorder="1" applyProtection="1"/>
    <xf numFmtId="171" fontId="15" fillId="4" borderId="13" xfId="0" applyNumberFormat="1" applyFont="1" applyFill="1" applyBorder="1" applyProtection="1">
      <protection locked="0"/>
    </xf>
    <xf numFmtId="171" fontId="15" fillId="5" borderId="13" xfId="0" applyNumberFormat="1" applyFont="1" applyFill="1" applyBorder="1" applyProtection="1">
      <protection locked="0"/>
    </xf>
    <xf numFmtId="0" fontId="15" fillId="4" borderId="13" xfId="0" applyFont="1" applyFill="1" applyBorder="1" applyAlignment="1" applyProtection="1">
      <alignment horizontal="left"/>
      <protection locked="0"/>
    </xf>
    <xf numFmtId="0" fontId="15" fillId="5" borderId="13" xfId="0" applyFont="1" applyFill="1" applyBorder="1" applyAlignment="1" applyProtection="1">
      <alignment horizontal="center"/>
      <protection locked="0"/>
    </xf>
    <xf numFmtId="9" fontId="15" fillId="5" borderId="13" xfId="0" applyNumberFormat="1" applyFont="1" applyFill="1" applyBorder="1" applyAlignment="1" applyProtection="1">
      <alignment horizontal="center"/>
    </xf>
    <xf numFmtId="10" fontId="15" fillId="7" borderId="13" xfId="0" applyNumberFormat="1" applyFont="1" applyFill="1" applyBorder="1" applyAlignment="1" applyProtection="1">
      <alignment horizontal="center"/>
    </xf>
    <xf numFmtId="10" fontId="15" fillId="5" borderId="13" xfId="0" applyNumberFormat="1" applyFont="1" applyFill="1" applyBorder="1" applyAlignment="1" applyProtection="1">
      <alignment horizontal="center"/>
    </xf>
    <xf numFmtId="1" fontId="15" fillId="7" borderId="13" xfId="0" applyNumberFormat="1" applyFont="1" applyFill="1" applyBorder="1" applyAlignment="1" applyProtection="1">
      <alignment horizontal="center"/>
    </xf>
    <xf numFmtId="0" fontId="16" fillId="5" borderId="13" xfId="0" applyFont="1" applyFill="1" applyBorder="1" applyAlignment="1" applyProtection="1">
      <alignment horizontal="left"/>
    </xf>
    <xf numFmtId="0" fontId="16" fillId="5" borderId="13" xfId="0" applyFont="1" applyFill="1" applyBorder="1" applyAlignment="1" applyProtection="1">
      <alignment horizontal="center"/>
    </xf>
    <xf numFmtId="168" fontId="16" fillId="2" borderId="13" xfId="0" applyNumberFormat="1" applyFont="1" applyFill="1" applyBorder="1" applyProtection="1"/>
    <xf numFmtId="4" fontId="16" fillId="5" borderId="13" xfId="0" applyNumberFormat="1" applyFont="1" applyFill="1" applyBorder="1" applyProtection="1"/>
    <xf numFmtId="0" fontId="22" fillId="5" borderId="13" xfId="0" applyFont="1" applyFill="1" applyBorder="1" applyProtection="1"/>
    <xf numFmtId="0" fontId="16" fillId="5" borderId="14" xfId="0" applyFont="1" applyFill="1" applyBorder="1" applyProtection="1"/>
    <xf numFmtId="168" fontId="15" fillId="5" borderId="13" xfId="0" applyNumberFormat="1" applyFont="1" applyFill="1" applyBorder="1" applyProtection="1"/>
    <xf numFmtId="0" fontId="15" fillId="5" borderId="13" xfId="0" applyFont="1" applyFill="1" applyBorder="1" applyAlignment="1">
      <alignment horizontal="left"/>
    </xf>
    <xf numFmtId="0" fontId="15" fillId="5" borderId="13" xfId="0" applyFont="1" applyFill="1" applyBorder="1" applyAlignment="1">
      <alignment horizontal="center"/>
    </xf>
    <xf numFmtId="168" fontId="21" fillId="5" borderId="13" xfId="0" applyNumberFormat="1" applyFont="1" applyFill="1" applyBorder="1" applyProtection="1"/>
    <xf numFmtId="2" fontId="21" fillId="5" borderId="13" xfId="0" applyNumberFormat="1" applyFont="1" applyFill="1" applyBorder="1" applyProtection="1"/>
    <xf numFmtId="0" fontId="19" fillId="5" borderId="12" xfId="0" applyFont="1" applyFill="1" applyBorder="1" applyProtection="1"/>
    <xf numFmtId="0" fontId="19" fillId="5" borderId="13" xfId="0" applyFont="1" applyFill="1" applyBorder="1" applyAlignment="1" applyProtection="1">
      <alignment horizontal="left"/>
    </xf>
    <xf numFmtId="0" fontId="19" fillId="5" borderId="13" xfId="0" applyFont="1" applyFill="1" applyBorder="1" applyProtection="1"/>
    <xf numFmtId="0" fontId="19" fillId="5" borderId="13" xfId="0" applyFont="1" applyFill="1" applyBorder="1" applyAlignment="1" applyProtection="1">
      <alignment horizontal="center"/>
    </xf>
    <xf numFmtId="168" fontId="19" fillId="7" borderId="13" xfId="0" applyNumberFormat="1" applyFont="1" applyFill="1" applyBorder="1" applyProtection="1"/>
    <xf numFmtId="4" fontId="19" fillId="5" borderId="13" xfId="0" applyNumberFormat="1" applyFont="1" applyFill="1" applyBorder="1" applyProtection="1"/>
    <xf numFmtId="0" fontId="23" fillId="5" borderId="13" xfId="0" applyFont="1" applyFill="1" applyBorder="1" applyProtection="1"/>
    <xf numFmtId="0" fontId="19" fillId="5" borderId="14" xfId="0" applyFont="1" applyFill="1" applyBorder="1" applyProtection="1"/>
    <xf numFmtId="0" fontId="15" fillId="5" borderId="15" xfId="0" applyFont="1" applyFill="1" applyBorder="1" applyProtection="1"/>
    <xf numFmtId="0" fontId="15" fillId="5" borderId="16" xfId="0" applyFont="1" applyFill="1" applyBorder="1" applyProtection="1"/>
    <xf numFmtId="0" fontId="16" fillId="5" borderId="16" xfId="0" applyFont="1" applyFill="1" applyBorder="1" applyProtection="1"/>
    <xf numFmtId="0" fontId="15" fillId="5" borderId="16" xfId="0" applyFont="1" applyFill="1" applyBorder="1" applyAlignment="1" applyProtection="1">
      <alignment horizontal="left"/>
    </xf>
    <xf numFmtId="0" fontId="15" fillId="5" borderId="16" xfId="0" applyFont="1" applyFill="1" applyBorder="1" applyAlignment="1" applyProtection="1">
      <alignment horizontal="center"/>
    </xf>
    <xf numFmtId="1" fontId="15" fillId="5" borderId="16" xfId="0" applyNumberFormat="1" applyFont="1" applyFill="1" applyBorder="1" applyProtection="1"/>
    <xf numFmtId="0" fontId="21" fillId="5" borderId="16" xfId="0" applyFont="1" applyFill="1" applyBorder="1" applyProtection="1"/>
    <xf numFmtId="1" fontId="15" fillId="5" borderId="17"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0" fontId="17" fillId="5" borderId="13" xfId="0" applyFont="1" applyFill="1" applyBorder="1" applyAlignment="1" applyProtection="1">
      <alignment horizontal="left"/>
    </xf>
    <xf numFmtId="0" fontId="17" fillId="5" borderId="13" xfId="0" applyFont="1" applyFill="1" applyBorder="1" applyAlignment="1" applyProtection="1">
      <alignment horizontal="center"/>
    </xf>
    <xf numFmtId="0" fontId="24" fillId="5" borderId="13" xfId="0" applyFont="1" applyFill="1" applyBorder="1" applyAlignment="1" applyProtection="1">
      <alignment horizontal="center"/>
    </xf>
    <xf numFmtId="9" fontId="24" fillId="5" borderId="13" xfId="0" applyNumberFormat="1" applyFont="1" applyFill="1" applyBorder="1" applyAlignment="1" applyProtection="1">
      <alignment horizontal="center"/>
    </xf>
    <xf numFmtId="0" fontId="17" fillId="5" borderId="14" xfId="0" applyFont="1" applyFill="1" applyBorder="1" applyProtection="1"/>
    <xf numFmtId="168" fontId="16" fillId="5" borderId="13" xfId="0" applyNumberFormat="1" applyFont="1" applyFill="1" applyBorder="1" applyAlignment="1" applyProtection="1">
      <alignment horizontal="center"/>
    </xf>
    <xf numFmtId="177" fontId="34" fillId="5" borderId="13" xfId="3" applyNumberFormat="1" applyFont="1" applyFill="1" applyBorder="1" applyAlignment="1" applyProtection="1">
      <alignment horizontal="center"/>
    </xf>
    <xf numFmtId="178" fontId="34" fillId="5" borderId="13" xfId="3" applyNumberFormat="1" applyFont="1" applyFill="1" applyBorder="1" applyAlignment="1" applyProtection="1">
      <alignment horizontal="center"/>
    </xf>
    <xf numFmtId="10" fontId="19" fillId="7" borderId="13" xfId="0" applyNumberFormat="1" applyFont="1" applyFill="1" applyBorder="1" applyAlignment="1" applyProtection="1">
      <alignment horizontal="center"/>
    </xf>
    <xf numFmtId="0" fontId="15" fillId="4" borderId="13" xfId="2" applyNumberFormat="1" applyFont="1" applyFill="1" applyBorder="1" applyAlignment="1" applyProtection="1">
      <alignment horizontal="center"/>
      <protection locked="0"/>
    </xf>
    <xf numFmtId="0" fontId="15" fillId="5" borderId="13" xfId="0" applyFont="1" applyFill="1" applyBorder="1" applyAlignment="1" applyProtection="1">
      <alignment horizontal="right"/>
    </xf>
    <xf numFmtId="10" fontId="19" fillId="5" borderId="13" xfId="0" applyNumberFormat="1" applyFont="1" applyFill="1" applyBorder="1" applyAlignment="1" applyProtection="1">
      <alignment horizontal="center"/>
    </xf>
    <xf numFmtId="168" fontId="16" fillId="5" borderId="13" xfId="0" applyNumberFormat="1" applyFont="1" applyFill="1" applyBorder="1" applyProtection="1"/>
    <xf numFmtId="10" fontId="27" fillId="2" borderId="13" xfId="0" applyNumberFormat="1" applyFont="1" applyFill="1" applyBorder="1" applyAlignment="1" applyProtection="1">
      <alignment horizontal="center"/>
    </xf>
    <xf numFmtId="10" fontId="15" fillId="5" borderId="13" xfId="2" applyNumberFormat="1" applyFont="1" applyFill="1" applyBorder="1" applyProtection="1"/>
    <xf numFmtId="10" fontId="15" fillId="5" borderId="13" xfId="0" applyNumberFormat="1" applyFont="1" applyFill="1" applyBorder="1" applyProtection="1"/>
    <xf numFmtId="10" fontId="29" fillId="5" borderId="13" xfId="0" applyNumberFormat="1" applyFont="1" applyFill="1" applyBorder="1" applyProtection="1"/>
    <xf numFmtId="0" fontId="48" fillId="5" borderId="12" xfId="0" applyFont="1" applyFill="1" applyBorder="1" applyProtection="1"/>
    <xf numFmtId="0" fontId="48" fillId="5" borderId="13" xfId="0" applyFont="1" applyFill="1" applyBorder="1" applyProtection="1"/>
    <xf numFmtId="0" fontId="48" fillId="5" borderId="13" xfId="0" applyFont="1" applyFill="1" applyBorder="1" applyAlignment="1" applyProtection="1">
      <alignment horizontal="left"/>
    </xf>
    <xf numFmtId="0" fontId="48" fillId="5" borderId="13" xfId="0" applyFont="1" applyFill="1" applyBorder="1" applyAlignment="1" applyProtection="1">
      <alignment horizontal="center"/>
    </xf>
    <xf numFmtId="10" fontId="48" fillId="5" borderId="13" xfId="0" applyNumberFormat="1" applyFont="1" applyFill="1" applyBorder="1" applyProtection="1"/>
    <xf numFmtId="0" fontId="48" fillId="5" borderId="14" xfId="0" applyFont="1" applyFill="1" applyBorder="1" applyProtection="1"/>
    <xf numFmtId="168" fontId="15" fillId="5" borderId="16" xfId="0" applyNumberFormat="1" applyFont="1" applyFill="1" applyBorder="1" applyProtection="1"/>
    <xf numFmtId="0" fontId="15" fillId="5" borderId="17" xfId="0" applyFont="1" applyFill="1" applyBorder="1" applyProtection="1"/>
    <xf numFmtId="0" fontId="16" fillId="5" borderId="10" xfId="0" applyFont="1" applyFill="1" applyBorder="1" applyProtection="1"/>
    <xf numFmtId="1" fontId="24" fillId="5" borderId="13" xfId="0" applyNumberFormat="1" applyFont="1" applyFill="1" applyBorder="1" applyAlignment="1" applyProtection="1">
      <alignment horizontal="center"/>
    </xf>
    <xf numFmtId="1" fontId="16" fillId="5" borderId="13" xfId="0" applyNumberFormat="1" applyFont="1" applyFill="1" applyBorder="1" applyProtection="1"/>
    <xf numFmtId="0" fontId="16" fillId="5" borderId="13" xfId="0" applyFont="1" applyFill="1" applyBorder="1" applyAlignment="1" applyProtection="1"/>
    <xf numFmtId="168" fontId="16" fillId="7" borderId="13" xfId="0" applyNumberFormat="1" applyFont="1" applyFill="1" applyBorder="1" applyProtection="1"/>
    <xf numFmtId="0" fontId="19" fillId="5" borderId="13" xfId="0" applyFont="1" applyFill="1" applyBorder="1" applyAlignment="1" applyProtection="1"/>
    <xf numFmtId="4" fontId="19" fillId="5" borderId="13" xfId="0" applyNumberFormat="1" applyFont="1" applyFill="1" applyBorder="1" applyAlignment="1" applyProtection="1">
      <alignment horizontal="center"/>
    </xf>
    <xf numFmtId="168" fontId="19" fillId="7" borderId="13" xfId="0" applyNumberFormat="1" applyFont="1" applyFill="1" applyBorder="1" applyAlignment="1" applyProtection="1">
      <alignment horizontal="left"/>
    </xf>
    <xf numFmtId="1" fontId="19" fillId="5" borderId="13" xfId="0" applyNumberFormat="1" applyFont="1" applyFill="1" applyBorder="1" applyProtection="1"/>
    <xf numFmtId="0" fontId="27" fillId="5" borderId="12" xfId="0" applyFont="1" applyFill="1" applyBorder="1" applyProtection="1"/>
    <xf numFmtId="0" fontId="27" fillId="5" borderId="13" xfId="0" applyFont="1" applyFill="1" applyBorder="1" applyAlignment="1" applyProtection="1"/>
    <xf numFmtId="0" fontId="27" fillId="5" borderId="13" xfId="0" applyFont="1" applyFill="1" applyBorder="1" applyProtection="1"/>
    <xf numFmtId="0" fontId="27" fillId="5" borderId="13" xfId="0" applyFont="1" applyFill="1" applyBorder="1" applyAlignment="1" applyProtection="1">
      <alignment horizontal="left"/>
    </xf>
    <xf numFmtId="0" fontId="27" fillId="5" borderId="13" xfId="0" applyFont="1" applyFill="1" applyBorder="1" applyAlignment="1" applyProtection="1">
      <alignment horizontal="center"/>
    </xf>
    <xf numFmtId="4" fontId="27" fillId="5" borderId="13" xfId="0" applyNumberFormat="1" applyFont="1" applyFill="1" applyBorder="1" applyAlignment="1" applyProtection="1">
      <alignment horizontal="center"/>
    </xf>
    <xf numFmtId="168" fontId="49" fillId="2" borderId="13" xfId="0" applyNumberFormat="1" applyFont="1" applyFill="1" applyBorder="1" applyAlignment="1" applyProtection="1">
      <alignment horizontal="right"/>
    </xf>
    <xf numFmtId="4" fontId="27" fillId="5" borderId="13" xfId="0" applyNumberFormat="1" applyFont="1" applyFill="1" applyBorder="1" applyProtection="1"/>
    <xf numFmtId="0" fontId="28" fillId="5" borderId="13" xfId="0" applyFont="1" applyFill="1" applyBorder="1" applyProtection="1"/>
    <xf numFmtId="0" fontId="27" fillId="5" borderId="14" xfId="0" applyFont="1" applyFill="1" applyBorder="1" applyProtection="1"/>
    <xf numFmtId="168" fontId="27" fillId="5" borderId="13" xfId="0" applyNumberFormat="1" applyFont="1" applyFill="1" applyBorder="1" applyAlignment="1" applyProtection="1">
      <alignment horizontal="left"/>
    </xf>
    <xf numFmtId="0" fontId="15" fillId="5" borderId="13" xfId="0" applyFont="1" applyFill="1" applyBorder="1" applyAlignment="1" applyProtection="1"/>
    <xf numFmtId="0" fontId="16" fillId="5" borderId="15" xfId="0" applyFont="1" applyFill="1" applyBorder="1" applyAlignment="1" applyProtection="1">
      <alignment horizontal="right"/>
    </xf>
    <xf numFmtId="0" fontId="16" fillId="5" borderId="16" xfId="0" applyFont="1" applyFill="1" applyBorder="1" applyAlignment="1" applyProtection="1">
      <alignment horizontal="right"/>
    </xf>
    <xf numFmtId="0" fontId="16" fillId="5" borderId="12" xfId="0" applyFont="1" applyFill="1" applyBorder="1" applyAlignment="1" applyProtection="1">
      <alignment horizontal="right"/>
    </xf>
    <xf numFmtId="0" fontId="18" fillId="5" borderId="12" xfId="0" applyFont="1" applyFill="1" applyBorder="1" applyProtection="1"/>
    <xf numFmtId="0" fontId="18" fillId="5" borderId="13" xfId="0" applyFont="1" applyFill="1" applyBorder="1" applyAlignment="1" applyProtection="1">
      <alignment horizontal="left"/>
    </xf>
    <xf numFmtId="0" fontId="18" fillId="5" borderId="13" xfId="0" applyFont="1" applyFill="1" applyBorder="1" applyAlignment="1" applyProtection="1">
      <alignment horizontal="center"/>
    </xf>
    <xf numFmtId="168" fontId="24" fillId="5" borderId="13" xfId="0" applyNumberFormat="1" applyFont="1" applyFill="1" applyBorder="1" applyAlignment="1" applyProtection="1">
      <alignment horizontal="right"/>
    </xf>
    <xf numFmtId="4" fontId="18" fillId="5" borderId="13" xfId="0" applyNumberFormat="1" applyFont="1" applyFill="1" applyBorder="1" applyProtection="1"/>
    <xf numFmtId="0" fontId="18" fillId="5" borderId="14" xfId="0" applyFont="1" applyFill="1" applyBorder="1" applyProtection="1"/>
    <xf numFmtId="168" fontId="16" fillId="2" borderId="13" xfId="3" applyNumberFormat="1" applyFont="1" applyFill="1" applyBorder="1" applyAlignment="1" applyProtection="1">
      <alignment horizontal="right"/>
    </xf>
    <xf numFmtId="168" fontId="16" fillId="5" borderId="13" xfId="0" applyNumberFormat="1" applyFont="1" applyFill="1" applyBorder="1" applyAlignment="1" applyProtection="1">
      <alignment horizontal="right"/>
    </xf>
    <xf numFmtId="0" fontId="15" fillId="5" borderId="9" xfId="0" applyFont="1" applyFill="1" applyBorder="1"/>
    <xf numFmtId="0" fontId="11" fillId="5" borderId="11" xfId="0" applyFont="1" applyFill="1" applyBorder="1"/>
    <xf numFmtId="0" fontId="15" fillId="5" borderId="12" xfId="0" applyFont="1" applyFill="1" applyBorder="1"/>
    <xf numFmtId="0" fontId="18" fillId="5" borderId="13" xfId="0" applyFont="1" applyFill="1" applyBorder="1"/>
    <xf numFmtId="0" fontId="11" fillId="5" borderId="14" xfId="0" applyFont="1" applyFill="1" applyBorder="1"/>
    <xf numFmtId="0" fontId="15" fillId="4" borderId="13" xfId="0" applyFont="1" applyFill="1" applyBorder="1" applyAlignment="1" applyProtection="1">
      <protection locked="0"/>
    </xf>
    <xf numFmtId="0" fontId="15" fillId="5" borderId="13" xfId="0" applyFont="1" applyFill="1" applyBorder="1" applyAlignment="1" applyProtection="1">
      <protection locked="0"/>
    </xf>
    <xf numFmtId="0" fontId="15" fillId="5" borderId="13" xfId="0" applyFont="1" applyFill="1" applyBorder="1" applyAlignment="1" applyProtection="1">
      <alignment horizontal="left"/>
      <protection locked="0"/>
    </xf>
    <xf numFmtId="0" fontId="16" fillId="5" borderId="12" xfId="0" applyFont="1" applyFill="1" applyBorder="1"/>
    <xf numFmtId="0" fontId="16" fillId="5" borderId="13" xfId="0" applyFont="1" applyFill="1" applyBorder="1"/>
    <xf numFmtId="0" fontId="14" fillId="5" borderId="14" xfId="0" applyFont="1" applyFill="1" applyBorder="1"/>
    <xf numFmtId="0" fontId="15" fillId="5" borderId="13" xfId="0" applyFont="1" applyFill="1" applyBorder="1" applyAlignment="1">
      <alignment horizontal="right"/>
    </xf>
    <xf numFmtId="168" fontId="15" fillId="5" borderId="13" xfId="0" applyNumberFormat="1" applyFont="1" applyFill="1" applyBorder="1" applyAlignment="1">
      <alignment horizontal="center"/>
    </xf>
    <xf numFmtId="168" fontId="15" fillId="7" borderId="13" xfId="0" applyNumberFormat="1" applyFont="1" applyFill="1" applyBorder="1" applyAlignment="1">
      <alignment horizontal="center"/>
    </xf>
    <xf numFmtId="168" fontId="15" fillId="5" borderId="13" xfId="0" applyNumberFormat="1" applyFont="1" applyFill="1" applyBorder="1" applyAlignment="1">
      <alignment horizontal="right"/>
    </xf>
    <xf numFmtId="168" fontId="15" fillId="7" borderId="13" xfId="0" applyNumberFormat="1" applyFont="1" applyFill="1" applyBorder="1" applyAlignment="1">
      <alignment horizontal="right"/>
    </xf>
    <xf numFmtId="0" fontId="15" fillId="5" borderId="15" xfId="0" applyFont="1" applyFill="1" applyBorder="1"/>
    <xf numFmtId="0" fontId="15" fillId="5" borderId="16" xfId="0" applyFont="1" applyFill="1" applyBorder="1"/>
    <xf numFmtId="168" fontId="15" fillId="5" borderId="16" xfId="0" applyNumberFormat="1" applyFont="1" applyFill="1" applyBorder="1" applyAlignment="1">
      <alignment horizontal="right"/>
    </xf>
    <xf numFmtId="0" fontId="11" fillId="5" borderId="17" xfId="0" applyFont="1" applyFill="1" applyBorder="1"/>
    <xf numFmtId="0" fontId="34" fillId="5" borderId="13" xfId="0" applyFont="1" applyFill="1" applyBorder="1" applyAlignment="1">
      <alignment horizontal="center"/>
    </xf>
    <xf numFmtId="0" fontId="16" fillId="5" borderId="13" xfId="0" applyFont="1" applyFill="1" applyBorder="1" applyAlignment="1">
      <alignment horizontal="center"/>
    </xf>
    <xf numFmtId="0" fontId="14" fillId="5" borderId="14" xfId="0" applyFont="1" applyFill="1" applyBorder="1" applyAlignment="1">
      <alignment horizontal="center"/>
    </xf>
    <xf numFmtId="0" fontId="17" fillId="5" borderId="13" xfId="0" applyFont="1" applyFill="1" applyBorder="1"/>
    <xf numFmtId="0" fontId="17" fillId="5" borderId="13" xfId="0" applyFont="1" applyFill="1" applyBorder="1" applyAlignment="1">
      <alignment horizontal="center"/>
    </xf>
    <xf numFmtId="0" fontId="11" fillId="5" borderId="14" xfId="0" applyFont="1" applyFill="1" applyBorder="1" applyAlignment="1">
      <alignment horizontal="center"/>
    </xf>
    <xf numFmtId="0" fontId="15" fillId="7" borderId="13" xfId="0" applyFont="1" applyFill="1" applyBorder="1" applyAlignment="1">
      <alignment horizontal="center"/>
    </xf>
    <xf numFmtId="176" fontId="15" fillId="7" borderId="13" xfId="0" applyNumberFormat="1" applyFont="1" applyFill="1" applyBorder="1" applyAlignment="1">
      <alignment horizontal="center"/>
    </xf>
    <xf numFmtId="1" fontId="15" fillId="4" borderId="13" xfId="0" applyNumberFormat="1" applyFont="1" applyFill="1" applyBorder="1" applyAlignment="1" applyProtection="1">
      <alignment horizontal="center"/>
      <protection locked="0"/>
    </xf>
    <xf numFmtId="10" fontId="15" fillId="5" borderId="13" xfId="0" applyNumberFormat="1" applyFont="1" applyFill="1" applyBorder="1" applyAlignment="1">
      <alignment horizontal="center"/>
    </xf>
    <xf numFmtId="10" fontId="15" fillId="7" borderId="13" xfId="0" applyNumberFormat="1" applyFont="1" applyFill="1" applyBorder="1" applyAlignment="1">
      <alignment horizontal="center"/>
    </xf>
    <xf numFmtId="0" fontId="35" fillId="5" borderId="13" xfId="0" applyFont="1" applyFill="1" applyBorder="1" applyAlignment="1">
      <alignment horizontal="center"/>
    </xf>
    <xf numFmtId="0" fontId="11" fillId="5" borderId="14" xfId="0" applyFont="1" applyFill="1" applyBorder="1" applyAlignment="1" applyProtection="1">
      <alignment horizontal="center"/>
    </xf>
    <xf numFmtId="168" fontId="15" fillId="5" borderId="13" xfId="0" applyNumberFormat="1" applyFont="1" applyFill="1" applyBorder="1" applyAlignment="1" applyProtection="1">
      <alignment horizontal="center"/>
    </xf>
    <xf numFmtId="168" fontId="15" fillId="7" borderId="13" xfId="0" applyNumberFormat="1" applyFont="1" applyFill="1" applyBorder="1" applyAlignment="1" applyProtection="1">
      <alignment horizontal="center"/>
    </xf>
    <xf numFmtId="168" fontId="51" fillId="5" borderId="14" xfId="0" applyNumberFormat="1" applyFont="1" applyFill="1" applyBorder="1" applyAlignment="1" applyProtection="1">
      <alignment horizontal="center"/>
    </xf>
    <xf numFmtId="168" fontId="51" fillId="5" borderId="14" xfId="0" applyNumberFormat="1" applyFont="1" applyFill="1" applyBorder="1" applyAlignment="1">
      <alignment horizontal="center"/>
    </xf>
    <xf numFmtId="0" fontId="51" fillId="5" borderId="14" xfId="0" applyFont="1" applyFill="1" applyBorder="1" applyAlignment="1">
      <alignment horizontal="center"/>
    </xf>
    <xf numFmtId="10" fontId="16" fillId="5" borderId="13" xfId="0" applyNumberFormat="1" applyFont="1" applyFill="1" applyBorder="1" applyAlignment="1">
      <alignment horizontal="center"/>
    </xf>
    <xf numFmtId="168" fontId="16" fillId="2" borderId="13" xfId="0" applyNumberFormat="1" applyFont="1" applyFill="1" applyBorder="1" applyAlignment="1">
      <alignment horizontal="center"/>
    </xf>
    <xf numFmtId="0" fontId="49" fillId="5" borderId="14" xfId="0" applyFont="1" applyFill="1" applyBorder="1" applyAlignment="1">
      <alignment horizontal="center"/>
    </xf>
    <xf numFmtId="0" fontId="19" fillId="5" borderId="13" xfId="0" applyFont="1" applyFill="1" applyBorder="1"/>
    <xf numFmtId="0" fontId="19" fillId="5" borderId="13" xfId="0" applyFont="1" applyFill="1" applyBorder="1" applyAlignment="1">
      <alignment horizontal="center"/>
    </xf>
    <xf numFmtId="168" fontId="19" fillId="7" borderId="13" xfId="0" applyNumberFormat="1" applyFont="1" applyFill="1" applyBorder="1" applyAlignment="1">
      <alignment horizontal="center"/>
    </xf>
    <xf numFmtId="174" fontId="16" fillId="5" borderId="13" xfId="0" applyNumberFormat="1" applyFont="1" applyFill="1" applyBorder="1" applyAlignment="1" applyProtection="1">
      <alignment horizontal="center"/>
      <protection locked="0"/>
    </xf>
    <xf numFmtId="0" fontId="51" fillId="5" borderId="13" xfId="0" applyFont="1" applyFill="1" applyBorder="1"/>
    <xf numFmtId="168" fontId="51" fillId="5" borderId="13" xfId="0" applyNumberFormat="1" applyFont="1" applyFill="1" applyBorder="1" applyAlignment="1">
      <alignment horizontal="center"/>
    </xf>
    <xf numFmtId="168" fontId="11" fillId="5" borderId="14" xfId="0" applyNumberFormat="1" applyFont="1" applyFill="1" applyBorder="1"/>
    <xf numFmtId="168" fontId="36" fillId="5" borderId="16" xfId="0" applyNumberFormat="1" applyFont="1" applyFill="1" applyBorder="1" applyAlignment="1">
      <alignment horizontal="center"/>
    </xf>
    <xf numFmtId="168" fontId="11" fillId="5" borderId="17" xfId="0" applyNumberFormat="1" applyFont="1" applyFill="1" applyBorder="1"/>
    <xf numFmtId="168" fontId="15" fillId="5" borderId="10" xfId="0" applyNumberFormat="1" applyFont="1" applyFill="1" applyBorder="1"/>
    <xf numFmtId="0" fontId="16" fillId="5" borderId="12" xfId="0" applyFont="1" applyFill="1" applyBorder="1" applyAlignment="1">
      <alignment horizontal="right"/>
    </xf>
    <xf numFmtId="0" fontId="15" fillId="5" borderId="12" xfId="0" applyFont="1" applyFill="1" applyBorder="1" applyAlignment="1">
      <alignment horizontal="right"/>
    </xf>
    <xf numFmtId="168" fontId="15" fillId="5" borderId="13" xfId="0" applyNumberFormat="1" applyFont="1" applyFill="1" applyBorder="1"/>
    <xf numFmtId="168" fontId="15" fillId="5" borderId="13" xfId="0" applyNumberFormat="1" applyFont="1" applyFill="1" applyBorder="1" applyAlignment="1" applyProtection="1">
      <protection locked="0"/>
    </xf>
    <xf numFmtId="3" fontId="15" fillId="5" borderId="13" xfId="0" applyNumberFormat="1" applyFont="1" applyFill="1" applyBorder="1" applyProtection="1">
      <protection locked="0"/>
    </xf>
    <xf numFmtId="3" fontId="15" fillId="4" borderId="13" xfId="0" applyNumberFormat="1" applyFont="1" applyFill="1" applyBorder="1" applyAlignment="1" applyProtection="1">
      <alignment horizontal="center"/>
      <protection locked="0"/>
    </xf>
    <xf numFmtId="168" fontId="29" fillId="5" borderId="13" xfId="0" applyNumberFormat="1" applyFont="1" applyFill="1" applyBorder="1"/>
    <xf numFmtId="0" fontId="37" fillId="5" borderId="13" xfId="0" applyFont="1" applyFill="1" applyBorder="1"/>
    <xf numFmtId="174" fontId="15" fillId="5" borderId="13" xfId="0" applyNumberFormat="1" applyFont="1" applyFill="1" applyBorder="1" applyProtection="1">
      <protection locked="0"/>
    </xf>
    <xf numFmtId="174" fontId="15" fillId="4" borderId="13" xfId="0" applyNumberFormat="1" applyFont="1" applyFill="1" applyBorder="1" applyAlignment="1" applyProtection="1">
      <alignment horizontal="center"/>
      <protection locked="0"/>
    </xf>
    <xf numFmtId="174" fontId="15" fillId="7" borderId="13" xfId="0" applyNumberFormat="1" applyFont="1"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3" fontId="15" fillId="5" borderId="13" xfId="0" applyNumberFormat="1" applyFont="1" applyFill="1" applyBorder="1"/>
    <xf numFmtId="3" fontId="15" fillId="7" borderId="13" xfId="0" applyNumberFormat="1" applyFont="1" applyFill="1" applyBorder="1" applyAlignment="1">
      <alignment horizontal="center"/>
    </xf>
    <xf numFmtId="167" fontId="15" fillId="5" borderId="13" xfId="0" applyNumberFormat="1" applyFont="1" applyFill="1" applyBorder="1" applyProtection="1">
      <protection locked="0"/>
    </xf>
    <xf numFmtId="167" fontId="15" fillId="7" borderId="13" xfId="0" applyNumberFormat="1" applyFont="1" applyFill="1" applyBorder="1" applyAlignment="1" applyProtection="1">
      <alignment horizontal="center"/>
      <protection locked="0"/>
    </xf>
    <xf numFmtId="167" fontId="16" fillId="5" borderId="13" xfId="0" applyNumberFormat="1" applyFont="1" applyFill="1" applyBorder="1"/>
    <xf numFmtId="167" fontId="16" fillId="2" borderId="13" xfId="0" applyNumberFormat="1" applyFont="1" applyFill="1" applyBorder="1" applyAlignment="1">
      <alignment horizontal="center"/>
    </xf>
    <xf numFmtId="168" fontId="36" fillId="5" borderId="13" xfId="0" applyNumberFormat="1" applyFont="1" applyFill="1" applyBorder="1"/>
    <xf numFmtId="0" fontId="42" fillId="5" borderId="13" xfId="0" applyFont="1" applyFill="1" applyBorder="1"/>
    <xf numFmtId="168" fontId="15" fillId="5" borderId="16" xfId="0" applyNumberFormat="1" applyFont="1" applyFill="1" applyBorder="1"/>
    <xf numFmtId="0" fontId="29" fillId="5" borderId="13" xfId="0" applyFont="1" applyFill="1" applyBorder="1" applyAlignment="1" applyProtection="1">
      <alignment horizontal="right"/>
    </xf>
    <xf numFmtId="0" fontId="29" fillId="5" borderId="13" xfId="0" applyFont="1" applyFill="1" applyBorder="1" applyAlignment="1" applyProtection="1">
      <alignment horizontal="center"/>
    </xf>
    <xf numFmtId="171" fontId="15" fillId="4" borderId="13" xfId="0" applyNumberFormat="1" applyFont="1" applyFill="1" applyBorder="1" applyAlignment="1" applyProtection="1">
      <alignment horizontal="center"/>
      <protection locked="0"/>
    </xf>
    <xf numFmtId="0" fontId="15" fillId="5" borderId="14" xfId="0" applyFont="1" applyFill="1" applyBorder="1"/>
    <xf numFmtId="0" fontId="15" fillId="5" borderId="17" xfId="0" applyFont="1" applyFill="1" applyBorder="1"/>
    <xf numFmtId="0" fontId="15" fillId="5" borderId="11" xfId="0" applyFont="1" applyFill="1" applyBorder="1"/>
    <xf numFmtId="0" fontId="15" fillId="7" borderId="13" xfId="0" applyFont="1" applyFill="1" applyBorder="1" applyAlignment="1" applyProtection="1">
      <alignment horizontal="center"/>
    </xf>
    <xf numFmtId="167" fontId="15" fillId="7" borderId="13" xfId="0" applyNumberFormat="1" applyFont="1" applyFill="1" applyBorder="1" applyAlignment="1" applyProtection="1">
      <alignment horizontal="center"/>
    </xf>
    <xf numFmtId="167" fontId="16" fillId="2" borderId="13" xfId="0" applyNumberFormat="1" applyFont="1" applyFill="1" applyBorder="1" applyAlignment="1" applyProtection="1">
      <alignment horizontal="center"/>
    </xf>
    <xf numFmtId="0" fontId="16" fillId="5" borderId="13" xfId="0" applyFont="1" applyFill="1" applyBorder="1" applyAlignment="1" applyProtection="1">
      <protection locked="0"/>
    </xf>
    <xf numFmtId="3" fontId="15" fillId="4" borderId="13" xfId="0" applyNumberFormat="1" applyFont="1" applyFill="1" applyBorder="1" applyAlignment="1">
      <alignment horizontal="center"/>
    </xf>
    <xf numFmtId="10" fontId="15" fillId="4" borderId="13" xfId="0" applyNumberFormat="1" applyFont="1" applyFill="1" applyBorder="1" applyAlignment="1" applyProtection="1">
      <alignment horizontal="center"/>
      <protection locked="0"/>
    </xf>
    <xf numFmtId="168" fontId="15" fillId="5" borderId="14" xfId="0" applyNumberFormat="1" applyFont="1" applyFill="1" applyBorder="1"/>
    <xf numFmtId="167" fontId="15" fillId="4" borderId="13" xfId="0" applyNumberFormat="1" applyFont="1" applyFill="1" applyBorder="1" applyAlignment="1" applyProtection="1">
      <alignment horizontal="center"/>
      <protection locked="0"/>
    </xf>
    <xf numFmtId="167" fontId="15" fillId="5" borderId="13" xfId="0" applyNumberFormat="1" applyFont="1" applyFill="1" applyBorder="1" applyAlignment="1" applyProtection="1">
      <alignment horizontal="center"/>
      <protection locked="0"/>
    </xf>
    <xf numFmtId="168" fontId="16" fillId="5" borderId="14" xfId="0" applyNumberFormat="1" applyFont="1" applyFill="1" applyBorder="1"/>
    <xf numFmtId="0" fontId="16" fillId="5" borderId="16" xfId="0" applyFont="1" applyFill="1" applyBorder="1"/>
    <xf numFmtId="168" fontId="15" fillId="5" borderId="17" xfId="0" applyNumberFormat="1" applyFont="1" applyFill="1" applyBorder="1"/>
    <xf numFmtId="0" fontId="15" fillId="5" borderId="10" xfId="0" applyFont="1" applyFill="1" applyBorder="1" applyAlignment="1" applyProtection="1">
      <alignment horizontal="center"/>
      <protection locked="0"/>
    </xf>
    <xf numFmtId="0" fontId="15" fillId="5" borderId="10" xfId="0" applyFont="1" applyFill="1" applyBorder="1" applyAlignment="1" applyProtection="1">
      <protection locked="0"/>
    </xf>
    <xf numFmtId="0" fontId="15" fillId="4" borderId="13" xfId="0" applyNumberFormat="1" applyFont="1" applyFill="1" applyBorder="1" applyAlignment="1" applyProtection="1">
      <alignment horizontal="center"/>
      <protection locked="0"/>
    </xf>
    <xf numFmtId="168" fontId="15" fillId="7" borderId="13" xfId="0" applyNumberFormat="1" applyFont="1" applyFill="1" applyBorder="1" applyAlignment="1" applyProtection="1">
      <alignment horizontal="center"/>
      <protection locked="0"/>
    </xf>
    <xf numFmtId="0" fontId="29" fillId="5" borderId="13" xfId="0" applyFont="1" applyFill="1" applyBorder="1" applyAlignment="1">
      <alignment horizontal="right"/>
    </xf>
    <xf numFmtId="0" fontId="29" fillId="5" borderId="13" xfId="0" applyFont="1" applyFill="1" applyBorder="1" applyAlignment="1">
      <alignment horizontal="center"/>
    </xf>
    <xf numFmtId="0" fontId="15" fillId="5" borderId="16" xfId="0" applyFont="1" applyFill="1" applyBorder="1" applyAlignment="1" applyProtection="1">
      <alignment horizontal="center"/>
      <protection locked="0"/>
    </xf>
    <xf numFmtId="0" fontId="29" fillId="5" borderId="16" xfId="0" applyFont="1" applyFill="1" applyBorder="1" applyAlignment="1" applyProtection="1">
      <alignment horizontal="right"/>
    </xf>
    <xf numFmtId="0" fontId="29" fillId="5" borderId="16" xfId="0" applyFont="1" applyFill="1" applyBorder="1" applyAlignment="1" applyProtection="1">
      <alignment horizontal="center"/>
    </xf>
    <xf numFmtId="0" fontId="29" fillId="5" borderId="10" xfId="0" applyFont="1" applyFill="1" applyBorder="1" applyAlignment="1" applyProtection="1">
      <alignment horizontal="right"/>
    </xf>
    <xf numFmtId="0" fontId="29" fillId="5" borderId="10" xfId="0" applyFont="1" applyFill="1" applyBorder="1" applyAlignment="1" applyProtection="1">
      <alignment horizontal="center"/>
    </xf>
    <xf numFmtId="175" fontId="15" fillId="4" borderId="13" xfId="0" applyNumberFormat="1" applyFont="1" applyFill="1" applyBorder="1" applyAlignment="1" applyProtection="1">
      <alignment horizontal="center"/>
      <protection locked="0"/>
    </xf>
    <xf numFmtId="168" fontId="15" fillId="2" borderId="13" xfId="0" applyNumberFormat="1" applyFont="1" applyFill="1" applyBorder="1" applyAlignment="1" applyProtection="1">
      <alignment horizontal="center"/>
    </xf>
    <xf numFmtId="167" fontId="16" fillId="5" borderId="13" xfId="0" applyNumberFormat="1" applyFont="1" applyFill="1" applyBorder="1" applyAlignment="1" applyProtection="1">
      <alignment horizontal="center"/>
    </xf>
    <xf numFmtId="168" fontId="15" fillId="5" borderId="14" xfId="0" applyNumberFormat="1" applyFont="1" applyFill="1" applyBorder="1" applyProtection="1"/>
    <xf numFmtId="168" fontId="16" fillId="5" borderId="14" xfId="0" applyNumberFormat="1" applyFont="1" applyFill="1" applyBorder="1" applyProtection="1"/>
    <xf numFmtId="168" fontId="15" fillId="5" borderId="17" xfId="0" applyNumberFormat="1" applyFont="1" applyFill="1" applyBorder="1" applyProtection="1"/>
    <xf numFmtId="168" fontId="15" fillId="7" borderId="13" xfId="3" applyNumberFormat="1" applyFont="1" applyFill="1" applyBorder="1" applyAlignment="1" applyProtection="1">
      <alignment horizontal="center"/>
    </xf>
    <xf numFmtId="0" fontId="30" fillId="6" borderId="0" xfId="0" applyNumberFormat="1" applyFont="1" applyFill="1" applyBorder="1" applyAlignment="1" applyProtection="1">
      <alignment horizontal="left"/>
      <protection locked="0"/>
    </xf>
    <xf numFmtId="0" fontId="39" fillId="4" borderId="0" xfId="0" applyFont="1" applyFill="1" applyBorder="1" applyAlignment="1">
      <alignment horizontal="left"/>
    </xf>
    <xf numFmtId="14" fontId="7" fillId="5" borderId="0" xfId="0" applyNumberFormat="1" applyFont="1" applyFill="1" applyAlignment="1" applyProtection="1">
      <alignment horizontal="right"/>
    </xf>
    <xf numFmtId="0" fontId="7" fillId="5" borderId="0" xfId="0" applyFont="1" applyFill="1" applyAlignment="1" applyProtection="1">
      <alignment horizontal="right"/>
    </xf>
    <xf numFmtId="0" fontId="40" fillId="2" borderId="0" xfId="0" applyFont="1" applyFill="1" applyBorder="1" applyProtection="1"/>
    <xf numFmtId="0" fontId="38" fillId="2" borderId="0" xfId="0" applyFont="1" applyFill="1" applyBorder="1" applyProtection="1"/>
    <xf numFmtId="0" fontId="15" fillId="2" borderId="0" xfId="0" applyFont="1" applyFill="1" applyBorder="1"/>
    <xf numFmtId="168" fontId="15" fillId="2" borderId="0" xfId="0" applyNumberFormat="1" applyFont="1" applyFill="1" applyBorder="1" applyProtection="1"/>
    <xf numFmtId="168" fontId="16" fillId="2" borderId="0" xfId="0" applyNumberFormat="1" applyFont="1" applyFill="1" applyBorder="1" applyProtection="1"/>
    <xf numFmtId="0" fontId="8" fillId="4" borderId="0" xfId="0" applyFont="1" applyFill="1" applyBorder="1"/>
    <xf numFmtId="0" fontId="46" fillId="4" borderId="0" xfId="0" applyFont="1" applyFill="1" applyBorder="1"/>
    <xf numFmtId="0" fontId="48" fillId="4" borderId="0" xfId="0" applyFont="1" applyFill="1" applyBorder="1" applyAlignment="1">
      <alignment horizontal="center"/>
    </xf>
    <xf numFmtId="0" fontId="39" fillId="4" borderId="0" xfId="0" applyFont="1" applyFill="1" applyBorder="1" applyAlignment="1">
      <alignment horizontal="center"/>
    </xf>
    <xf numFmtId="0" fontId="0" fillId="5" borderId="0" xfId="0" applyFill="1"/>
    <xf numFmtId="0" fontId="7" fillId="5" borderId="0" xfId="0" applyFont="1" applyFill="1" applyAlignment="1" applyProtection="1">
      <alignment horizontal="left"/>
    </xf>
    <xf numFmtId="0" fontId="53" fillId="2" borderId="18" xfId="0" applyFont="1" applyFill="1" applyBorder="1" applyProtection="1"/>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0" xfId="0" applyFont="1" applyFill="1" applyBorder="1" applyProtection="1"/>
    <xf numFmtId="0" fontId="54" fillId="2" borderId="22" xfId="0" applyFont="1" applyFill="1" applyBorder="1" applyProtection="1"/>
    <xf numFmtId="167" fontId="54" fillId="2" borderId="0" xfId="0" applyNumberFormat="1" applyFont="1" applyFill="1" applyBorder="1" applyProtection="1"/>
    <xf numFmtId="0" fontId="54" fillId="2" borderId="23" xfId="0" applyFont="1" applyFill="1" applyBorder="1" applyProtection="1"/>
    <xf numFmtId="0" fontId="54" fillId="2" borderId="24" xfId="0" applyFont="1" applyFill="1" applyBorder="1" applyProtection="1"/>
    <xf numFmtId="167" fontId="54" fillId="2" borderId="24" xfId="0" applyNumberFormat="1" applyFont="1" applyFill="1" applyBorder="1" applyProtection="1"/>
    <xf numFmtId="0" fontId="54" fillId="2" borderId="25" xfId="0" applyFont="1" applyFill="1" applyBorder="1" applyProtection="1"/>
    <xf numFmtId="0" fontId="52" fillId="2" borderId="0" xfId="0" applyFont="1" applyFill="1" applyAlignment="1" applyProtection="1">
      <alignment horizontal="left"/>
    </xf>
    <xf numFmtId="165" fontId="15" fillId="7" borderId="13" xfId="0" applyNumberFormat="1" applyFont="1" applyFill="1" applyBorder="1" applyAlignment="1" applyProtection="1">
      <alignment horizontal="center"/>
    </xf>
    <xf numFmtId="165" fontId="15" fillId="7" borderId="13" xfId="0" applyNumberFormat="1" applyFont="1" applyFill="1" applyBorder="1" applyAlignment="1" applyProtection="1">
      <alignment horizontal="center"/>
      <protection locked="0"/>
    </xf>
    <xf numFmtId="174" fontId="19" fillId="0" borderId="13" xfId="0" applyNumberFormat="1" applyFont="1" applyFill="1" applyBorder="1" applyAlignment="1" applyProtection="1">
      <alignment horizontal="center"/>
      <protection locked="0"/>
    </xf>
    <xf numFmtId="14" fontId="15" fillId="4" borderId="13" xfId="0" applyNumberFormat="1" applyFont="1" applyFill="1" applyBorder="1" applyAlignment="1" applyProtection="1">
      <alignment horizontal="center"/>
      <protection locked="0"/>
    </xf>
    <xf numFmtId="14" fontId="15" fillId="4" borderId="0" xfId="0" applyNumberFormat="1" applyFont="1" applyFill="1" applyBorder="1" applyProtection="1"/>
    <xf numFmtId="1" fontId="52" fillId="5" borderId="13" xfId="0" applyNumberFormat="1" applyFont="1" applyFill="1" applyBorder="1" applyAlignment="1" applyProtection="1">
      <alignment horizontal="center"/>
    </xf>
    <xf numFmtId="14" fontId="15" fillId="4" borderId="0" xfId="0" applyNumberFormat="1" applyFont="1" applyFill="1" applyBorder="1"/>
    <xf numFmtId="1" fontId="21" fillId="5" borderId="13" xfId="0" applyNumberFormat="1" applyFont="1" applyFill="1" applyBorder="1" applyProtection="1"/>
    <xf numFmtId="14" fontId="12" fillId="4" borderId="0" xfId="0" applyNumberFormat="1" applyFont="1" applyFill="1" applyBorder="1" applyProtection="1"/>
    <xf numFmtId="167" fontId="15" fillId="5" borderId="0" xfId="3" applyNumberFormat="1" applyFont="1" applyFill="1" applyBorder="1" applyAlignment="1" applyProtection="1">
      <alignment horizontal="left"/>
    </xf>
    <xf numFmtId="168" fontId="15" fillId="5" borderId="0" xfId="0" applyNumberFormat="1" applyFont="1" applyFill="1" applyBorder="1" applyProtection="1"/>
    <xf numFmtId="4" fontId="15" fillId="5" borderId="0" xfId="0" applyNumberFormat="1" applyFont="1" applyFill="1" applyBorder="1" applyProtection="1"/>
    <xf numFmtId="0" fontId="9" fillId="4" borderId="0" xfId="0" applyFont="1" applyFill="1" applyBorder="1"/>
    <xf numFmtId="0" fontId="9" fillId="2" borderId="0" xfId="0" applyFont="1" applyFill="1" applyAlignment="1">
      <alignment horizontal="right"/>
    </xf>
    <xf numFmtId="0" fontId="9" fillId="4" borderId="0" xfId="0" applyFont="1" applyFill="1" applyBorder="1" applyAlignment="1">
      <alignment horizontal="right"/>
    </xf>
    <xf numFmtId="0" fontId="8" fillId="2" borderId="0" xfId="0" applyFont="1" applyFill="1"/>
    <xf numFmtId="0" fontId="56" fillId="4" borderId="0" xfId="0" applyFont="1" applyFill="1" applyBorder="1"/>
    <xf numFmtId="3" fontId="8" fillId="6" borderId="0" xfId="0" applyNumberFormat="1" applyFont="1" applyFill="1" applyBorder="1" applyAlignment="1" applyProtection="1">
      <alignment horizontal="left"/>
      <protection locked="0"/>
    </xf>
    <xf numFmtId="10" fontId="15" fillId="7" borderId="13" xfId="2" applyNumberFormat="1" applyFont="1" applyFill="1" applyBorder="1" applyAlignment="1" applyProtection="1">
      <alignment horizontal="center"/>
    </xf>
    <xf numFmtId="9" fontId="15" fillId="7" borderId="13" xfId="0" applyNumberFormat="1" applyFont="1" applyFill="1" applyBorder="1" applyAlignment="1" applyProtection="1">
      <alignment horizontal="center"/>
    </xf>
    <xf numFmtId="0" fontId="24"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57" fillId="0" borderId="0" xfId="0" applyFont="1" applyFill="1" applyBorder="1" applyAlignment="1" applyProtection="1">
      <alignment horizontal="left"/>
    </xf>
    <xf numFmtId="2" fontId="57" fillId="0" borderId="0" xfId="0" applyNumberFormat="1" applyFont="1" applyBorder="1" applyAlignment="1" applyProtection="1">
      <alignment horizontal="left"/>
    </xf>
    <xf numFmtId="2" fontId="57" fillId="0" borderId="0" xfId="0" applyNumberFormat="1" applyFont="1" applyFill="1" applyBorder="1" applyAlignment="1" applyProtection="1">
      <alignment horizontal="left"/>
    </xf>
    <xf numFmtId="0" fontId="10" fillId="4" borderId="0" xfId="0" applyFont="1" applyFill="1" applyBorder="1"/>
    <xf numFmtId="49" fontId="8" fillId="0" borderId="0" xfId="0" applyNumberFormat="1" applyFont="1" applyBorder="1" applyAlignment="1" applyProtection="1">
      <alignment horizontal="center"/>
    </xf>
    <xf numFmtId="10" fontId="16" fillId="2" borderId="0" xfId="0" applyNumberFormat="1" applyFont="1" applyFill="1" applyProtection="1"/>
    <xf numFmtId="0" fontId="8" fillId="6" borderId="0" xfId="0" applyNumberFormat="1" applyFont="1" applyFill="1" applyBorder="1" applyAlignment="1" applyProtection="1">
      <alignment horizontal="left"/>
      <protection locked="0"/>
    </xf>
    <xf numFmtId="0" fontId="8" fillId="0" borderId="0" xfId="0" applyFont="1" applyBorder="1" applyAlignment="1" applyProtection="1">
      <alignment horizontal="left"/>
    </xf>
    <xf numFmtId="0" fontId="58" fillId="0" borderId="0" xfId="0" applyFont="1" applyBorder="1" applyAlignment="1" applyProtection="1">
      <alignment horizontal="left"/>
    </xf>
    <xf numFmtId="0" fontId="58" fillId="0" borderId="0" xfId="0" applyFont="1" applyFill="1" applyBorder="1" applyAlignment="1" applyProtection="1">
      <alignment horizontal="left"/>
    </xf>
    <xf numFmtId="172" fontId="58" fillId="0" borderId="0" xfId="0" applyNumberFormat="1" applyFont="1" applyBorder="1" applyAlignment="1" applyProtection="1">
      <alignment horizontal="left"/>
    </xf>
    <xf numFmtId="3" fontId="58" fillId="0" borderId="0" xfId="0" applyNumberFormat="1" applyFont="1" applyFill="1" applyBorder="1" applyAlignment="1" applyProtection="1">
      <alignment horizontal="left"/>
    </xf>
    <xf numFmtId="10" fontId="8" fillId="6" borderId="0" xfId="0" applyNumberFormat="1" applyFont="1" applyFill="1" applyBorder="1" applyAlignment="1" applyProtection="1">
      <alignment horizontal="left"/>
      <protection locked="0"/>
    </xf>
    <xf numFmtId="9" fontId="8" fillId="0" borderId="0" xfId="0" applyNumberFormat="1" applyFont="1" applyBorder="1" applyAlignment="1" applyProtection="1">
      <alignment horizontal="left"/>
    </xf>
    <xf numFmtId="0" fontId="7" fillId="5" borderId="13" xfId="0" applyFont="1" applyFill="1" applyBorder="1" applyProtection="1"/>
    <xf numFmtId="0" fontId="8" fillId="0" borderId="0" xfId="0" applyFont="1" applyFill="1" applyBorder="1" applyAlignment="1" applyProtection="1">
      <alignment horizontal="left"/>
    </xf>
    <xf numFmtId="9" fontId="8" fillId="0" borderId="0" xfId="0" applyNumberFormat="1" applyFont="1" applyFill="1" applyBorder="1" applyAlignment="1" applyProtection="1">
      <alignment horizontal="left"/>
    </xf>
    <xf numFmtId="174" fontId="30" fillId="4" borderId="0" xfId="0" applyNumberFormat="1" applyFont="1" applyFill="1" applyBorder="1"/>
    <xf numFmtId="0" fontId="8" fillId="8" borderId="0" xfId="0" applyFont="1" applyFill="1" applyBorder="1"/>
    <xf numFmtId="0" fontId="9" fillId="4" borderId="0" xfId="0" applyFont="1" applyFill="1" applyBorder="1" applyAlignment="1">
      <alignment horizontal="center"/>
    </xf>
    <xf numFmtId="0" fontId="59" fillId="4" borderId="0" xfId="1" applyFont="1" applyFill="1" applyBorder="1" applyAlignment="1" applyProtection="1"/>
    <xf numFmtId="0" fontId="60" fillId="3" borderId="0" xfId="1" applyFont="1" applyFill="1" applyBorder="1" applyAlignment="1" applyProtection="1">
      <alignment horizontal="right"/>
    </xf>
    <xf numFmtId="0" fontId="60" fillId="3" borderId="2" xfId="1" applyFont="1" applyFill="1" applyBorder="1" applyAlignment="1" applyProtection="1">
      <alignment horizontal="right"/>
    </xf>
    <xf numFmtId="168" fontId="60" fillId="3" borderId="2" xfId="1" applyNumberFormat="1" applyFont="1" applyFill="1" applyBorder="1" applyAlignment="1" applyProtection="1">
      <alignment horizontal="right"/>
    </xf>
    <xf numFmtId="0" fontId="7" fillId="4" borderId="26" xfId="0" applyFont="1" applyFill="1" applyBorder="1" applyAlignment="1" applyProtection="1">
      <alignment horizontal="left"/>
      <protection locked="0"/>
    </xf>
    <xf numFmtId="0" fontId="7" fillId="4" borderId="26" xfId="0" applyFont="1" applyFill="1" applyBorder="1" applyAlignment="1" applyProtection="1">
      <alignment horizontal="center"/>
      <protection locked="0"/>
    </xf>
    <xf numFmtId="3" fontId="61" fillId="6" borderId="0" xfId="0" applyNumberFormat="1" applyFont="1" applyFill="1" applyBorder="1" applyAlignment="1" applyProtection="1">
      <alignment horizontal="left"/>
      <protection locked="0"/>
    </xf>
    <xf numFmtId="0" fontId="62" fillId="4" borderId="0" xfId="0" applyFont="1" applyFill="1" applyAlignment="1" applyProtection="1">
      <alignment horizontal="left"/>
      <protection locked="0"/>
    </xf>
    <xf numFmtId="0" fontId="10" fillId="8" borderId="0" xfId="0" applyFont="1" applyFill="1" applyBorder="1"/>
    <xf numFmtId="0" fontId="8" fillId="0" borderId="27" xfId="0" applyFont="1" applyFill="1" applyBorder="1"/>
    <xf numFmtId="49" fontId="62" fillId="0" borderId="0" xfId="0" applyNumberFormat="1" applyFont="1" applyAlignment="1" applyProtection="1">
      <alignment horizontal="left"/>
    </xf>
    <xf numFmtId="0" fontId="8" fillId="6" borderId="0" xfId="0" applyFont="1" applyFill="1" applyBorder="1" applyAlignment="1" applyProtection="1">
      <alignment horizontal="left"/>
      <protection locked="0"/>
    </xf>
    <xf numFmtId="0" fontId="7" fillId="4" borderId="13" xfId="0" applyFont="1" applyFill="1" applyBorder="1" applyAlignment="1" applyProtection="1">
      <alignment horizontal="center"/>
      <protection locked="0"/>
    </xf>
    <xf numFmtId="0" fontId="63" fillId="0" borderId="0" xfId="0" applyFont="1"/>
    <xf numFmtId="0" fontId="62" fillId="0" borderId="0" xfId="0" applyFont="1"/>
    <xf numFmtId="0" fontId="9" fillId="0" borderId="0" xfId="0" applyFont="1" applyFill="1" applyBorder="1" applyAlignment="1" applyProtection="1">
      <alignment horizontal="left"/>
    </xf>
    <xf numFmtId="0" fontId="1" fillId="5" borderId="13" xfId="0" applyFont="1" applyFill="1" applyBorder="1" applyProtection="1"/>
    <xf numFmtId="174" fontId="48" fillId="5" borderId="14" xfId="2" applyNumberFormat="1" applyFont="1" applyFill="1" applyBorder="1" applyAlignment="1" applyProtection="1">
      <alignment horizontal="center"/>
    </xf>
    <xf numFmtId="174" fontId="48" fillId="5" borderId="12" xfId="2" applyNumberFormat="1" applyFont="1" applyFill="1" applyBorder="1" applyAlignment="1" applyProtection="1">
      <alignment horizontal="center"/>
    </xf>
    <xf numFmtId="168" fontId="16" fillId="5" borderId="13" xfId="0" applyNumberFormat="1" applyFont="1" applyFill="1" applyBorder="1" applyAlignment="1" applyProtection="1">
      <protection locked="0"/>
    </xf>
    <xf numFmtId="0" fontId="16" fillId="5" borderId="13"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protection locked="0"/>
    </xf>
    <xf numFmtId="0" fontId="8" fillId="0" borderId="0" xfId="0" applyFont="1" applyBorder="1" applyAlignment="1">
      <alignment horizontal="left"/>
    </xf>
    <xf numFmtId="2" fontId="8" fillId="6" borderId="0" xfId="0" applyNumberFormat="1" applyFont="1" applyFill="1" applyBorder="1" applyAlignment="1" applyProtection="1">
      <alignment horizontal="left"/>
      <protection locked="0"/>
    </xf>
    <xf numFmtId="0" fontId="9" fillId="0" borderId="26" xfId="0" applyFont="1" applyFill="1" applyBorder="1" applyProtection="1"/>
    <xf numFmtId="2" fontId="8" fillId="0" borderId="0" xfId="0" applyNumberFormat="1" applyFont="1" applyFill="1" applyBorder="1" applyAlignment="1" applyProtection="1">
      <alignment horizontal="left"/>
      <protection locked="0"/>
    </xf>
    <xf numFmtId="0" fontId="15" fillId="9" borderId="13" xfId="0" applyFont="1" applyFill="1" applyBorder="1" applyAlignment="1" applyProtection="1">
      <alignment horizontal="left"/>
    </xf>
    <xf numFmtId="0" fontId="15" fillId="5" borderId="14" xfId="0" applyFont="1" applyFill="1" applyBorder="1" applyAlignment="1">
      <alignment horizontal="left"/>
    </xf>
    <xf numFmtId="0" fontId="15" fillId="5" borderId="12" xfId="0" applyFont="1" applyFill="1" applyBorder="1" applyAlignment="1">
      <alignment horizontal="center"/>
    </xf>
    <xf numFmtId="0" fontId="15" fillId="5" borderId="16" xfId="0" applyFont="1" applyFill="1" applyBorder="1" applyAlignment="1">
      <alignment horizontal="center"/>
    </xf>
    <xf numFmtId="0" fontId="55" fillId="9" borderId="0" xfId="0" applyFont="1" applyFill="1" applyBorder="1" applyProtection="1"/>
    <xf numFmtId="0" fontId="15" fillId="5" borderId="28" xfId="0" applyFont="1" applyFill="1" applyBorder="1" applyProtection="1"/>
    <xf numFmtId="0" fontId="7" fillId="5" borderId="16" xfId="0" applyFont="1" applyFill="1" applyBorder="1" applyProtection="1"/>
    <xf numFmtId="0" fontId="1" fillId="9" borderId="0" xfId="0" applyFont="1" applyFill="1" applyBorder="1" applyProtection="1"/>
    <xf numFmtId="168" fontId="7" fillId="7" borderId="13" xfId="0" applyNumberFormat="1" applyFont="1" applyFill="1" applyBorder="1" applyProtection="1"/>
    <xf numFmtId="0" fontId="7" fillId="5" borderId="13" xfId="0" applyFont="1" applyFill="1" applyBorder="1" applyAlignment="1" applyProtection="1">
      <alignment horizontal="left"/>
    </xf>
    <xf numFmtId="168" fontId="15" fillId="0" borderId="13" xfId="0" applyNumberFormat="1" applyFont="1" applyFill="1" applyBorder="1" applyProtection="1">
      <protection locked="0"/>
    </xf>
    <xf numFmtId="0" fontId="64" fillId="0" borderId="0" xfId="0" applyFont="1" applyBorder="1" applyAlignment="1">
      <alignment horizontal="left"/>
    </xf>
    <xf numFmtId="0" fontId="64" fillId="0" borderId="26" xfId="0" applyFont="1" applyFill="1" applyBorder="1" applyProtection="1"/>
    <xf numFmtId="0" fontId="62" fillId="8" borderId="0" xfId="0" applyFont="1" applyFill="1" applyBorder="1" applyProtection="1"/>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582705</xdr:colOff>
      <xdr:row>2</xdr:row>
      <xdr:rowOff>33617</xdr:rowOff>
    </xdr:from>
    <xdr:to>
      <xdr:col>14</xdr:col>
      <xdr:colOff>39781</xdr:colOff>
      <xdr:row>4</xdr:row>
      <xdr:rowOff>133350</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0764" y="347382"/>
          <a:ext cx="1317252"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268941</xdr:colOff>
      <xdr:row>2</xdr:row>
      <xdr:rowOff>1</xdr:rowOff>
    </xdr:from>
    <xdr:to>
      <xdr:col>13</xdr:col>
      <xdr:colOff>165847</xdr:colOff>
      <xdr:row>4</xdr:row>
      <xdr:rowOff>110939</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336177"/>
          <a:ext cx="1689847"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851647</xdr:colOff>
      <xdr:row>2</xdr:row>
      <xdr:rowOff>44824</xdr:rowOff>
    </xdr:from>
    <xdr:to>
      <xdr:col>9</xdr:col>
      <xdr:colOff>582706</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1" y="381000"/>
          <a:ext cx="1456765"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638737</xdr:colOff>
      <xdr:row>2</xdr:row>
      <xdr:rowOff>56030</xdr:rowOff>
    </xdr:from>
    <xdr:to>
      <xdr:col>8</xdr:col>
      <xdr:colOff>24653</xdr:colOff>
      <xdr:row>4</xdr:row>
      <xdr:rowOff>166968</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6" y="392206"/>
          <a:ext cx="1358152"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638735</xdr:colOff>
      <xdr:row>2</xdr:row>
      <xdr:rowOff>44824</xdr:rowOff>
    </xdr:from>
    <xdr:to>
      <xdr:col>9</xdr:col>
      <xdr:colOff>13447</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4" y="381000"/>
          <a:ext cx="1503830"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549088</xdr:colOff>
      <xdr:row>1</xdr:row>
      <xdr:rowOff>0</xdr:rowOff>
    </xdr:from>
    <xdr:to>
      <xdr:col>15</xdr:col>
      <xdr:colOff>69476</xdr:colOff>
      <xdr:row>4</xdr:row>
      <xdr:rowOff>67236</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9912" y="156882"/>
          <a:ext cx="1671917" cy="53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osabb.nl/" TargetMode="External"/><Relationship Id="rId2" Type="http://schemas.openxmlformats.org/officeDocument/2006/relationships/hyperlink" Target="mailto:helpdesk@vosabb.nl"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osabb.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osabb.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sabb.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osabb.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90"/>
  <sheetViews>
    <sheetView zoomScale="85" zoomScaleNormal="85" workbookViewId="0">
      <selection activeCell="B2" sqref="B2"/>
    </sheetView>
  </sheetViews>
  <sheetFormatPr defaultRowHeight="12.75" x14ac:dyDescent="0.2"/>
  <cols>
    <col min="1" max="1" width="3.7109375" style="119" customWidth="1"/>
    <col min="2" max="3" width="2.7109375" style="119" customWidth="1"/>
    <col min="4" max="5" width="9.140625" style="119"/>
    <col min="6" max="7" width="14.85546875" style="119" customWidth="1"/>
    <col min="8" max="12" width="9.140625" style="119"/>
    <col min="13" max="13" width="9.7109375" style="119" customWidth="1"/>
    <col min="14" max="14" width="9.140625" style="119"/>
    <col min="15" max="16" width="2.7109375" style="119" customWidth="1"/>
    <col min="17" max="16384" width="9.140625" style="119"/>
  </cols>
  <sheetData>
    <row r="2" spans="2:16" x14ac:dyDescent="0.2">
      <c r="B2" s="122"/>
      <c r="C2" s="122"/>
      <c r="D2" s="122"/>
      <c r="E2" s="122"/>
      <c r="F2" s="122"/>
      <c r="G2" s="122"/>
      <c r="H2" s="122"/>
      <c r="I2" s="122"/>
      <c r="J2" s="122"/>
      <c r="K2" s="122"/>
      <c r="L2" s="122"/>
      <c r="M2" s="122"/>
      <c r="N2" s="122"/>
      <c r="O2" s="122"/>
      <c r="P2" s="122"/>
    </row>
    <row r="3" spans="2:16" x14ac:dyDescent="0.2">
      <c r="B3" s="123"/>
      <c r="C3" s="123"/>
      <c r="D3" s="123"/>
      <c r="E3" s="123"/>
      <c r="F3" s="123"/>
      <c r="G3" s="123"/>
      <c r="H3" s="123"/>
      <c r="I3" s="123"/>
      <c r="J3" s="123"/>
      <c r="K3" s="123"/>
      <c r="L3" s="123"/>
      <c r="M3" s="123"/>
      <c r="N3" s="123"/>
      <c r="O3" s="123"/>
      <c r="P3" s="123"/>
    </row>
    <row r="4" spans="2:16" s="121" customFormat="1" ht="18.75" x14ac:dyDescent="0.3">
      <c r="B4" s="124"/>
      <c r="C4" s="110" t="s">
        <v>33</v>
      </c>
      <c r="D4" s="124"/>
      <c r="E4" s="124"/>
      <c r="F4" s="124"/>
      <c r="G4" s="124"/>
      <c r="H4" s="124"/>
      <c r="I4" s="415">
        <f>+tabellen!B2</f>
        <v>2015</v>
      </c>
      <c r="J4" s="124"/>
      <c r="K4" s="124"/>
      <c r="L4" s="124"/>
      <c r="M4" s="125"/>
      <c r="N4" s="124"/>
      <c r="O4" s="124"/>
      <c r="P4" s="124"/>
    </row>
    <row r="5" spans="2:16" x14ac:dyDescent="0.2">
      <c r="B5" s="123"/>
      <c r="C5" s="123"/>
      <c r="D5" s="126"/>
      <c r="E5" s="123"/>
      <c r="F5" s="123"/>
      <c r="G5" s="123"/>
      <c r="H5" s="123"/>
      <c r="I5" s="123"/>
      <c r="J5" s="123"/>
      <c r="K5" s="123"/>
      <c r="L5" s="123"/>
      <c r="M5" s="127"/>
      <c r="N5" s="126"/>
      <c r="O5" s="128"/>
      <c r="P5" s="123"/>
    </row>
    <row r="6" spans="2:16" x14ac:dyDescent="0.2">
      <c r="B6" s="123"/>
      <c r="C6" s="123"/>
      <c r="D6" s="126"/>
      <c r="E6" s="123"/>
      <c r="F6" s="123"/>
      <c r="G6" s="123"/>
      <c r="H6" s="123"/>
      <c r="I6" s="123"/>
      <c r="J6" s="123"/>
      <c r="K6" s="123"/>
      <c r="L6" s="123"/>
      <c r="M6" s="127"/>
      <c r="N6" s="126"/>
      <c r="O6" s="128"/>
      <c r="P6" s="123"/>
    </row>
    <row r="7" spans="2:16" x14ac:dyDescent="0.2">
      <c r="B7" s="123"/>
      <c r="C7" s="123"/>
      <c r="D7" s="126"/>
      <c r="E7" s="123"/>
      <c r="F7" s="123"/>
      <c r="G7" s="123"/>
      <c r="H7" s="123"/>
      <c r="I7" s="123"/>
      <c r="J7" s="123"/>
      <c r="K7" s="123"/>
      <c r="L7" s="123"/>
      <c r="M7" s="127"/>
      <c r="N7" s="126"/>
      <c r="O7" s="128"/>
      <c r="P7" s="123"/>
    </row>
    <row r="8" spans="2:16" x14ac:dyDescent="0.2">
      <c r="B8" s="123"/>
      <c r="C8" s="123"/>
      <c r="D8" s="123" t="s">
        <v>36</v>
      </c>
      <c r="E8" s="123"/>
      <c r="F8" s="123"/>
      <c r="G8" s="123"/>
      <c r="H8" s="123"/>
      <c r="I8" s="474" t="s">
        <v>317</v>
      </c>
      <c r="J8" s="123"/>
      <c r="K8" s="123"/>
      <c r="L8" s="123"/>
      <c r="M8" s="123"/>
      <c r="N8" s="123"/>
      <c r="O8" s="128"/>
      <c r="P8" s="123"/>
    </row>
    <row r="9" spans="2:16" x14ac:dyDescent="0.2">
      <c r="B9" s="123"/>
      <c r="C9" s="123"/>
      <c r="D9" s="123" t="s">
        <v>271</v>
      </c>
      <c r="E9" s="123"/>
      <c r="F9" s="123"/>
      <c r="G9" s="123"/>
      <c r="H9" s="123"/>
      <c r="I9" s="123"/>
      <c r="J9" s="123"/>
      <c r="K9" s="123"/>
      <c r="L9" s="123"/>
      <c r="M9" s="123"/>
      <c r="N9" s="123"/>
      <c r="O9" s="123"/>
      <c r="P9" s="123"/>
    </row>
    <row r="10" spans="2:16" x14ac:dyDescent="0.2">
      <c r="B10" s="123"/>
      <c r="C10" s="123"/>
      <c r="D10" s="123"/>
      <c r="E10" s="123"/>
      <c r="F10" s="123"/>
      <c r="G10" s="123"/>
      <c r="H10" s="123"/>
      <c r="I10" s="123"/>
      <c r="J10" s="123"/>
      <c r="K10" s="123"/>
      <c r="L10" s="123"/>
      <c r="M10" s="123"/>
      <c r="N10" s="123"/>
      <c r="O10" s="123"/>
      <c r="P10" s="123"/>
    </row>
    <row r="11" spans="2:16" x14ac:dyDescent="0.2">
      <c r="B11" s="123"/>
      <c r="C11" s="123"/>
      <c r="D11" s="123" t="s">
        <v>247</v>
      </c>
      <c r="E11" s="123"/>
      <c r="F11" s="123"/>
      <c r="G11" s="123"/>
      <c r="H11" s="123"/>
      <c r="I11" s="123"/>
      <c r="J11" s="123"/>
      <c r="K11" s="123"/>
      <c r="L11" s="123"/>
      <c r="M11" s="123"/>
      <c r="N11" s="123"/>
      <c r="O11" s="123"/>
      <c r="P11" s="123"/>
    </row>
    <row r="12" spans="2:16" x14ac:dyDescent="0.2">
      <c r="B12" s="123"/>
      <c r="C12" s="123"/>
      <c r="D12" s="123" t="s">
        <v>244</v>
      </c>
      <c r="E12" s="123"/>
      <c r="F12" s="123"/>
      <c r="G12" s="123"/>
      <c r="H12" s="123"/>
      <c r="I12" s="123"/>
      <c r="J12" s="123"/>
      <c r="K12" s="123"/>
      <c r="L12" s="123"/>
      <c r="M12" s="123"/>
      <c r="N12" s="123"/>
      <c r="O12" s="123"/>
      <c r="P12" s="123"/>
    </row>
    <row r="13" spans="2:16" x14ac:dyDescent="0.2">
      <c r="B13" s="123"/>
      <c r="C13" s="123"/>
      <c r="D13" s="413" t="s">
        <v>346</v>
      </c>
      <c r="E13" s="123"/>
      <c r="F13" s="123"/>
      <c r="G13" s="123"/>
      <c r="H13" s="123"/>
      <c r="I13" s="123"/>
      <c r="J13" s="123"/>
      <c r="K13" s="123"/>
      <c r="L13" s="123"/>
      <c r="M13" s="123"/>
      <c r="N13" s="123"/>
      <c r="O13" s="123"/>
      <c r="P13" s="123"/>
    </row>
    <row r="14" spans="2:16" x14ac:dyDescent="0.2">
      <c r="B14" s="123"/>
      <c r="C14" s="123"/>
      <c r="D14" s="123"/>
      <c r="E14" s="123"/>
      <c r="F14" s="123"/>
      <c r="G14" s="123"/>
      <c r="H14" s="123"/>
      <c r="I14" s="123"/>
      <c r="J14" s="123"/>
      <c r="K14" s="123"/>
      <c r="L14" s="123"/>
      <c r="M14" s="123"/>
      <c r="N14" s="123"/>
      <c r="O14" s="123"/>
      <c r="P14" s="123"/>
    </row>
    <row r="15" spans="2:16" x14ac:dyDescent="0.2">
      <c r="B15" s="123"/>
      <c r="C15" s="123"/>
      <c r="D15" s="413" t="s">
        <v>348</v>
      </c>
      <c r="E15" s="123"/>
      <c r="F15" s="123"/>
      <c r="G15" s="123"/>
      <c r="H15" s="123"/>
      <c r="I15" s="123"/>
      <c r="J15" s="123"/>
      <c r="K15" s="123"/>
      <c r="L15" s="123"/>
      <c r="M15" s="123"/>
      <c r="N15" s="123"/>
      <c r="O15" s="123"/>
      <c r="P15" s="123"/>
    </row>
    <row r="16" spans="2:16" x14ac:dyDescent="0.2">
      <c r="B16" s="123"/>
      <c r="C16" s="123"/>
      <c r="D16" s="413" t="s">
        <v>349</v>
      </c>
      <c r="E16" s="123"/>
      <c r="F16" s="123"/>
      <c r="G16" s="123"/>
      <c r="H16" s="123"/>
      <c r="I16" s="123"/>
      <c r="J16" s="123"/>
      <c r="K16" s="123"/>
      <c r="L16" s="123"/>
      <c r="M16" s="123"/>
      <c r="N16" s="123"/>
      <c r="O16" s="123"/>
      <c r="P16" s="123"/>
    </row>
    <row r="17" spans="2:16" x14ac:dyDescent="0.2">
      <c r="B17" s="123"/>
      <c r="C17" s="123"/>
      <c r="D17" s="413" t="s">
        <v>350</v>
      </c>
      <c r="E17" s="123"/>
      <c r="F17" s="123"/>
      <c r="G17" s="123"/>
      <c r="H17" s="123"/>
      <c r="I17" s="123"/>
      <c r="J17" s="123"/>
      <c r="K17" s="123"/>
      <c r="L17" s="123"/>
      <c r="M17" s="123"/>
      <c r="N17" s="123"/>
      <c r="O17" s="123"/>
      <c r="P17" s="123"/>
    </row>
    <row r="18" spans="2:16" x14ac:dyDescent="0.2">
      <c r="B18" s="123"/>
      <c r="C18" s="123"/>
      <c r="D18" s="413" t="s">
        <v>374</v>
      </c>
      <c r="E18" s="123"/>
      <c r="F18" s="123"/>
      <c r="G18" s="123"/>
      <c r="H18" s="123"/>
      <c r="I18" s="123"/>
      <c r="J18" s="123"/>
      <c r="K18" s="123"/>
      <c r="L18" s="123"/>
      <c r="M18" s="123"/>
      <c r="N18" s="123"/>
      <c r="O18" s="123"/>
      <c r="P18" s="123"/>
    </row>
    <row r="19" spans="2:16" x14ac:dyDescent="0.2">
      <c r="B19" s="123"/>
      <c r="C19" s="123"/>
      <c r="D19" s="413" t="s">
        <v>375</v>
      </c>
      <c r="E19" s="123"/>
      <c r="F19" s="123"/>
      <c r="G19" s="123"/>
      <c r="H19" s="123"/>
      <c r="I19" s="123"/>
      <c r="J19" s="123"/>
      <c r="K19" s="123"/>
      <c r="L19" s="123"/>
      <c r="M19" s="123"/>
      <c r="N19" s="123"/>
      <c r="O19" s="123"/>
      <c r="P19" s="123"/>
    </row>
    <row r="20" spans="2:16" x14ac:dyDescent="0.2">
      <c r="B20" s="123"/>
      <c r="C20" s="123"/>
      <c r="D20" s="123" t="s">
        <v>237</v>
      </c>
      <c r="E20" s="123"/>
      <c r="F20" s="123"/>
      <c r="G20" s="123"/>
      <c r="H20" s="123"/>
      <c r="I20" s="123"/>
      <c r="J20" s="123"/>
      <c r="K20" s="123"/>
      <c r="L20" s="123"/>
      <c r="M20" s="123"/>
      <c r="N20" s="123"/>
      <c r="O20" s="123"/>
      <c r="P20" s="123"/>
    </row>
    <row r="21" spans="2:16" x14ac:dyDescent="0.2">
      <c r="B21" s="123"/>
      <c r="C21" s="123"/>
      <c r="D21" s="123" t="s">
        <v>272</v>
      </c>
      <c r="E21" s="123"/>
      <c r="F21" s="123"/>
      <c r="G21" s="123"/>
      <c r="H21" s="123"/>
      <c r="I21" s="123"/>
      <c r="J21" s="123"/>
      <c r="K21" s="123"/>
      <c r="L21" s="123"/>
      <c r="M21" s="123"/>
      <c r="N21" s="123"/>
      <c r="O21" s="123"/>
      <c r="P21" s="123"/>
    </row>
    <row r="22" spans="2:16" x14ac:dyDescent="0.2">
      <c r="B22" s="123"/>
      <c r="C22" s="123"/>
      <c r="D22" s="123" t="s">
        <v>234</v>
      </c>
      <c r="E22" s="123"/>
      <c r="F22" s="123"/>
      <c r="G22" s="123"/>
      <c r="H22" s="123"/>
      <c r="I22" s="123"/>
      <c r="J22" s="123"/>
      <c r="K22" s="123"/>
      <c r="L22" s="123"/>
      <c r="M22" s="123"/>
      <c r="N22" s="123"/>
      <c r="O22" s="123"/>
      <c r="P22" s="123"/>
    </row>
    <row r="23" spans="2:16" x14ac:dyDescent="0.2">
      <c r="B23" s="123"/>
      <c r="C23" s="123"/>
      <c r="D23" s="413" t="s">
        <v>330</v>
      </c>
      <c r="E23" s="123"/>
      <c r="F23" s="123"/>
      <c r="G23" s="123"/>
      <c r="H23" s="123"/>
      <c r="I23" s="123"/>
      <c r="J23" s="123"/>
      <c r="K23" s="123"/>
      <c r="L23" s="123"/>
      <c r="M23" s="123"/>
      <c r="N23" s="123"/>
      <c r="O23" s="123"/>
      <c r="P23" s="123"/>
    </row>
    <row r="24" spans="2:16" x14ac:dyDescent="0.2">
      <c r="B24" s="123"/>
      <c r="C24" s="123"/>
      <c r="D24" s="414"/>
      <c r="E24" s="123"/>
      <c r="F24" s="123"/>
      <c r="G24" s="123"/>
      <c r="H24" s="123"/>
      <c r="I24" s="123"/>
      <c r="J24" s="123"/>
      <c r="K24" s="123"/>
      <c r="L24" s="123"/>
      <c r="M24" s="123"/>
      <c r="N24" s="123"/>
      <c r="O24" s="123"/>
      <c r="P24" s="123"/>
    </row>
    <row r="25" spans="2:16" x14ac:dyDescent="0.2">
      <c r="B25" s="123"/>
      <c r="C25" s="123"/>
      <c r="D25" s="473" t="s">
        <v>321</v>
      </c>
      <c r="E25" s="123"/>
      <c r="F25" s="123"/>
      <c r="G25" s="123"/>
      <c r="H25" s="123"/>
      <c r="I25" s="123"/>
      <c r="J25" s="123"/>
      <c r="K25" s="123"/>
      <c r="L25" s="123"/>
      <c r="M25" s="123"/>
      <c r="N25" s="123"/>
      <c r="O25" s="123"/>
      <c r="P25" s="123"/>
    </row>
    <row r="26" spans="2:16" x14ac:dyDescent="0.2">
      <c r="B26" s="123"/>
      <c r="C26" s="123"/>
      <c r="D26" s="473" t="s">
        <v>322</v>
      </c>
      <c r="E26" s="123"/>
      <c r="F26" s="123"/>
      <c r="G26" s="123"/>
      <c r="H26" s="123"/>
      <c r="I26" s="123"/>
      <c r="J26" s="123"/>
      <c r="K26" s="123"/>
      <c r="L26" s="123"/>
      <c r="M26" s="123"/>
      <c r="N26" s="123"/>
      <c r="O26" s="123"/>
      <c r="P26" s="123"/>
    </row>
    <row r="27" spans="2:16" x14ac:dyDescent="0.2">
      <c r="B27" s="123"/>
      <c r="C27" s="123"/>
      <c r="D27" s="473" t="s">
        <v>323</v>
      </c>
      <c r="E27" s="123"/>
      <c r="F27" s="123"/>
      <c r="G27" s="123"/>
      <c r="H27" s="123"/>
      <c r="I27" s="123"/>
      <c r="J27" s="123"/>
      <c r="K27" s="123"/>
      <c r="L27" s="123"/>
      <c r="M27" s="123"/>
      <c r="N27" s="123"/>
      <c r="O27" s="123"/>
      <c r="P27" s="123"/>
    </row>
    <row r="28" spans="2:16" x14ac:dyDescent="0.2">
      <c r="B28" s="123"/>
      <c r="C28" s="123"/>
      <c r="D28" s="473" t="s">
        <v>351</v>
      </c>
      <c r="E28" s="123"/>
      <c r="F28" s="123"/>
      <c r="G28" s="123"/>
      <c r="H28" s="123"/>
      <c r="I28" s="123"/>
      <c r="J28" s="123"/>
      <c r="K28" s="123"/>
      <c r="L28" s="123"/>
      <c r="M28" s="123"/>
      <c r="N28" s="123"/>
      <c r="O28" s="123"/>
      <c r="P28" s="123"/>
    </row>
    <row r="29" spans="2:16" x14ac:dyDescent="0.2">
      <c r="B29" s="123"/>
      <c r="C29" s="123"/>
      <c r="D29" s="473" t="s">
        <v>352</v>
      </c>
      <c r="E29" s="123"/>
      <c r="F29" s="123"/>
      <c r="G29" s="123"/>
      <c r="H29" s="123"/>
      <c r="I29" s="123"/>
      <c r="J29" s="123"/>
      <c r="K29" s="123"/>
      <c r="L29" s="123"/>
      <c r="M29" s="123"/>
      <c r="N29" s="123"/>
      <c r="O29" s="123"/>
      <c r="P29" s="123"/>
    </row>
    <row r="30" spans="2:16" x14ac:dyDescent="0.2">
      <c r="B30" s="123"/>
      <c r="C30" s="123"/>
      <c r="D30" s="473" t="s">
        <v>324</v>
      </c>
      <c r="E30" s="123"/>
      <c r="F30" s="123"/>
      <c r="G30" s="123"/>
      <c r="H30" s="123"/>
      <c r="I30" s="123"/>
      <c r="J30" s="123"/>
      <c r="K30" s="123"/>
      <c r="L30" s="123"/>
      <c r="M30" s="123"/>
      <c r="N30" s="123"/>
      <c r="O30" s="123"/>
      <c r="P30" s="123"/>
    </row>
    <row r="31" spans="2:16" x14ac:dyDescent="0.2">
      <c r="B31" s="123"/>
      <c r="C31" s="123"/>
      <c r="D31" s="473" t="s">
        <v>366</v>
      </c>
      <c r="E31" s="123"/>
      <c r="F31" s="123"/>
      <c r="G31" s="123"/>
      <c r="H31" s="123"/>
      <c r="I31" s="123"/>
      <c r="J31" s="123"/>
      <c r="K31" s="123"/>
      <c r="L31" s="123"/>
      <c r="M31" s="123"/>
      <c r="N31" s="123"/>
      <c r="O31" s="123"/>
      <c r="P31" s="123"/>
    </row>
    <row r="32" spans="2:16" x14ac:dyDescent="0.2">
      <c r="B32" s="123"/>
      <c r="C32" s="123"/>
      <c r="D32" s="473"/>
      <c r="E32" s="123"/>
      <c r="F32" s="123"/>
      <c r="G32" s="123"/>
      <c r="H32" s="123"/>
      <c r="I32" s="123"/>
      <c r="J32" s="123"/>
      <c r="K32" s="123"/>
      <c r="L32" s="123"/>
      <c r="M32" s="123"/>
      <c r="N32" s="123"/>
      <c r="O32" s="123"/>
      <c r="P32" s="123"/>
    </row>
    <row r="33" spans="2:16" x14ac:dyDescent="0.2">
      <c r="B33" s="123"/>
      <c r="C33" s="123"/>
      <c r="D33" s="483" t="s">
        <v>353</v>
      </c>
      <c r="E33" s="123"/>
      <c r="F33" s="123"/>
      <c r="G33" s="123"/>
      <c r="H33" s="123"/>
      <c r="I33" s="123"/>
      <c r="J33" s="123"/>
      <c r="K33" s="123"/>
      <c r="L33" s="123"/>
      <c r="M33" s="123"/>
      <c r="N33" s="123"/>
      <c r="O33" s="123"/>
      <c r="P33" s="123"/>
    </row>
    <row r="34" spans="2:16" x14ac:dyDescent="0.2">
      <c r="B34" s="123"/>
      <c r="C34" s="123"/>
      <c r="D34" s="458"/>
      <c r="E34" s="123"/>
      <c r="F34" s="123"/>
      <c r="G34" s="123"/>
      <c r="H34" s="123"/>
      <c r="I34" s="123"/>
      <c r="J34" s="123"/>
      <c r="K34" s="123"/>
      <c r="L34" s="123"/>
      <c r="M34" s="123"/>
      <c r="N34" s="123"/>
      <c r="O34" s="123"/>
      <c r="P34" s="123"/>
    </row>
    <row r="35" spans="2:16" x14ac:dyDescent="0.2">
      <c r="B35" s="123"/>
      <c r="C35" s="123"/>
      <c r="D35" s="484" t="s">
        <v>354</v>
      </c>
      <c r="E35" s="123"/>
      <c r="F35" s="123"/>
      <c r="G35" s="123"/>
      <c r="H35" s="123"/>
      <c r="I35" s="123"/>
      <c r="J35" s="123"/>
      <c r="K35" s="123"/>
      <c r="L35" s="123"/>
      <c r="M35" s="123"/>
      <c r="N35" s="123"/>
      <c r="O35" s="123"/>
      <c r="P35" s="123"/>
    </row>
    <row r="36" spans="2:16" x14ac:dyDescent="0.2">
      <c r="B36" s="123"/>
      <c r="C36" s="123"/>
      <c r="D36" s="123"/>
      <c r="E36" s="123"/>
      <c r="F36" s="123"/>
      <c r="G36" s="123"/>
      <c r="H36" s="123"/>
      <c r="I36" s="123"/>
      <c r="J36" s="123"/>
      <c r="K36" s="123"/>
      <c r="L36" s="123"/>
      <c r="M36" s="123"/>
      <c r="N36" s="123"/>
      <c r="O36" s="123"/>
      <c r="P36" s="123"/>
    </row>
    <row r="37" spans="2:16" x14ac:dyDescent="0.2">
      <c r="B37" s="123"/>
      <c r="C37" s="123"/>
      <c r="D37" s="123" t="s">
        <v>274</v>
      </c>
      <c r="E37" s="123"/>
      <c r="F37" s="123"/>
      <c r="G37" s="123"/>
      <c r="H37" s="123"/>
      <c r="I37" s="123"/>
      <c r="J37" s="123"/>
      <c r="K37" s="123"/>
      <c r="L37" s="123"/>
      <c r="M37" s="123"/>
      <c r="N37" s="123"/>
      <c r="O37" s="123"/>
      <c r="P37" s="123"/>
    </row>
    <row r="38" spans="2:16" x14ac:dyDescent="0.2">
      <c r="B38" s="123"/>
      <c r="C38" s="123"/>
      <c r="D38" s="123" t="s">
        <v>290</v>
      </c>
      <c r="E38" s="123"/>
      <c r="F38" s="123"/>
      <c r="G38" s="123"/>
      <c r="H38" s="123"/>
      <c r="I38" s="123"/>
      <c r="J38" s="123"/>
      <c r="K38" s="123"/>
      <c r="L38" s="123"/>
      <c r="M38" s="123"/>
      <c r="N38" s="123"/>
      <c r="O38" s="123"/>
      <c r="P38" s="123"/>
    </row>
    <row r="39" spans="2:16" x14ac:dyDescent="0.2">
      <c r="B39" s="123"/>
      <c r="C39" s="123"/>
      <c r="D39" s="413" t="s">
        <v>355</v>
      </c>
      <c r="E39" s="123"/>
      <c r="F39" s="123"/>
      <c r="G39" s="123"/>
      <c r="H39" s="123"/>
      <c r="I39" s="123"/>
      <c r="J39" s="123"/>
      <c r="K39" s="123"/>
      <c r="L39" s="123"/>
      <c r="M39" s="123"/>
      <c r="N39" s="123"/>
      <c r="O39" s="123"/>
      <c r="P39" s="123"/>
    </row>
    <row r="40" spans="2:16" x14ac:dyDescent="0.2">
      <c r="B40" s="123"/>
      <c r="C40" s="123"/>
      <c r="D40" s="123"/>
      <c r="E40" s="123"/>
      <c r="F40" s="123"/>
      <c r="G40" s="123"/>
      <c r="H40" s="123"/>
      <c r="I40" s="123"/>
      <c r="J40" s="123"/>
      <c r="K40" s="123"/>
      <c r="L40" s="123"/>
      <c r="M40" s="123"/>
      <c r="N40" s="123"/>
      <c r="O40" s="123"/>
      <c r="P40" s="123"/>
    </row>
    <row r="41" spans="2:16" x14ac:dyDescent="0.2">
      <c r="B41" s="123"/>
      <c r="C41" s="123"/>
      <c r="D41" s="413" t="s">
        <v>331</v>
      </c>
      <c r="E41" s="123"/>
      <c r="F41" s="123"/>
      <c r="G41" s="123"/>
      <c r="H41" s="123"/>
      <c r="I41" s="123"/>
      <c r="J41" s="123"/>
      <c r="K41" s="123"/>
      <c r="L41" s="123"/>
      <c r="M41" s="123"/>
      <c r="N41" s="123"/>
      <c r="O41" s="123"/>
      <c r="P41" s="123"/>
    </row>
    <row r="42" spans="2:16" x14ac:dyDescent="0.2">
      <c r="B42" s="123"/>
      <c r="C42" s="123"/>
      <c r="D42" s="123" t="s">
        <v>294</v>
      </c>
      <c r="E42" s="123"/>
      <c r="F42" s="123"/>
      <c r="G42" s="123"/>
      <c r="H42" s="123"/>
      <c r="I42" s="123"/>
      <c r="J42" s="123"/>
      <c r="K42" s="123"/>
      <c r="L42" s="123"/>
      <c r="M42" s="123"/>
      <c r="N42" s="123"/>
      <c r="O42" s="123"/>
      <c r="P42" s="123"/>
    </row>
    <row r="43" spans="2:16" x14ac:dyDescent="0.2">
      <c r="B43" s="123"/>
      <c r="C43" s="123"/>
      <c r="D43" s="413" t="s">
        <v>367</v>
      </c>
      <c r="E43" s="123"/>
      <c r="F43" s="123"/>
      <c r="G43" s="123"/>
      <c r="H43" s="123"/>
      <c r="I43" s="123"/>
      <c r="J43" s="123"/>
      <c r="K43" s="123"/>
      <c r="L43" s="123"/>
      <c r="M43" s="123"/>
      <c r="N43" s="123"/>
      <c r="O43" s="123"/>
      <c r="P43" s="123"/>
    </row>
    <row r="44" spans="2:16" x14ac:dyDescent="0.2">
      <c r="B44" s="123"/>
      <c r="C44" s="123"/>
      <c r="D44" s="413" t="s">
        <v>368</v>
      </c>
      <c r="E44" s="123"/>
      <c r="F44" s="123"/>
      <c r="G44" s="123"/>
      <c r="H44" s="123"/>
      <c r="I44" s="123"/>
      <c r="J44" s="123"/>
      <c r="K44" s="123"/>
      <c r="L44" s="123"/>
      <c r="M44" s="123"/>
      <c r="N44" s="123"/>
      <c r="O44" s="123"/>
      <c r="P44" s="123"/>
    </row>
    <row r="45" spans="2:16" x14ac:dyDescent="0.2">
      <c r="B45" s="123"/>
      <c r="C45" s="123"/>
      <c r="D45" s="123"/>
      <c r="E45" s="123"/>
      <c r="F45" s="123"/>
      <c r="G45" s="123"/>
      <c r="H45" s="123"/>
      <c r="I45" s="123"/>
      <c r="J45" s="123"/>
      <c r="K45" s="123"/>
      <c r="L45" s="123"/>
      <c r="M45" s="123"/>
      <c r="N45" s="123"/>
      <c r="O45" s="123"/>
      <c r="P45" s="123"/>
    </row>
    <row r="46" spans="2:16" x14ac:dyDescent="0.2">
      <c r="B46" s="123"/>
      <c r="C46" s="123"/>
      <c r="D46" s="413" t="s">
        <v>369</v>
      </c>
      <c r="E46" s="123"/>
      <c r="F46" s="123"/>
      <c r="G46" s="123"/>
      <c r="H46" s="123"/>
      <c r="I46" s="123"/>
      <c r="J46" s="123"/>
      <c r="K46" s="123"/>
      <c r="L46" s="123"/>
      <c r="M46" s="123"/>
      <c r="N46" s="123"/>
      <c r="O46" s="123"/>
      <c r="P46" s="123"/>
    </row>
    <row r="47" spans="2:16" x14ac:dyDescent="0.2">
      <c r="B47" s="123"/>
      <c r="C47" s="123"/>
      <c r="D47" s="123" t="s">
        <v>306</v>
      </c>
      <c r="E47" s="123"/>
      <c r="F47" s="123"/>
      <c r="G47" s="123"/>
      <c r="H47" s="123"/>
      <c r="I47" s="123"/>
      <c r="J47" s="123"/>
      <c r="K47" s="123"/>
      <c r="L47" s="123"/>
      <c r="M47" s="123"/>
      <c r="N47" s="123"/>
      <c r="O47" s="123"/>
      <c r="P47" s="123"/>
    </row>
    <row r="48" spans="2:16" x14ac:dyDescent="0.2">
      <c r="B48" s="123"/>
      <c r="C48" s="123"/>
      <c r="D48" s="123"/>
      <c r="E48" s="123"/>
      <c r="F48" s="123"/>
      <c r="G48" s="123"/>
      <c r="H48" s="123"/>
      <c r="I48" s="123"/>
      <c r="J48" s="123"/>
      <c r="K48" s="123"/>
      <c r="L48" s="123"/>
      <c r="M48" s="123"/>
      <c r="N48" s="123"/>
      <c r="O48" s="123"/>
      <c r="P48" s="123"/>
    </row>
    <row r="49" spans="1:16" x14ac:dyDescent="0.2">
      <c r="B49" s="123"/>
      <c r="C49" s="123"/>
      <c r="D49" s="123" t="s">
        <v>281</v>
      </c>
      <c r="E49" s="123"/>
      <c r="F49" s="123"/>
      <c r="G49" s="123"/>
      <c r="H49" s="123"/>
      <c r="I49" s="150"/>
      <c r="J49" s="150"/>
      <c r="K49" s="150"/>
      <c r="L49" s="123"/>
      <c r="M49" s="123"/>
      <c r="N49" s="123"/>
      <c r="O49" s="123"/>
      <c r="P49" s="123"/>
    </row>
    <row r="50" spans="1:16" x14ac:dyDescent="0.2">
      <c r="B50" s="123"/>
      <c r="C50" s="123"/>
      <c r="D50" s="123"/>
      <c r="E50" s="123"/>
      <c r="F50" s="123"/>
      <c r="G50" s="123"/>
      <c r="H50" s="123"/>
      <c r="I50" s="150"/>
      <c r="J50" s="150"/>
      <c r="K50" s="150"/>
      <c r="L50" s="123"/>
      <c r="M50" s="123"/>
      <c r="N50" s="123"/>
      <c r="O50" s="123"/>
      <c r="P50" s="123"/>
    </row>
    <row r="51" spans="1:16" x14ac:dyDescent="0.2">
      <c r="B51" s="127"/>
      <c r="C51" s="127">
        <v>1</v>
      </c>
      <c r="D51" s="126" t="s">
        <v>34</v>
      </c>
      <c r="E51" s="123"/>
      <c r="F51" s="123"/>
      <c r="G51" s="123"/>
      <c r="H51" s="123"/>
      <c r="I51" s="150"/>
      <c r="J51" s="150"/>
      <c r="K51" s="150"/>
      <c r="L51" s="123"/>
      <c r="M51" s="123"/>
      <c r="N51" s="123"/>
      <c r="O51" s="123"/>
      <c r="P51" s="123"/>
    </row>
    <row r="52" spans="1:16" x14ac:dyDescent="0.2">
      <c r="B52" s="123"/>
      <c r="C52" s="123"/>
      <c r="D52" s="126" t="s">
        <v>186</v>
      </c>
      <c r="E52" s="123"/>
      <c r="F52" s="123"/>
      <c r="G52" s="123"/>
      <c r="H52" s="123"/>
      <c r="I52" s="150"/>
      <c r="J52" s="150"/>
      <c r="K52" s="150"/>
      <c r="L52" s="123"/>
      <c r="M52" s="123"/>
      <c r="N52" s="123"/>
      <c r="O52" s="123"/>
      <c r="P52" s="123"/>
    </row>
    <row r="53" spans="1:16" x14ac:dyDescent="0.2">
      <c r="B53" s="123"/>
      <c r="C53" s="123"/>
      <c r="D53" s="447" t="s">
        <v>307</v>
      </c>
      <c r="E53" s="123"/>
      <c r="F53" s="123"/>
      <c r="G53" s="123"/>
      <c r="H53" s="123"/>
      <c r="I53" s="150"/>
      <c r="J53" s="150"/>
      <c r="K53" s="150"/>
      <c r="L53" s="123"/>
      <c r="M53" s="123"/>
      <c r="N53" s="123"/>
      <c r="O53" s="123"/>
      <c r="P53" s="123"/>
    </row>
    <row r="54" spans="1:16" x14ac:dyDescent="0.2">
      <c r="B54" s="123"/>
      <c r="C54" s="123"/>
      <c r="D54" s="447" t="s">
        <v>308</v>
      </c>
      <c r="E54" s="123"/>
      <c r="F54" s="123"/>
      <c r="G54" s="123"/>
      <c r="H54" s="123"/>
      <c r="I54" s="150"/>
      <c r="J54" s="150"/>
      <c r="K54" s="150"/>
      <c r="L54" s="123"/>
      <c r="M54" s="123"/>
      <c r="N54" s="123"/>
      <c r="O54" s="123"/>
      <c r="P54" s="123"/>
    </row>
    <row r="55" spans="1:16" x14ac:dyDescent="0.2">
      <c r="B55" s="123"/>
      <c r="C55" s="123"/>
      <c r="D55" s="447" t="s">
        <v>309</v>
      </c>
      <c r="E55" s="123"/>
      <c r="F55" s="123"/>
      <c r="G55" s="123"/>
      <c r="H55" s="123"/>
      <c r="I55" s="150"/>
      <c r="J55" s="150"/>
      <c r="K55" s="150"/>
      <c r="L55" s="123"/>
      <c r="M55" s="123"/>
      <c r="N55" s="123"/>
      <c r="O55" s="123"/>
      <c r="P55" s="123"/>
    </row>
    <row r="56" spans="1:16" x14ac:dyDescent="0.2">
      <c r="B56" s="123"/>
      <c r="C56" s="123"/>
      <c r="D56" s="447" t="s">
        <v>285</v>
      </c>
      <c r="E56" s="123"/>
      <c r="F56" s="123"/>
      <c r="G56" s="123"/>
      <c r="H56" s="123"/>
      <c r="I56" s="150"/>
      <c r="J56" s="150"/>
      <c r="K56" s="150"/>
      <c r="L56" s="123"/>
      <c r="M56" s="123"/>
      <c r="N56" s="123"/>
      <c r="O56" s="123"/>
      <c r="P56" s="123"/>
    </row>
    <row r="57" spans="1:16" x14ac:dyDescent="0.2">
      <c r="B57" s="123"/>
      <c r="C57" s="123"/>
      <c r="D57" s="447" t="s">
        <v>286</v>
      </c>
      <c r="E57" s="123"/>
      <c r="F57" s="123"/>
      <c r="G57" s="123"/>
      <c r="H57" s="123"/>
      <c r="I57" s="150"/>
      <c r="J57" s="150"/>
      <c r="K57" s="150"/>
      <c r="L57" s="123"/>
      <c r="M57" s="123"/>
      <c r="N57" s="123"/>
      <c r="O57" s="123"/>
      <c r="P57" s="123"/>
    </row>
    <row r="58" spans="1:16" x14ac:dyDescent="0.2">
      <c r="B58" s="123"/>
      <c r="C58" s="123"/>
      <c r="D58" s="447" t="s">
        <v>287</v>
      </c>
      <c r="E58" s="123"/>
      <c r="F58" s="123"/>
      <c r="G58" s="123"/>
      <c r="H58" s="123"/>
      <c r="I58" s="150"/>
      <c r="J58" s="150"/>
      <c r="K58" s="150"/>
      <c r="L58" s="123"/>
      <c r="M58" s="123"/>
      <c r="N58" s="123"/>
      <c r="O58" s="123"/>
      <c r="P58" s="123"/>
    </row>
    <row r="59" spans="1:16" x14ac:dyDescent="0.2">
      <c r="A59" s="120"/>
      <c r="B59" s="123"/>
      <c r="C59" s="123"/>
      <c r="D59" s="149"/>
      <c r="E59" s="123"/>
      <c r="F59" s="123"/>
      <c r="G59" s="123"/>
      <c r="H59" s="123"/>
      <c r="I59" s="150"/>
      <c r="J59" s="150"/>
      <c r="K59" s="150"/>
      <c r="L59" s="123"/>
      <c r="M59" s="123"/>
      <c r="N59" s="123"/>
      <c r="O59" s="123"/>
      <c r="P59" s="123"/>
    </row>
    <row r="60" spans="1:16" x14ac:dyDescent="0.2">
      <c r="B60" s="123"/>
      <c r="C60" s="123"/>
      <c r="D60" s="149" t="s">
        <v>121</v>
      </c>
      <c r="E60" s="123"/>
      <c r="F60" s="123"/>
      <c r="G60" s="123"/>
      <c r="H60" s="123"/>
      <c r="I60" s="150"/>
      <c r="J60" s="150"/>
      <c r="K60" s="150"/>
      <c r="L60" s="123"/>
      <c r="M60" s="123"/>
      <c r="N60" s="123"/>
      <c r="O60" s="123"/>
      <c r="P60" s="123"/>
    </row>
    <row r="61" spans="1:16" x14ac:dyDescent="0.2">
      <c r="B61" s="123"/>
      <c r="C61" s="123"/>
      <c r="D61" s="149" t="s">
        <v>122</v>
      </c>
      <c r="E61" s="123"/>
      <c r="F61" s="123"/>
      <c r="G61" s="123"/>
      <c r="H61" s="123"/>
      <c r="I61" s="150"/>
      <c r="J61" s="150"/>
      <c r="K61" s="150"/>
      <c r="L61" s="123"/>
      <c r="M61" s="123"/>
      <c r="N61" s="123"/>
      <c r="O61" s="123"/>
      <c r="P61" s="123"/>
    </row>
    <row r="62" spans="1:16" x14ac:dyDescent="0.2">
      <c r="B62" s="123"/>
      <c r="C62" s="123"/>
      <c r="D62" s="149" t="s">
        <v>288</v>
      </c>
      <c r="E62" s="123"/>
      <c r="F62" s="123"/>
      <c r="G62" s="123"/>
      <c r="H62" s="123"/>
      <c r="I62" s="150"/>
      <c r="J62" s="150"/>
      <c r="K62" s="150"/>
      <c r="L62" s="123"/>
      <c r="M62" s="123"/>
      <c r="N62" s="123"/>
      <c r="O62" s="123"/>
      <c r="P62" s="123"/>
    </row>
    <row r="63" spans="1:16" x14ac:dyDescent="0.2">
      <c r="B63" s="123"/>
      <c r="C63" s="123"/>
      <c r="D63" s="458" t="s">
        <v>332</v>
      </c>
      <c r="E63" s="123"/>
      <c r="F63" s="123"/>
      <c r="G63" s="123"/>
      <c r="H63" s="123"/>
      <c r="I63" s="150"/>
      <c r="J63" s="150"/>
      <c r="K63" s="150"/>
      <c r="L63" s="123"/>
      <c r="M63" s="123"/>
      <c r="N63" s="123"/>
      <c r="O63" s="123"/>
      <c r="P63" s="123"/>
    </row>
    <row r="64" spans="1:16" x14ac:dyDescent="0.2">
      <c r="B64" s="123"/>
      <c r="C64" s="123"/>
      <c r="D64" s="126"/>
      <c r="E64" s="123"/>
      <c r="F64" s="123"/>
      <c r="G64" s="123"/>
      <c r="H64" s="123"/>
      <c r="I64" s="150"/>
      <c r="J64" s="150"/>
      <c r="K64" s="150"/>
      <c r="L64" s="123"/>
      <c r="M64" s="123"/>
      <c r="N64" s="123"/>
      <c r="O64" s="123"/>
      <c r="P64" s="123"/>
    </row>
    <row r="65" spans="2:16" x14ac:dyDescent="0.2">
      <c r="B65" s="123"/>
      <c r="C65" s="123"/>
      <c r="D65" s="123" t="s">
        <v>70</v>
      </c>
      <c r="E65" s="123"/>
      <c r="F65" s="123"/>
      <c r="G65" s="123"/>
      <c r="H65" s="123"/>
      <c r="I65" s="150"/>
      <c r="J65" s="150"/>
      <c r="K65" s="150"/>
      <c r="L65" s="123"/>
      <c r="M65" s="123"/>
      <c r="N65" s="123"/>
      <c r="O65" s="123"/>
      <c r="P65" s="123"/>
    </row>
    <row r="66" spans="2:16" x14ac:dyDescent="0.2">
      <c r="B66" s="123"/>
      <c r="C66" s="123"/>
      <c r="D66" s="123" t="s">
        <v>71</v>
      </c>
      <c r="E66" s="123"/>
      <c r="F66" s="123"/>
      <c r="G66" s="123"/>
      <c r="H66" s="123"/>
      <c r="I66" s="150"/>
      <c r="J66" s="150"/>
      <c r="K66" s="150"/>
      <c r="L66" s="123"/>
      <c r="M66" s="123"/>
      <c r="N66" s="123"/>
      <c r="O66" s="123"/>
      <c r="P66" s="123"/>
    </row>
    <row r="67" spans="2:16" x14ac:dyDescent="0.2">
      <c r="B67" s="123"/>
      <c r="C67" s="123"/>
      <c r="D67" s="123" t="s">
        <v>289</v>
      </c>
      <c r="E67" s="123"/>
      <c r="F67" s="123"/>
      <c r="G67" s="123"/>
      <c r="H67" s="123"/>
      <c r="I67" s="150"/>
      <c r="J67" s="150"/>
      <c r="K67" s="150"/>
      <c r="L67" s="123"/>
      <c r="M67" s="123"/>
      <c r="N67" s="123"/>
      <c r="O67" s="123"/>
      <c r="P67" s="123"/>
    </row>
    <row r="68" spans="2:16" x14ac:dyDescent="0.2">
      <c r="B68" s="123"/>
      <c r="C68" s="123"/>
      <c r="D68" s="123"/>
      <c r="E68" s="123"/>
      <c r="F68" s="123"/>
      <c r="G68" s="123"/>
      <c r="H68" s="123"/>
      <c r="I68" s="150"/>
      <c r="J68" s="150"/>
      <c r="K68" s="150"/>
      <c r="L68" s="123"/>
      <c r="M68" s="123"/>
      <c r="N68" s="123"/>
      <c r="O68" s="123"/>
      <c r="P68" s="123"/>
    </row>
    <row r="69" spans="2:16" x14ac:dyDescent="0.2">
      <c r="B69" s="123"/>
      <c r="C69" s="123"/>
      <c r="D69" s="443" t="s">
        <v>333</v>
      </c>
      <c r="E69" s="123"/>
      <c r="F69" s="123"/>
      <c r="G69" s="123"/>
      <c r="H69" s="123"/>
      <c r="I69" s="150"/>
      <c r="J69" s="150"/>
      <c r="K69" s="150"/>
      <c r="L69" s="123"/>
      <c r="M69" s="123"/>
      <c r="N69" s="123"/>
      <c r="O69" s="123"/>
      <c r="P69" s="123"/>
    </row>
    <row r="70" spans="2:16" x14ac:dyDescent="0.2">
      <c r="B70" s="123"/>
      <c r="C70" s="123"/>
      <c r="D70" s="413" t="s">
        <v>356</v>
      </c>
      <c r="E70" s="123"/>
      <c r="F70" s="123"/>
      <c r="G70" s="123"/>
      <c r="H70" s="123"/>
      <c r="I70" s="150"/>
      <c r="J70" s="150"/>
      <c r="K70" s="150"/>
      <c r="L70" s="123"/>
      <c r="M70" s="123"/>
      <c r="N70" s="123"/>
      <c r="O70" s="123"/>
      <c r="P70" s="123"/>
    </row>
    <row r="71" spans="2:16" x14ac:dyDescent="0.2">
      <c r="B71" s="123"/>
      <c r="C71" s="123"/>
      <c r="D71" s="413" t="s">
        <v>357</v>
      </c>
      <c r="E71" s="123"/>
      <c r="F71" s="123"/>
      <c r="G71" s="123"/>
      <c r="H71" s="123"/>
      <c r="I71" s="150"/>
      <c r="J71" s="150"/>
      <c r="K71" s="150"/>
      <c r="L71" s="123"/>
      <c r="M71" s="123"/>
      <c r="N71" s="123"/>
      <c r="O71" s="123"/>
      <c r="P71" s="123"/>
    </row>
    <row r="72" spans="2:16" x14ac:dyDescent="0.2">
      <c r="B72" s="123"/>
      <c r="C72" s="123"/>
      <c r="D72" s="488" t="s">
        <v>334</v>
      </c>
      <c r="E72" s="123"/>
      <c r="F72" s="123"/>
      <c r="G72" s="123"/>
      <c r="H72" s="123"/>
      <c r="I72" s="150"/>
      <c r="J72" s="150"/>
      <c r="K72" s="150"/>
      <c r="L72" s="123"/>
      <c r="M72" s="123"/>
      <c r="N72" s="123"/>
      <c r="O72" s="123"/>
      <c r="P72" s="123"/>
    </row>
    <row r="73" spans="2:16" x14ac:dyDescent="0.2">
      <c r="B73" s="123"/>
      <c r="C73" s="123"/>
      <c r="D73" s="489" t="s">
        <v>335</v>
      </c>
      <c r="E73" s="123"/>
      <c r="F73" s="123"/>
      <c r="G73" s="123"/>
      <c r="H73" s="123"/>
      <c r="I73" s="150"/>
      <c r="J73" s="150"/>
      <c r="K73" s="150"/>
      <c r="L73" s="123"/>
      <c r="M73" s="123"/>
      <c r="N73" s="123"/>
      <c r="O73" s="123"/>
      <c r="P73" s="123"/>
    </row>
    <row r="74" spans="2:16" x14ac:dyDescent="0.2">
      <c r="B74" s="123"/>
      <c r="C74" s="123"/>
      <c r="D74" s="413" t="s">
        <v>336</v>
      </c>
      <c r="E74" s="123"/>
      <c r="F74" s="123"/>
      <c r="G74" s="123"/>
      <c r="H74" s="123"/>
      <c r="I74" s="150"/>
      <c r="J74" s="150"/>
      <c r="K74" s="150"/>
      <c r="L74" s="123"/>
      <c r="M74" s="123"/>
      <c r="N74" s="123"/>
      <c r="O74" s="123"/>
      <c r="P74" s="123"/>
    </row>
    <row r="75" spans="2:16" x14ac:dyDescent="0.2">
      <c r="B75" s="123"/>
      <c r="C75" s="123"/>
      <c r="D75" s="413" t="s">
        <v>337</v>
      </c>
      <c r="E75" s="123"/>
      <c r="F75" s="123"/>
      <c r="G75" s="123"/>
      <c r="H75" s="123"/>
      <c r="I75" s="150"/>
      <c r="J75" s="150"/>
      <c r="K75" s="150"/>
      <c r="L75" s="123"/>
      <c r="M75" s="123"/>
      <c r="N75" s="123"/>
      <c r="O75" s="123"/>
      <c r="P75" s="123"/>
    </row>
    <row r="76" spans="2:16" x14ac:dyDescent="0.2">
      <c r="B76" s="123"/>
      <c r="C76" s="123"/>
      <c r="D76" s="489" t="s">
        <v>338</v>
      </c>
      <c r="E76" s="123"/>
      <c r="F76" s="123"/>
      <c r="G76" s="123"/>
      <c r="H76" s="123"/>
      <c r="I76" s="150"/>
      <c r="J76" s="150"/>
      <c r="K76" s="150"/>
      <c r="L76" s="123"/>
      <c r="M76" s="123"/>
      <c r="N76" s="123"/>
      <c r="O76" s="123"/>
      <c r="P76" s="123"/>
    </row>
    <row r="77" spans="2:16" x14ac:dyDescent="0.2">
      <c r="B77" s="123"/>
      <c r="C77" s="123"/>
      <c r="D77" s="123" t="s">
        <v>339</v>
      </c>
      <c r="E77" s="123"/>
      <c r="F77" s="123"/>
      <c r="G77" s="123"/>
      <c r="H77" s="123"/>
      <c r="I77" s="150"/>
      <c r="J77" s="150"/>
      <c r="K77" s="150"/>
      <c r="L77" s="123"/>
      <c r="M77" s="123"/>
      <c r="N77" s="123"/>
      <c r="O77" s="123"/>
      <c r="P77" s="123"/>
    </row>
    <row r="78" spans="2:16" x14ac:dyDescent="0.2">
      <c r="B78" s="123"/>
      <c r="C78" s="123"/>
      <c r="D78" s="414" t="s">
        <v>340</v>
      </c>
      <c r="E78" s="123"/>
      <c r="F78" s="123"/>
      <c r="G78" s="123"/>
      <c r="H78" s="123"/>
      <c r="I78" s="150"/>
      <c r="J78" s="150"/>
      <c r="K78" s="150"/>
      <c r="L78" s="123"/>
      <c r="M78" s="123"/>
      <c r="N78" s="123"/>
      <c r="O78" s="123"/>
      <c r="P78" s="123"/>
    </row>
    <row r="79" spans="2:16" x14ac:dyDescent="0.2">
      <c r="B79" s="123"/>
      <c r="C79" s="123"/>
      <c r="D79" s="489" t="s">
        <v>341</v>
      </c>
      <c r="E79" s="123"/>
      <c r="F79" s="123"/>
      <c r="G79" s="123"/>
      <c r="H79" s="123"/>
      <c r="I79" s="150"/>
      <c r="J79" s="150"/>
      <c r="K79" s="150"/>
      <c r="L79" s="123"/>
      <c r="M79" s="123"/>
      <c r="N79" s="123"/>
      <c r="O79" s="123"/>
      <c r="P79" s="123"/>
    </row>
    <row r="80" spans="2:16" x14ac:dyDescent="0.2">
      <c r="B80" s="123"/>
      <c r="C80" s="123"/>
      <c r="D80" s="413" t="s">
        <v>342</v>
      </c>
      <c r="E80" s="123"/>
      <c r="F80" s="123"/>
      <c r="G80" s="123"/>
      <c r="H80" s="123"/>
      <c r="I80" s="150"/>
      <c r="J80" s="150"/>
      <c r="K80" s="150"/>
      <c r="L80" s="123"/>
      <c r="M80" s="123"/>
      <c r="N80" s="123"/>
      <c r="O80" s="123"/>
      <c r="P80" s="123"/>
    </row>
    <row r="81" spans="2:16" x14ac:dyDescent="0.2">
      <c r="B81" s="123"/>
      <c r="C81" s="123"/>
      <c r="D81" s="123" t="s">
        <v>343</v>
      </c>
      <c r="E81" s="123"/>
      <c r="F81" s="123"/>
      <c r="G81" s="123"/>
      <c r="H81" s="123"/>
      <c r="I81" s="150"/>
      <c r="J81" s="150"/>
      <c r="K81" s="150"/>
      <c r="L81" s="123"/>
      <c r="M81" s="123"/>
      <c r="N81" s="123"/>
      <c r="O81" s="123"/>
      <c r="P81" s="123"/>
    </row>
    <row r="82" spans="2:16" x14ac:dyDescent="0.2">
      <c r="B82" s="123"/>
      <c r="C82" s="123"/>
      <c r="D82" s="413" t="s">
        <v>344</v>
      </c>
      <c r="E82" s="123"/>
      <c r="F82" s="123"/>
      <c r="G82" s="123"/>
      <c r="H82" s="123"/>
      <c r="I82" s="150"/>
      <c r="J82" s="150"/>
      <c r="K82" s="150"/>
      <c r="L82" s="123"/>
      <c r="M82" s="123"/>
      <c r="N82" s="123"/>
      <c r="O82" s="123"/>
      <c r="P82" s="123"/>
    </row>
    <row r="83" spans="2:16" x14ac:dyDescent="0.2">
      <c r="B83" s="123"/>
      <c r="C83" s="123"/>
      <c r="D83" s="123"/>
      <c r="E83" s="123"/>
      <c r="F83" s="123"/>
      <c r="G83" s="123"/>
      <c r="H83" s="123"/>
      <c r="I83" s="150"/>
      <c r="J83" s="150"/>
      <c r="K83" s="150"/>
      <c r="L83" s="123"/>
      <c r="M83" s="123"/>
      <c r="N83" s="123"/>
      <c r="O83" s="123"/>
      <c r="P83" s="123"/>
    </row>
    <row r="84" spans="2:16" x14ac:dyDescent="0.2">
      <c r="B84" s="123"/>
      <c r="C84" s="123"/>
      <c r="D84" s="458" t="s">
        <v>345</v>
      </c>
      <c r="E84" s="123"/>
      <c r="F84" s="123"/>
      <c r="G84" s="123"/>
      <c r="H84" s="123"/>
      <c r="I84" s="150"/>
      <c r="J84" s="150"/>
      <c r="K84" s="150"/>
      <c r="L84" s="123"/>
      <c r="M84" s="123"/>
      <c r="N84" s="123"/>
      <c r="O84" s="123"/>
      <c r="P84" s="123"/>
    </row>
    <row r="85" spans="2:16" x14ac:dyDescent="0.2">
      <c r="B85" s="123"/>
      <c r="C85" s="123"/>
      <c r="D85" s="123" t="s">
        <v>231</v>
      </c>
      <c r="E85" s="123"/>
      <c r="F85" s="123"/>
      <c r="G85" s="123"/>
      <c r="H85" s="123"/>
      <c r="I85" s="150"/>
      <c r="J85" s="150"/>
      <c r="K85" s="150"/>
      <c r="L85" s="123"/>
      <c r="M85" s="123"/>
      <c r="N85" s="123"/>
      <c r="O85" s="123"/>
      <c r="P85" s="123"/>
    </row>
    <row r="86" spans="2:16" x14ac:dyDescent="0.2">
      <c r="B86" s="123"/>
      <c r="C86" s="123"/>
      <c r="D86" s="123" t="s">
        <v>232</v>
      </c>
      <c r="E86" s="123"/>
      <c r="F86" s="123"/>
      <c r="G86" s="123"/>
      <c r="H86" s="123"/>
      <c r="I86" s="150"/>
      <c r="J86" s="150"/>
      <c r="K86" s="150"/>
      <c r="L86" s="123"/>
      <c r="M86" s="123"/>
      <c r="N86" s="123"/>
      <c r="O86" s="123"/>
      <c r="P86" s="123"/>
    </row>
    <row r="87" spans="2:16" x14ac:dyDescent="0.2">
      <c r="B87" s="123"/>
      <c r="C87" s="123"/>
      <c r="D87" s="123" t="s">
        <v>233</v>
      </c>
      <c r="E87" s="123"/>
      <c r="F87" s="123"/>
      <c r="G87" s="123"/>
      <c r="H87" s="123"/>
      <c r="I87" s="150"/>
      <c r="J87" s="150"/>
      <c r="K87" s="150"/>
      <c r="L87" s="123"/>
      <c r="M87" s="123"/>
      <c r="N87" s="123"/>
      <c r="O87" s="123"/>
      <c r="P87" s="123"/>
    </row>
    <row r="88" spans="2:16" x14ac:dyDescent="0.2">
      <c r="B88" s="123"/>
      <c r="C88" s="123"/>
      <c r="D88" s="123" t="s">
        <v>216</v>
      </c>
      <c r="E88" s="123"/>
      <c r="F88" s="123"/>
      <c r="G88" s="123"/>
      <c r="H88" s="123"/>
      <c r="I88" s="150"/>
      <c r="J88" s="150"/>
      <c r="K88" s="150"/>
      <c r="L88" s="123"/>
      <c r="M88" s="151"/>
      <c r="N88" s="151"/>
      <c r="O88" s="123"/>
      <c r="P88" s="123"/>
    </row>
    <row r="89" spans="2:16" x14ac:dyDescent="0.2">
      <c r="B89" s="123"/>
      <c r="C89" s="123"/>
      <c r="D89" s="123"/>
      <c r="E89" s="123"/>
      <c r="F89" s="123"/>
      <c r="G89" s="123"/>
      <c r="H89" s="123"/>
      <c r="I89" s="150"/>
      <c r="J89" s="150"/>
      <c r="K89" s="150"/>
      <c r="L89" s="123"/>
      <c r="M89" s="151"/>
      <c r="N89" s="151"/>
      <c r="O89" s="123"/>
      <c r="P89" s="123"/>
    </row>
    <row r="90" spans="2:16" x14ac:dyDescent="0.2">
      <c r="B90" s="123"/>
      <c r="C90" s="123"/>
      <c r="D90" s="123" t="s">
        <v>310</v>
      </c>
      <c r="E90" s="123"/>
      <c r="F90" s="123"/>
      <c r="G90" s="123"/>
      <c r="H90" s="123"/>
      <c r="I90" s="150"/>
      <c r="J90" s="150"/>
      <c r="K90" s="150"/>
      <c r="L90" s="123"/>
      <c r="M90" s="123"/>
      <c r="N90" s="123"/>
      <c r="O90" s="123"/>
      <c r="P90" s="123"/>
    </row>
    <row r="91" spans="2:16" x14ac:dyDescent="0.2">
      <c r="B91" s="123"/>
      <c r="C91" s="123"/>
      <c r="D91" s="123" t="s">
        <v>311</v>
      </c>
      <c r="E91" s="123"/>
      <c r="F91" s="123"/>
      <c r="G91" s="123"/>
      <c r="H91" s="123"/>
      <c r="I91" s="150"/>
      <c r="J91" s="150"/>
      <c r="K91" s="150"/>
      <c r="L91" s="123"/>
      <c r="M91" s="123"/>
      <c r="N91" s="123"/>
      <c r="O91" s="123"/>
      <c r="P91" s="123"/>
    </row>
    <row r="92" spans="2:16" x14ac:dyDescent="0.2">
      <c r="B92" s="123"/>
      <c r="C92" s="123"/>
      <c r="D92" s="123" t="s">
        <v>248</v>
      </c>
      <c r="E92" s="123"/>
      <c r="F92" s="123"/>
      <c r="G92" s="123"/>
      <c r="H92" s="123"/>
      <c r="I92" s="150"/>
      <c r="J92" s="150"/>
      <c r="K92" s="150"/>
      <c r="L92" s="123"/>
      <c r="M92" s="123"/>
      <c r="N92" s="123"/>
      <c r="O92" s="123"/>
      <c r="P92" s="123"/>
    </row>
    <row r="93" spans="2:16" x14ac:dyDescent="0.2">
      <c r="B93" s="123"/>
      <c r="C93" s="123"/>
      <c r="D93" s="123" t="s">
        <v>123</v>
      </c>
      <c r="E93" s="123"/>
      <c r="F93" s="123"/>
      <c r="G93" s="123"/>
      <c r="H93" s="123"/>
      <c r="I93" s="150"/>
      <c r="J93" s="150"/>
      <c r="K93" s="150"/>
      <c r="L93" s="123"/>
      <c r="M93" s="123"/>
      <c r="N93" s="123"/>
      <c r="O93" s="123"/>
      <c r="P93" s="123"/>
    </row>
    <row r="94" spans="2:16" x14ac:dyDescent="0.2">
      <c r="B94" s="123"/>
      <c r="C94" s="123"/>
      <c r="D94" s="123"/>
      <c r="E94" s="123"/>
      <c r="F94" s="123"/>
      <c r="G94" s="123"/>
      <c r="H94" s="123"/>
      <c r="I94" s="150"/>
      <c r="J94" s="150"/>
      <c r="K94" s="150"/>
      <c r="L94" s="123"/>
      <c r="M94" s="123"/>
      <c r="N94" s="123"/>
      <c r="O94" s="123"/>
      <c r="P94" s="123"/>
    </row>
    <row r="95" spans="2:16" x14ac:dyDescent="0.2">
      <c r="B95" s="123"/>
      <c r="C95" s="123"/>
      <c r="D95" s="515" t="s">
        <v>373</v>
      </c>
      <c r="E95" s="123"/>
      <c r="F95" s="123"/>
      <c r="G95" s="123"/>
      <c r="H95" s="123"/>
      <c r="I95" s="150"/>
      <c r="J95" s="150"/>
      <c r="K95" s="150"/>
      <c r="L95" s="123"/>
      <c r="M95" s="123"/>
      <c r="N95" s="123"/>
      <c r="O95" s="123"/>
      <c r="P95" s="123"/>
    </row>
    <row r="96" spans="2:16" x14ac:dyDescent="0.2">
      <c r="B96" s="123"/>
      <c r="C96" s="123"/>
      <c r="D96" s="515" t="s">
        <v>370</v>
      </c>
      <c r="E96" s="123"/>
      <c r="F96" s="123"/>
      <c r="G96" s="123"/>
      <c r="H96" s="123"/>
      <c r="I96" s="150"/>
      <c r="J96" s="150"/>
      <c r="K96" s="150"/>
      <c r="L96" s="123"/>
      <c r="M96" s="123"/>
      <c r="N96" s="123"/>
      <c r="O96" s="123"/>
      <c r="P96" s="123"/>
    </row>
    <row r="97" spans="2:16" x14ac:dyDescent="0.2">
      <c r="B97" s="123"/>
      <c r="C97" s="123"/>
      <c r="D97" s="515" t="s">
        <v>371</v>
      </c>
      <c r="E97" s="123"/>
      <c r="F97" s="123"/>
      <c r="G97" s="123"/>
      <c r="H97" s="123"/>
      <c r="I97" s="150"/>
      <c r="J97" s="150"/>
      <c r="K97" s="150"/>
      <c r="L97" s="123"/>
      <c r="M97" s="123"/>
      <c r="N97" s="123"/>
      <c r="O97" s="123"/>
      <c r="P97" s="123"/>
    </row>
    <row r="98" spans="2:16" x14ac:dyDescent="0.2">
      <c r="B98" s="123"/>
      <c r="C98" s="123"/>
      <c r="D98" s="123"/>
      <c r="E98" s="123"/>
      <c r="F98" s="123"/>
      <c r="G98" s="123"/>
      <c r="H98" s="123"/>
      <c r="I98" s="150"/>
      <c r="J98" s="150"/>
      <c r="K98" s="150"/>
      <c r="L98" s="123"/>
      <c r="M98" s="123"/>
      <c r="N98" s="123"/>
      <c r="O98" s="123"/>
      <c r="P98" s="123"/>
    </row>
    <row r="99" spans="2:16" x14ac:dyDescent="0.2">
      <c r="B99" s="123"/>
      <c r="C99" s="123"/>
      <c r="D99" s="123" t="s">
        <v>72</v>
      </c>
      <c r="E99" s="123"/>
      <c r="F99" s="123"/>
      <c r="G99" s="123"/>
      <c r="H99" s="123"/>
      <c r="I99" s="150"/>
      <c r="J99" s="150"/>
      <c r="K99" s="150"/>
      <c r="L99" s="123"/>
      <c r="M99" s="123"/>
      <c r="N99" s="123"/>
      <c r="O99" s="123"/>
      <c r="P99" s="123"/>
    </row>
    <row r="100" spans="2:16" x14ac:dyDescent="0.2">
      <c r="B100" s="123"/>
      <c r="C100" s="123"/>
      <c r="D100" s="123" t="s">
        <v>312</v>
      </c>
      <c r="E100" s="123"/>
      <c r="F100" s="123"/>
      <c r="G100" s="123"/>
      <c r="H100" s="123"/>
      <c r="I100" s="150"/>
      <c r="J100" s="150"/>
      <c r="K100" s="150"/>
      <c r="L100" s="123"/>
      <c r="M100" s="123"/>
      <c r="N100" s="123"/>
      <c r="O100" s="123"/>
      <c r="P100" s="123"/>
    </row>
    <row r="101" spans="2:16" x14ac:dyDescent="0.2">
      <c r="B101" s="123"/>
      <c r="C101" s="123"/>
      <c r="D101" s="123" t="s">
        <v>282</v>
      </c>
      <c r="E101" s="123"/>
      <c r="F101" s="123"/>
      <c r="G101" s="123"/>
      <c r="H101" s="123"/>
      <c r="I101" s="150"/>
      <c r="J101" s="150"/>
      <c r="K101" s="150"/>
      <c r="L101" s="123"/>
      <c r="M101" s="123"/>
      <c r="N101" s="123"/>
      <c r="O101" s="123"/>
      <c r="P101" s="123"/>
    </row>
    <row r="102" spans="2:16" x14ac:dyDescent="0.2">
      <c r="B102" s="123"/>
      <c r="C102" s="123"/>
      <c r="D102" s="123" t="s">
        <v>73</v>
      </c>
      <c r="E102" s="123"/>
      <c r="F102" s="123"/>
      <c r="G102" s="123"/>
      <c r="H102" s="123"/>
      <c r="I102" s="150"/>
      <c r="J102" s="150"/>
      <c r="K102" s="150"/>
      <c r="L102" s="123"/>
      <c r="M102" s="123"/>
      <c r="N102" s="123"/>
      <c r="O102" s="123"/>
      <c r="P102" s="123"/>
    </row>
    <row r="103" spans="2:16" x14ac:dyDescent="0.2">
      <c r="B103" s="123"/>
      <c r="C103" s="123"/>
      <c r="D103" s="123"/>
      <c r="E103" s="123"/>
      <c r="F103" s="123"/>
      <c r="G103" s="123"/>
      <c r="H103" s="123"/>
      <c r="I103" s="150"/>
      <c r="J103" s="150"/>
      <c r="K103" s="150"/>
      <c r="L103" s="123"/>
      <c r="M103" s="123"/>
      <c r="N103" s="123"/>
      <c r="O103" s="123"/>
      <c r="P103" s="123"/>
    </row>
    <row r="104" spans="2:16" x14ac:dyDescent="0.2">
      <c r="B104" s="123"/>
      <c r="C104" s="123"/>
      <c r="D104" s="149" t="s">
        <v>75</v>
      </c>
      <c r="E104" s="123"/>
      <c r="F104" s="123"/>
      <c r="G104" s="123"/>
      <c r="H104" s="123"/>
      <c r="I104" s="150"/>
      <c r="J104" s="150"/>
      <c r="K104" s="150"/>
      <c r="L104" s="123"/>
      <c r="M104" s="123"/>
      <c r="N104" s="123"/>
      <c r="O104" s="123"/>
      <c r="P104" s="123"/>
    </row>
    <row r="105" spans="2:16" x14ac:dyDescent="0.2">
      <c r="B105" s="123"/>
      <c r="C105" s="123"/>
      <c r="D105" s="123" t="s">
        <v>224</v>
      </c>
      <c r="E105" s="123"/>
      <c r="F105" s="123"/>
      <c r="G105" s="123"/>
      <c r="H105" s="123"/>
      <c r="I105" s="150"/>
      <c r="J105" s="150"/>
      <c r="K105" s="150"/>
      <c r="L105" s="123"/>
      <c r="M105" s="123"/>
      <c r="N105" s="123"/>
      <c r="O105" s="123"/>
      <c r="P105" s="123"/>
    </row>
    <row r="106" spans="2:16" x14ac:dyDescent="0.2">
      <c r="B106" s="123"/>
      <c r="C106" s="123"/>
      <c r="D106" s="123"/>
      <c r="E106" s="123"/>
      <c r="F106" s="123"/>
      <c r="G106" s="123"/>
      <c r="H106" s="123"/>
      <c r="I106" s="150"/>
      <c r="J106" s="150"/>
      <c r="K106" s="150"/>
      <c r="L106" s="123"/>
      <c r="M106" s="123"/>
      <c r="N106" s="123"/>
      <c r="O106" s="123"/>
      <c r="P106" s="123"/>
    </row>
    <row r="107" spans="2:16" x14ac:dyDescent="0.2">
      <c r="B107" s="123"/>
      <c r="C107" s="123"/>
      <c r="D107" s="149" t="s">
        <v>76</v>
      </c>
      <c r="E107" s="123"/>
      <c r="F107" s="123"/>
      <c r="G107" s="123"/>
      <c r="H107" s="123"/>
      <c r="I107" s="150"/>
      <c r="J107" s="150"/>
      <c r="K107" s="150"/>
      <c r="L107" s="123"/>
      <c r="M107" s="123"/>
      <c r="N107" s="123"/>
      <c r="O107" s="123"/>
      <c r="P107" s="123"/>
    </row>
    <row r="108" spans="2:16" x14ac:dyDescent="0.2">
      <c r="B108" s="123"/>
      <c r="C108" s="123"/>
      <c r="D108" s="123" t="s">
        <v>223</v>
      </c>
      <c r="E108" s="123"/>
      <c r="F108" s="123"/>
      <c r="G108" s="123"/>
      <c r="H108" s="123"/>
      <c r="I108" s="150"/>
      <c r="J108" s="150"/>
      <c r="K108" s="150"/>
      <c r="L108" s="123"/>
      <c r="M108" s="123"/>
      <c r="N108" s="123"/>
      <c r="O108" s="123"/>
      <c r="P108" s="123"/>
    </row>
    <row r="109" spans="2:16" x14ac:dyDescent="0.2">
      <c r="B109" s="123"/>
      <c r="C109" s="123"/>
      <c r="D109" s="123"/>
      <c r="E109" s="123"/>
      <c r="F109" s="123"/>
      <c r="G109" s="123"/>
      <c r="H109" s="123"/>
      <c r="I109" s="150"/>
      <c r="J109" s="150"/>
      <c r="K109" s="150"/>
      <c r="L109" s="123"/>
      <c r="M109" s="123"/>
      <c r="N109" s="123"/>
      <c r="O109" s="123"/>
      <c r="P109" s="123"/>
    </row>
    <row r="110" spans="2:16" x14ac:dyDescent="0.2">
      <c r="B110" s="123"/>
      <c r="C110" s="123"/>
      <c r="D110" s="149" t="s">
        <v>249</v>
      </c>
      <c r="E110" s="123"/>
      <c r="F110" s="123"/>
      <c r="G110" s="123"/>
      <c r="H110" s="123"/>
      <c r="I110" s="150"/>
      <c r="J110" s="150"/>
      <c r="K110" s="150"/>
      <c r="L110" s="123"/>
      <c r="M110" s="123"/>
      <c r="N110" s="123"/>
      <c r="O110" s="123"/>
      <c r="P110" s="123"/>
    </row>
    <row r="111" spans="2:16" x14ac:dyDescent="0.2">
      <c r="B111" s="123"/>
      <c r="C111" s="123"/>
      <c r="D111" s="123" t="s">
        <v>250</v>
      </c>
      <c r="E111" s="123"/>
      <c r="F111" s="123"/>
      <c r="G111" s="123"/>
      <c r="H111" s="123"/>
      <c r="I111" s="150"/>
      <c r="J111" s="150"/>
      <c r="K111" s="150"/>
      <c r="L111" s="123"/>
      <c r="M111" s="123"/>
      <c r="N111" s="123"/>
      <c r="O111" s="123"/>
      <c r="P111" s="123"/>
    </row>
    <row r="112" spans="2:16" x14ac:dyDescent="0.2">
      <c r="B112" s="123"/>
      <c r="C112" s="123"/>
      <c r="D112" s="123"/>
      <c r="E112" s="123"/>
      <c r="F112" s="123"/>
      <c r="G112" s="123"/>
      <c r="H112" s="123"/>
      <c r="I112" s="150"/>
      <c r="J112" s="150"/>
      <c r="K112" s="150"/>
      <c r="L112" s="123"/>
      <c r="M112" s="123"/>
      <c r="N112" s="123"/>
      <c r="O112" s="123"/>
      <c r="P112" s="123"/>
    </row>
    <row r="113" spans="1:16" x14ac:dyDescent="0.2">
      <c r="B113" s="123"/>
      <c r="C113" s="123"/>
      <c r="D113" s="149" t="s">
        <v>124</v>
      </c>
      <c r="E113" s="123"/>
      <c r="F113" s="123"/>
      <c r="G113" s="123"/>
      <c r="H113" s="123"/>
      <c r="I113" s="150"/>
      <c r="J113" s="150"/>
      <c r="K113" s="150"/>
      <c r="L113" s="123"/>
      <c r="M113" s="123"/>
      <c r="N113" s="123"/>
      <c r="O113" s="123"/>
      <c r="P113" s="123"/>
    </row>
    <row r="114" spans="1:16" x14ac:dyDescent="0.2">
      <c r="B114" s="123"/>
      <c r="C114" s="123"/>
      <c r="D114" s="123" t="s">
        <v>125</v>
      </c>
      <c r="E114" s="123"/>
      <c r="F114" s="123"/>
      <c r="G114" s="123"/>
      <c r="H114" s="123"/>
      <c r="I114" s="150"/>
      <c r="J114" s="150"/>
      <c r="K114" s="150"/>
      <c r="L114" s="123"/>
      <c r="M114" s="123"/>
      <c r="N114" s="123"/>
      <c r="O114" s="123"/>
      <c r="P114" s="123"/>
    </row>
    <row r="115" spans="1:16" x14ac:dyDescent="0.2">
      <c r="B115" s="123"/>
      <c r="C115" s="123"/>
      <c r="D115" s="123"/>
      <c r="E115" s="123"/>
      <c r="F115" s="123"/>
      <c r="G115" s="123"/>
      <c r="H115" s="123"/>
      <c r="I115" s="150"/>
      <c r="J115" s="150"/>
      <c r="K115" s="150"/>
      <c r="L115" s="123"/>
      <c r="M115" s="123"/>
      <c r="N115" s="123"/>
      <c r="O115" s="123"/>
      <c r="P115" s="123"/>
    </row>
    <row r="116" spans="1:16" x14ac:dyDescent="0.2">
      <c r="B116" s="123"/>
      <c r="C116" s="123"/>
      <c r="D116" s="149" t="s">
        <v>81</v>
      </c>
      <c r="E116" s="123"/>
      <c r="F116" s="123"/>
      <c r="G116" s="123"/>
      <c r="H116" s="123"/>
      <c r="I116" s="150"/>
      <c r="J116" s="150"/>
      <c r="K116" s="150"/>
      <c r="L116" s="123"/>
      <c r="M116" s="123"/>
      <c r="N116" s="123"/>
      <c r="O116" s="123"/>
      <c r="P116" s="123"/>
    </row>
    <row r="117" spans="1:16" x14ac:dyDescent="0.2">
      <c r="B117" s="123"/>
      <c r="C117" s="123"/>
      <c r="D117" s="123" t="s">
        <v>252</v>
      </c>
      <c r="E117" s="123"/>
      <c r="F117" s="123"/>
      <c r="G117" s="123"/>
      <c r="H117" s="123"/>
      <c r="I117" s="150"/>
      <c r="J117" s="150"/>
      <c r="K117" s="150"/>
      <c r="L117" s="123"/>
      <c r="M117" s="123"/>
      <c r="N117" s="123"/>
      <c r="O117" s="123"/>
      <c r="P117" s="123"/>
    </row>
    <row r="118" spans="1:16" x14ac:dyDescent="0.2">
      <c r="B118" s="123"/>
      <c r="C118" s="123"/>
      <c r="D118" s="123" t="s">
        <v>253</v>
      </c>
      <c r="E118" s="123"/>
      <c r="F118" s="123"/>
      <c r="G118" s="123"/>
      <c r="H118" s="123"/>
      <c r="I118" s="150"/>
      <c r="J118" s="150"/>
      <c r="K118" s="150"/>
      <c r="L118" s="123"/>
      <c r="M118" s="123"/>
      <c r="N118" s="123"/>
      <c r="O118" s="123"/>
      <c r="P118" s="123"/>
    </row>
    <row r="119" spans="1:16" x14ac:dyDescent="0.2">
      <c r="B119" s="123"/>
      <c r="C119" s="123"/>
      <c r="D119" s="123"/>
      <c r="E119" s="123"/>
      <c r="F119" s="123"/>
      <c r="G119" s="123"/>
      <c r="H119" s="123"/>
      <c r="I119" s="150"/>
      <c r="J119" s="150"/>
      <c r="K119" s="150"/>
      <c r="L119" s="123"/>
      <c r="M119" s="123"/>
      <c r="N119" s="123"/>
      <c r="O119" s="123"/>
      <c r="P119" s="123"/>
    </row>
    <row r="120" spans="1:16" x14ac:dyDescent="0.2">
      <c r="B120" s="127"/>
      <c r="C120" s="127">
        <v>2</v>
      </c>
      <c r="D120" s="126" t="s">
        <v>187</v>
      </c>
      <c r="E120" s="123"/>
      <c r="F120" s="123"/>
      <c r="G120" s="123"/>
      <c r="H120" s="123"/>
      <c r="I120" s="150"/>
      <c r="J120" s="150"/>
      <c r="K120" s="150"/>
      <c r="L120" s="123"/>
      <c r="M120" s="123"/>
      <c r="N120" s="123"/>
      <c r="O120" s="123"/>
      <c r="P120" s="123"/>
    </row>
    <row r="121" spans="1:16" x14ac:dyDescent="0.2">
      <c r="B121" s="127"/>
      <c r="C121" s="127"/>
      <c r="D121" s="149" t="s">
        <v>80</v>
      </c>
      <c r="E121" s="123"/>
      <c r="F121" s="123"/>
      <c r="G121" s="123"/>
      <c r="H121" s="123"/>
      <c r="I121" s="150"/>
      <c r="J121" s="150"/>
      <c r="K121" s="150"/>
      <c r="L121" s="123"/>
      <c r="M121" s="123"/>
      <c r="N121" s="123"/>
      <c r="O121" s="123"/>
      <c r="P121" s="123"/>
    </row>
    <row r="122" spans="1:16" x14ac:dyDescent="0.2">
      <c r="B122" s="127"/>
      <c r="C122" s="127"/>
      <c r="D122" s="123" t="s">
        <v>188</v>
      </c>
      <c r="E122" s="123"/>
      <c r="F122" s="123"/>
      <c r="G122" s="123"/>
      <c r="H122" s="123"/>
      <c r="I122" s="150"/>
      <c r="J122" s="150"/>
      <c r="K122" s="150"/>
      <c r="L122" s="123"/>
      <c r="M122" s="123"/>
      <c r="N122" s="123"/>
      <c r="O122" s="123"/>
      <c r="P122" s="123"/>
    </row>
    <row r="123" spans="1:16" x14ac:dyDescent="0.2">
      <c r="B123" s="127"/>
      <c r="C123" s="127"/>
      <c r="D123" s="123" t="s">
        <v>254</v>
      </c>
      <c r="E123" s="123"/>
      <c r="F123" s="123"/>
      <c r="G123" s="123"/>
      <c r="H123" s="123"/>
      <c r="I123" s="150"/>
      <c r="J123" s="150"/>
      <c r="K123" s="150"/>
      <c r="L123" s="123"/>
      <c r="M123" s="123"/>
      <c r="N123" s="123"/>
      <c r="O123" s="123"/>
      <c r="P123" s="123"/>
    </row>
    <row r="124" spans="1:16" x14ac:dyDescent="0.2">
      <c r="A124" s="120"/>
      <c r="B124" s="127"/>
      <c r="C124" s="127"/>
      <c r="D124" s="123"/>
      <c r="E124" s="123"/>
      <c r="F124" s="123"/>
      <c r="G124" s="123"/>
      <c r="H124" s="123"/>
      <c r="I124" s="150"/>
      <c r="J124" s="150"/>
      <c r="K124" s="150"/>
      <c r="L124" s="123"/>
      <c r="M124" s="123"/>
      <c r="N124" s="123"/>
      <c r="O124" s="123"/>
      <c r="P124" s="123"/>
    </row>
    <row r="125" spans="1:16" x14ac:dyDescent="0.2">
      <c r="A125" s="120"/>
      <c r="B125" s="127"/>
      <c r="C125" s="127"/>
      <c r="D125" s="413" t="s">
        <v>358</v>
      </c>
      <c r="E125" s="123"/>
      <c r="F125" s="152"/>
      <c r="G125" s="153"/>
      <c r="H125" s="123"/>
      <c r="I125" s="150"/>
      <c r="J125" s="150"/>
      <c r="K125" s="150"/>
      <c r="L125" s="123"/>
      <c r="M125" s="123"/>
      <c r="N125" s="123"/>
      <c r="O125" s="123"/>
      <c r="P125" s="123"/>
    </row>
    <row r="126" spans="1:16" x14ac:dyDescent="0.2">
      <c r="A126" s="120"/>
      <c r="B126" s="127"/>
      <c r="C126" s="127"/>
      <c r="D126" s="473" t="s">
        <v>314</v>
      </c>
      <c r="E126" s="123"/>
      <c r="F126" s="152"/>
      <c r="G126" s="153"/>
      <c r="H126" s="472">
        <f>+tabellen!B72</f>
        <v>0.6</v>
      </c>
      <c r="I126" s="150"/>
      <c r="J126" s="150"/>
      <c r="K126" s="150"/>
      <c r="L126" s="123"/>
      <c r="M126" s="123"/>
      <c r="N126" s="123"/>
      <c r="O126" s="123"/>
      <c r="P126" s="123"/>
    </row>
    <row r="127" spans="1:16" x14ac:dyDescent="0.2">
      <c r="A127" s="120"/>
      <c r="B127" s="127"/>
      <c r="C127" s="127"/>
      <c r="D127" s="123" t="s">
        <v>298</v>
      </c>
      <c r="E127" s="123"/>
      <c r="F127" s="152"/>
      <c r="G127" s="153"/>
      <c r="H127" s="123"/>
      <c r="I127" s="150"/>
      <c r="J127" s="150"/>
      <c r="K127" s="150"/>
      <c r="L127" s="123"/>
      <c r="M127" s="123"/>
      <c r="N127" s="123"/>
      <c r="O127" s="123"/>
      <c r="P127" s="123"/>
    </row>
    <row r="128" spans="1:16" x14ac:dyDescent="0.2">
      <c r="A128" s="120"/>
      <c r="B128" s="127"/>
      <c r="C128" s="127"/>
      <c r="D128" s="123"/>
      <c r="E128" s="123"/>
      <c r="F128" s="154"/>
      <c r="G128" s="150"/>
      <c r="H128" s="123"/>
      <c r="I128" s="150"/>
      <c r="J128" s="150"/>
      <c r="K128" s="150"/>
      <c r="L128" s="123"/>
      <c r="M128" s="123"/>
      <c r="N128" s="123"/>
      <c r="O128" s="123"/>
      <c r="P128" s="123"/>
    </row>
    <row r="129" spans="1:16" x14ac:dyDescent="0.2">
      <c r="A129" s="120"/>
      <c r="B129" s="127"/>
      <c r="C129" s="127"/>
      <c r="D129" s="149" t="s">
        <v>189</v>
      </c>
      <c r="E129" s="123"/>
      <c r="F129" s="152"/>
      <c r="G129" s="150"/>
      <c r="H129" s="123"/>
      <c r="I129" s="150"/>
      <c r="J129" s="150"/>
      <c r="K129" s="150"/>
      <c r="L129" s="123"/>
      <c r="M129" s="123"/>
      <c r="N129" s="123"/>
      <c r="O129" s="123"/>
      <c r="P129" s="123"/>
    </row>
    <row r="130" spans="1:16" x14ac:dyDescent="0.2">
      <c r="A130" s="120"/>
      <c r="B130" s="127"/>
      <c r="C130" s="127"/>
      <c r="D130" s="123" t="s">
        <v>235</v>
      </c>
      <c r="E130" s="123"/>
      <c r="F130" s="155"/>
      <c r="G130" s="123"/>
      <c r="H130" s="123"/>
      <c r="I130" s="150"/>
      <c r="J130" s="150"/>
      <c r="K130" s="150"/>
      <c r="L130" s="123"/>
      <c r="M130" s="123"/>
      <c r="N130" s="123"/>
      <c r="O130" s="123"/>
      <c r="P130" s="123"/>
    </row>
    <row r="131" spans="1:16" x14ac:dyDescent="0.2">
      <c r="A131" s="120"/>
      <c r="B131" s="127"/>
      <c r="C131" s="127"/>
      <c r="D131" s="123" t="s">
        <v>236</v>
      </c>
      <c r="E131" s="123"/>
      <c r="F131" s="123"/>
      <c r="G131" s="123"/>
      <c r="H131" s="123"/>
      <c r="I131" s="150"/>
      <c r="J131" s="150"/>
      <c r="K131" s="150"/>
      <c r="L131" s="123"/>
      <c r="M131" s="123"/>
      <c r="N131" s="123"/>
      <c r="O131" s="123"/>
      <c r="P131" s="123"/>
    </row>
    <row r="132" spans="1:16" x14ac:dyDescent="0.2">
      <c r="A132" s="120"/>
      <c r="B132" s="127"/>
      <c r="C132" s="127"/>
      <c r="D132" s="123" t="s">
        <v>190</v>
      </c>
      <c r="E132" s="123"/>
      <c r="F132" s="123"/>
      <c r="G132" s="123"/>
      <c r="H132" s="123"/>
      <c r="I132" s="150"/>
      <c r="J132" s="150"/>
      <c r="K132" s="150"/>
      <c r="L132" s="123"/>
      <c r="M132" s="123"/>
      <c r="N132" s="123"/>
      <c r="O132" s="123"/>
      <c r="P132" s="123"/>
    </row>
    <row r="133" spans="1:16" x14ac:dyDescent="0.2">
      <c r="A133" s="120"/>
      <c r="B133" s="127"/>
      <c r="C133" s="127"/>
      <c r="D133" s="123" t="s">
        <v>191</v>
      </c>
      <c r="E133" s="123"/>
      <c r="F133" s="123"/>
      <c r="G133" s="123"/>
      <c r="H133" s="123"/>
      <c r="I133" s="123"/>
      <c r="J133" s="123"/>
      <c r="K133" s="123"/>
      <c r="L133" s="123"/>
      <c r="M133" s="123"/>
      <c r="N133" s="123"/>
      <c r="O133" s="123"/>
      <c r="P133" s="123"/>
    </row>
    <row r="134" spans="1:16" x14ac:dyDescent="0.2">
      <c r="A134" s="120"/>
      <c r="B134" s="127"/>
      <c r="C134" s="127"/>
      <c r="D134" s="123"/>
      <c r="E134" s="123"/>
      <c r="F134" s="123"/>
      <c r="G134" s="123"/>
      <c r="H134" s="123"/>
      <c r="I134" s="123"/>
      <c r="J134" s="123"/>
      <c r="K134" s="123"/>
      <c r="L134" s="123"/>
      <c r="M134" s="123"/>
      <c r="N134" s="123"/>
      <c r="O134" s="123"/>
      <c r="P134" s="123"/>
    </row>
    <row r="135" spans="1:16" x14ac:dyDescent="0.2">
      <c r="A135" s="120"/>
      <c r="B135" s="127"/>
      <c r="C135" s="127">
        <v>3</v>
      </c>
      <c r="D135" s="126" t="s">
        <v>192</v>
      </c>
      <c r="E135" s="123"/>
      <c r="F135" s="123"/>
      <c r="G135" s="123"/>
      <c r="H135" s="123"/>
      <c r="I135" s="123"/>
      <c r="J135" s="123"/>
      <c r="K135" s="123"/>
      <c r="L135" s="123"/>
      <c r="M135" s="123"/>
      <c r="N135" s="123"/>
      <c r="O135" s="123"/>
      <c r="P135" s="123"/>
    </row>
    <row r="136" spans="1:16" x14ac:dyDescent="0.2">
      <c r="A136" s="120"/>
      <c r="B136" s="127"/>
      <c r="C136" s="127"/>
      <c r="D136" s="123" t="s">
        <v>193</v>
      </c>
      <c r="E136" s="123"/>
      <c r="F136" s="123"/>
      <c r="G136" s="123"/>
      <c r="H136" s="123"/>
      <c r="I136" s="123"/>
      <c r="J136" s="123"/>
      <c r="K136" s="123"/>
      <c r="L136" s="123"/>
      <c r="M136" s="123"/>
      <c r="N136" s="123"/>
      <c r="O136" s="123"/>
      <c r="P136" s="123"/>
    </row>
    <row r="137" spans="1:16" x14ac:dyDescent="0.2">
      <c r="A137" s="120"/>
      <c r="B137" s="127"/>
      <c r="C137" s="127"/>
      <c r="D137" s="123" t="s">
        <v>194</v>
      </c>
      <c r="E137" s="123"/>
      <c r="F137" s="123"/>
      <c r="G137" s="123"/>
      <c r="H137" s="123"/>
      <c r="I137" s="123"/>
      <c r="J137" s="123"/>
      <c r="K137" s="123"/>
      <c r="L137" s="123"/>
      <c r="M137" s="123"/>
      <c r="N137" s="123"/>
      <c r="O137" s="123"/>
      <c r="P137" s="123"/>
    </row>
    <row r="138" spans="1:16" x14ac:dyDescent="0.2">
      <c r="A138" s="120"/>
      <c r="B138" s="127"/>
      <c r="C138" s="127"/>
      <c r="D138" s="123" t="s">
        <v>195</v>
      </c>
      <c r="E138" s="123"/>
      <c r="F138" s="123"/>
      <c r="G138" s="123"/>
      <c r="H138" s="123"/>
      <c r="I138" s="123"/>
      <c r="J138" s="123"/>
      <c r="K138" s="123"/>
      <c r="L138" s="123"/>
      <c r="M138" s="123"/>
      <c r="N138" s="123"/>
      <c r="O138" s="123"/>
      <c r="P138" s="123"/>
    </row>
    <row r="139" spans="1:16" x14ac:dyDescent="0.2">
      <c r="A139" s="120"/>
      <c r="B139" s="127"/>
      <c r="C139" s="127"/>
      <c r="D139" s="123" t="s">
        <v>196</v>
      </c>
      <c r="E139" s="123"/>
      <c r="F139" s="123"/>
      <c r="G139" s="123"/>
      <c r="H139" s="123"/>
      <c r="I139" s="123"/>
      <c r="J139" s="123"/>
      <c r="K139" s="123"/>
      <c r="L139" s="123"/>
      <c r="M139" s="123"/>
      <c r="N139" s="123"/>
      <c r="O139" s="123"/>
      <c r="P139" s="123"/>
    </row>
    <row r="140" spans="1:16" x14ac:dyDescent="0.2">
      <c r="A140" s="120"/>
      <c r="B140" s="127"/>
      <c r="C140" s="127"/>
      <c r="D140" s="123"/>
      <c r="E140" s="123"/>
      <c r="F140" s="123"/>
      <c r="G140" s="123"/>
      <c r="H140" s="123"/>
      <c r="I140" s="123"/>
      <c r="J140" s="123"/>
      <c r="K140" s="123"/>
      <c r="L140" s="123"/>
      <c r="M140" s="123"/>
      <c r="N140" s="123"/>
      <c r="O140" s="123"/>
      <c r="P140" s="123"/>
    </row>
    <row r="141" spans="1:16" x14ac:dyDescent="0.2">
      <c r="A141" s="120"/>
      <c r="B141" s="127"/>
      <c r="C141" s="127"/>
      <c r="D141" s="123" t="s">
        <v>197</v>
      </c>
      <c r="E141" s="123"/>
      <c r="F141" s="123"/>
      <c r="G141" s="123"/>
      <c r="H141" s="123"/>
      <c r="I141" s="123"/>
      <c r="J141" s="123"/>
      <c r="K141" s="123"/>
      <c r="L141" s="123"/>
      <c r="M141" s="123"/>
      <c r="N141" s="123"/>
      <c r="O141" s="123"/>
      <c r="P141" s="123"/>
    </row>
    <row r="142" spans="1:16" x14ac:dyDescent="0.2">
      <c r="A142" s="120"/>
      <c r="B142" s="127"/>
      <c r="C142" s="127"/>
      <c r="D142" s="123" t="s">
        <v>198</v>
      </c>
      <c r="E142" s="123"/>
      <c r="F142" s="123"/>
      <c r="G142" s="123"/>
      <c r="H142" s="123"/>
      <c r="I142" s="123"/>
      <c r="J142" s="123"/>
      <c r="K142" s="123"/>
      <c r="L142" s="123"/>
      <c r="M142" s="123"/>
      <c r="N142" s="123"/>
      <c r="O142" s="123"/>
      <c r="P142" s="123"/>
    </row>
    <row r="143" spans="1:16" x14ac:dyDescent="0.2">
      <c r="A143" s="120"/>
      <c r="B143" s="127"/>
      <c r="C143" s="127"/>
      <c r="D143" s="123" t="s">
        <v>296</v>
      </c>
      <c r="E143" s="123"/>
      <c r="F143" s="123"/>
      <c r="G143" s="123"/>
      <c r="H143" s="123"/>
      <c r="I143" s="123"/>
      <c r="J143" s="123"/>
      <c r="K143" s="123"/>
      <c r="L143" s="123"/>
      <c r="M143" s="123"/>
      <c r="N143" s="123"/>
      <c r="O143" s="123"/>
      <c r="P143" s="123"/>
    </row>
    <row r="144" spans="1:16" x14ac:dyDescent="0.2">
      <c r="A144" s="120"/>
      <c r="B144" s="127"/>
      <c r="C144" s="127"/>
      <c r="D144" s="123" t="s">
        <v>297</v>
      </c>
      <c r="E144" s="123"/>
      <c r="F144" s="123"/>
      <c r="G144" s="123"/>
      <c r="H144" s="123"/>
      <c r="I144" s="123"/>
      <c r="J144" s="123"/>
      <c r="K144" s="123"/>
      <c r="L144" s="123"/>
      <c r="M144" s="123"/>
      <c r="N144" s="123"/>
      <c r="O144" s="123"/>
      <c r="P144" s="123"/>
    </row>
    <row r="145" spans="1:16" x14ac:dyDescent="0.2">
      <c r="A145" s="120"/>
      <c r="B145" s="127"/>
      <c r="C145" s="127"/>
      <c r="D145" s="123"/>
      <c r="E145" s="123"/>
      <c r="F145" s="123"/>
      <c r="G145" s="123"/>
      <c r="H145" s="123"/>
      <c r="I145" s="123"/>
      <c r="J145" s="123"/>
      <c r="K145" s="123"/>
      <c r="L145" s="123"/>
      <c r="M145" s="123"/>
      <c r="N145" s="123"/>
      <c r="O145" s="123"/>
      <c r="P145" s="123"/>
    </row>
    <row r="146" spans="1:16" x14ac:dyDescent="0.2">
      <c r="A146" s="120"/>
      <c r="B146" s="127"/>
      <c r="C146" s="127"/>
      <c r="D146" s="123" t="s">
        <v>199</v>
      </c>
      <c r="E146" s="123"/>
      <c r="F146" s="123"/>
      <c r="G146" s="123"/>
      <c r="H146" s="123"/>
      <c r="I146" s="123"/>
      <c r="J146" s="123"/>
      <c r="K146" s="123"/>
      <c r="L146" s="123"/>
      <c r="M146" s="123"/>
      <c r="N146" s="123"/>
      <c r="O146" s="123"/>
      <c r="P146" s="123"/>
    </row>
    <row r="147" spans="1:16" x14ac:dyDescent="0.2">
      <c r="A147" s="120"/>
      <c r="B147" s="127"/>
      <c r="C147" s="127"/>
      <c r="D147" s="123" t="s">
        <v>200</v>
      </c>
      <c r="E147" s="123"/>
      <c r="F147" s="123"/>
      <c r="G147" s="123"/>
      <c r="H147" s="123"/>
      <c r="I147" s="123"/>
      <c r="J147" s="123"/>
      <c r="K147" s="123"/>
      <c r="L147" s="123"/>
      <c r="M147" s="123"/>
      <c r="N147" s="123"/>
      <c r="O147" s="123"/>
      <c r="P147" s="123"/>
    </row>
    <row r="148" spans="1:16" x14ac:dyDescent="0.2">
      <c r="A148" s="120"/>
      <c r="B148" s="127"/>
      <c r="C148" s="127"/>
      <c r="D148" s="123"/>
      <c r="E148" s="123"/>
      <c r="F148" s="123"/>
      <c r="G148" s="123"/>
      <c r="H148" s="123"/>
      <c r="I148" s="123"/>
      <c r="J148" s="123"/>
      <c r="K148" s="123"/>
      <c r="L148" s="123"/>
      <c r="M148" s="123"/>
      <c r="N148" s="123"/>
      <c r="O148" s="123"/>
      <c r="P148" s="123"/>
    </row>
    <row r="149" spans="1:16" x14ac:dyDescent="0.2">
      <c r="A149" s="120"/>
      <c r="B149" s="127"/>
      <c r="C149" s="127"/>
      <c r="D149" s="123" t="s">
        <v>201</v>
      </c>
      <c r="E149" s="123"/>
      <c r="F149" s="123"/>
      <c r="G149" s="123"/>
      <c r="H149" s="123"/>
      <c r="I149" s="123"/>
      <c r="J149" s="123"/>
      <c r="K149" s="123"/>
      <c r="L149" s="123"/>
      <c r="M149" s="123"/>
      <c r="N149" s="123"/>
      <c r="O149" s="123"/>
      <c r="P149" s="123"/>
    </row>
    <row r="150" spans="1:16" x14ac:dyDescent="0.2">
      <c r="A150" s="120"/>
      <c r="B150" s="127"/>
      <c r="C150" s="127"/>
      <c r="D150" s="123" t="s">
        <v>264</v>
      </c>
      <c r="E150" s="123"/>
      <c r="F150" s="123"/>
      <c r="G150" s="123"/>
      <c r="H150" s="123"/>
      <c r="I150" s="123"/>
      <c r="J150" s="123"/>
      <c r="K150" s="123"/>
      <c r="L150" s="123"/>
      <c r="M150" s="123"/>
      <c r="N150" s="123"/>
      <c r="O150" s="123"/>
      <c r="P150" s="123"/>
    </row>
    <row r="151" spans="1:16" x14ac:dyDescent="0.2">
      <c r="A151" s="120"/>
      <c r="B151" s="127"/>
      <c r="C151" s="127"/>
      <c r="D151" s="123" t="s">
        <v>202</v>
      </c>
      <c r="E151" s="123"/>
      <c r="F151" s="123"/>
      <c r="G151" s="123"/>
      <c r="H151" s="123"/>
      <c r="I151" s="123"/>
      <c r="J151" s="123"/>
      <c r="K151" s="123"/>
      <c r="L151" s="123"/>
      <c r="M151" s="123"/>
      <c r="N151" s="123"/>
      <c r="O151" s="123"/>
      <c r="P151" s="123"/>
    </row>
    <row r="152" spans="1:16" x14ac:dyDescent="0.2">
      <c r="A152" s="120"/>
      <c r="B152" s="127"/>
      <c r="C152" s="127"/>
      <c r="D152" s="123"/>
      <c r="E152" s="123"/>
      <c r="F152" s="123"/>
      <c r="G152" s="123"/>
      <c r="H152" s="123"/>
      <c r="I152" s="123"/>
      <c r="J152" s="123"/>
      <c r="K152" s="123"/>
      <c r="L152" s="123"/>
      <c r="M152" s="123"/>
      <c r="N152" s="123"/>
      <c r="O152" s="123"/>
      <c r="P152" s="123"/>
    </row>
    <row r="153" spans="1:16" x14ac:dyDescent="0.2">
      <c r="A153" s="120"/>
      <c r="B153" s="127"/>
      <c r="C153" s="127"/>
      <c r="D153" s="473" t="s">
        <v>316</v>
      </c>
      <c r="E153" s="123"/>
      <c r="F153" s="123"/>
      <c r="G153" s="123"/>
      <c r="H153" s="472">
        <f>+H126</f>
        <v>0.6</v>
      </c>
      <c r="I153" s="123"/>
      <c r="J153" s="123"/>
      <c r="K153" s="123"/>
      <c r="L153" s="123"/>
      <c r="M153" s="123"/>
      <c r="N153" s="123"/>
      <c r="O153" s="123"/>
      <c r="P153" s="123"/>
    </row>
    <row r="154" spans="1:16" x14ac:dyDescent="0.2">
      <c r="A154" s="120"/>
      <c r="B154" s="127"/>
      <c r="C154" s="127"/>
      <c r="D154" s="123" t="s">
        <v>298</v>
      </c>
      <c r="E154" s="123"/>
      <c r="F154" s="123"/>
      <c r="G154" s="123"/>
      <c r="H154" s="123"/>
      <c r="I154" s="123"/>
      <c r="J154" s="123"/>
      <c r="K154" s="123"/>
      <c r="L154" s="123"/>
      <c r="M154" s="123"/>
      <c r="N154" s="123"/>
      <c r="O154" s="123"/>
      <c r="P154" s="123"/>
    </row>
    <row r="155" spans="1:16" x14ac:dyDescent="0.2">
      <c r="A155" s="120"/>
      <c r="B155" s="127"/>
      <c r="C155" s="127"/>
      <c r="D155" s="123" t="s">
        <v>203</v>
      </c>
      <c r="E155" s="123"/>
      <c r="F155" s="123"/>
      <c r="G155" s="123"/>
      <c r="H155" s="123"/>
      <c r="I155" s="123"/>
      <c r="J155" s="123"/>
      <c r="K155" s="123"/>
      <c r="L155" s="123"/>
      <c r="M155" s="123"/>
      <c r="N155" s="123"/>
      <c r="O155" s="123"/>
      <c r="P155" s="123"/>
    </row>
    <row r="156" spans="1:16" x14ac:dyDescent="0.2">
      <c r="A156" s="120"/>
      <c r="B156" s="127"/>
      <c r="C156" s="127"/>
      <c r="D156" s="123" t="s">
        <v>204</v>
      </c>
      <c r="E156" s="123"/>
      <c r="F156" s="123"/>
      <c r="G156" s="123"/>
      <c r="H156" s="123"/>
      <c r="I156" s="123"/>
      <c r="J156" s="123"/>
      <c r="K156" s="123"/>
      <c r="L156" s="123"/>
      <c r="M156" s="123"/>
      <c r="N156" s="123"/>
      <c r="O156" s="123"/>
      <c r="P156" s="123"/>
    </row>
    <row r="157" spans="1:16" x14ac:dyDescent="0.2">
      <c r="A157" s="120"/>
      <c r="B157" s="127"/>
      <c r="C157" s="127"/>
      <c r="D157" s="123"/>
      <c r="E157" s="123"/>
      <c r="F157" s="123"/>
      <c r="G157" s="123"/>
      <c r="H157" s="123"/>
      <c r="I157" s="123"/>
      <c r="J157" s="123"/>
      <c r="K157" s="123"/>
      <c r="L157" s="123"/>
      <c r="M157" s="123"/>
      <c r="N157" s="123"/>
      <c r="O157" s="123"/>
      <c r="P157" s="123"/>
    </row>
    <row r="158" spans="1:16" x14ac:dyDescent="0.2">
      <c r="A158" s="120"/>
      <c r="B158" s="127"/>
      <c r="C158" s="127">
        <v>4</v>
      </c>
      <c r="D158" s="126" t="s">
        <v>205</v>
      </c>
      <c r="E158" s="123"/>
      <c r="F158" s="123"/>
      <c r="G158" s="123"/>
      <c r="H158" s="123"/>
      <c r="I158" s="123"/>
      <c r="J158" s="123"/>
      <c r="K158" s="123"/>
      <c r="L158" s="123"/>
      <c r="M158" s="123"/>
      <c r="N158" s="123"/>
      <c r="O158" s="123"/>
      <c r="P158" s="123"/>
    </row>
    <row r="159" spans="1:16" x14ac:dyDescent="0.2">
      <c r="A159" s="120"/>
      <c r="B159" s="127"/>
      <c r="C159" s="127"/>
      <c r="D159" s="123" t="s">
        <v>206</v>
      </c>
      <c r="E159" s="123"/>
      <c r="F159" s="123"/>
      <c r="G159" s="123"/>
      <c r="H159" s="123"/>
      <c r="I159" s="123"/>
      <c r="J159" s="123"/>
      <c r="K159" s="123"/>
      <c r="L159" s="123"/>
      <c r="M159" s="123"/>
      <c r="N159" s="123"/>
      <c r="O159" s="123"/>
      <c r="P159" s="123"/>
    </row>
    <row r="160" spans="1:16" x14ac:dyDescent="0.2">
      <c r="A160" s="120"/>
      <c r="B160" s="127"/>
      <c r="C160" s="127"/>
      <c r="D160" s="123" t="s">
        <v>207</v>
      </c>
      <c r="E160" s="123"/>
      <c r="F160" s="123"/>
      <c r="G160" s="123"/>
      <c r="H160" s="123"/>
      <c r="I160" s="123"/>
      <c r="J160" s="123"/>
      <c r="K160" s="123"/>
      <c r="L160" s="123"/>
      <c r="M160" s="123"/>
      <c r="N160" s="123"/>
      <c r="O160" s="123"/>
      <c r="P160" s="123"/>
    </row>
    <row r="161" spans="1:16" x14ac:dyDescent="0.2">
      <c r="A161" s="120"/>
      <c r="B161" s="127"/>
      <c r="C161" s="127"/>
      <c r="D161" s="123" t="s">
        <v>208</v>
      </c>
      <c r="E161" s="123"/>
      <c r="F161" s="123"/>
      <c r="G161" s="123"/>
      <c r="H161" s="123"/>
      <c r="I161" s="123"/>
      <c r="J161" s="123"/>
      <c r="K161" s="123"/>
      <c r="L161" s="123"/>
      <c r="M161" s="123"/>
      <c r="N161" s="123"/>
      <c r="O161" s="123"/>
      <c r="P161" s="123"/>
    </row>
    <row r="162" spans="1:16" x14ac:dyDescent="0.2">
      <c r="A162" s="120"/>
      <c r="B162" s="127"/>
      <c r="C162" s="127"/>
      <c r="D162" s="123" t="s">
        <v>209</v>
      </c>
      <c r="E162" s="123"/>
      <c r="F162" s="123"/>
      <c r="G162" s="123"/>
      <c r="H162" s="123"/>
      <c r="I162" s="123"/>
      <c r="J162" s="123"/>
      <c r="K162" s="123"/>
      <c r="L162" s="123"/>
      <c r="M162" s="123"/>
      <c r="N162" s="123"/>
      <c r="O162" s="123"/>
      <c r="P162" s="123"/>
    </row>
    <row r="163" spans="1:16" x14ac:dyDescent="0.2">
      <c r="A163" s="120"/>
      <c r="B163" s="127"/>
      <c r="C163" s="127"/>
      <c r="D163" s="123"/>
      <c r="E163" s="123"/>
      <c r="F163" s="123"/>
      <c r="G163" s="123"/>
      <c r="H163" s="123"/>
      <c r="I163" s="123"/>
      <c r="J163" s="123"/>
      <c r="K163" s="123"/>
      <c r="L163" s="123"/>
      <c r="M163" s="123"/>
      <c r="N163" s="123"/>
      <c r="O163" s="123"/>
      <c r="P163" s="123"/>
    </row>
    <row r="164" spans="1:16" x14ac:dyDescent="0.2">
      <c r="A164" s="120"/>
      <c r="B164" s="127"/>
      <c r="C164" s="127"/>
      <c r="D164" s="473" t="s">
        <v>316</v>
      </c>
      <c r="E164" s="123"/>
      <c r="F164" s="123"/>
      <c r="G164" s="123"/>
      <c r="H164" s="472">
        <f>+H153</f>
        <v>0.6</v>
      </c>
      <c r="I164" s="123"/>
      <c r="J164" s="123"/>
      <c r="K164" s="123"/>
      <c r="L164" s="123"/>
      <c r="M164" s="123"/>
      <c r="N164" s="123"/>
      <c r="O164" s="123"/>
      <c r="P164" s="123"/>
    </row>
    <row r="165" spans="1:16" x14ac:dyDescent="0.2">
      <c r="A165" s="120"/>
      <c r="B165" s="127"/>
      <c r="C165" s="127"/>
      <c r="D165" s="123" t="s">
        <v>298</v>
      </c>
      <c r="E165" s="123"/>
      <c r="F165" s="123"/>
      <c r="G165" s="123"/>
      <c r="H165" s="123"/>
      <c r="I165" s="123"/>
      <c r="J165" s="123"/>
      <c r="K165" s="123"/>
      <c r="L165" s="123"/>
      <c r="M165" s="123"/>
      <c r="N165" s="123"/>
      <c r="O165" s="123"/>
      <c r="P165" s="123"/>
    </row>
    <row r="166" spans="1:16" x14ac:dyDescent="0.2">
      <c r="A166" s="120"/>
      <c r="B166" s="127"/>
      <c r="C166" s="127"/>
      <c r="D166" s="123" t="s">
        <v>203</v>
      </c>
      <c r="E166" s="123"/>
      <c r="F166" s="123"/>
      <c r="G166" s="123"/>
      <c r="H166" s="123"/>
      <c r="I166" s="123"/>
      <c r="J166" s="123"/>
      <c r="K166" s="123"/>
      <c r="L166" s="123"/>
      <c r="M166" s="123"/>
      <c r="N166" s="123"/>
      <c r="O166" s="123"/>
      <c r="P166" s="123"/>
    </row>
    <row r="167" spans="1:16" x14ac:dyDescent="0.2">
      <c r="A167" s="120"/>
      <c r="B167" s="127"/>
      <c r="C167" s="127"/>
      <c r="D167" s="123" t="s">
        <v>204</v>
      </c>
      <c r="E167" s="123"/>
      <c r="F167" s="123"/>
      <c r="G167" s="123"/>
      <c r="H167" s="123"/>
      <c r="I167" s="123"/>
      <c r="J167" s="123"/>
      <c r="K167" s="123"/>
      <c r="L167" s="123"/>
      <c r="M167" s="123"/>
      <c r="N167" s="123"/>
      <c r="O167" s="123"/>
      <c r="P167" s="123"/>
    </row>
    <row r="168" spans="1:16" x14ac:dyDescent="0.2">
      <c r="A168" s="120"/>
      <c r="B168" s="127"/>
      <c r="C168" s="127"/>
      <c r="D168" s="123"/>
      <c r="E168" s="123"/>
      <c r="F168" s="123"/>
      <c r="G168" s="123"/>
      <c r="H168" s="123"/>
      <c r="I168" s="123"/>
      <c r="J168" s="123"/>
      <c r="K168" s="123"/>
      <c r="L168" s="123"/>
      <c r="M168" s="123"/>
      <c r="N168" s="123"/>
      <c r="O168" s="123"/>
      <c r="P168" s="123"/>
    </row>
    <row r="169" spans="1:16" x14ac:dyDescent="0.2">
      <c r="A169" s="120"/>
      <c r="B169" s="127"/>
      <c r="C169" s="127"/>
      <c r="D169" s="149" t="s">
        <v>189</v>
      </c>
      <c r="E169" s="123"/>
      <c r="F169" s="123"/>
      <c r="G169" s="123"/>
      <c r="H169" s="123"/>
      <c r="I169" s="123"/>
      <c r="J169" s="123"/>
      <c r="K169" s="123"/>
      <c r="L169" s="123"/>
      <c r="M169" s="123"/>
      <c r="N169" s="123"/>
      <c r="O169" s="123"/>
      <c r="P169" s="123"/>
    </row>
    <row r="170" spans="1:16" x14ac:dyDescent="0.2">
      <c r="A170" s="120"/>
      <c r="B170" s="127"/>
      <c r="C170" s="127"/>
      <c r="D170" s="123" t="s">
        <v>238</v>
      </c>
      <c r="E170" s="123"/>
      <c r="F170" s="123"/>
      <c r="G170" s="123"/>
      <c r="H170" s="123"/>
      <c r="I170" s="123"/>
      <c r="J170" s="123"/>
      <c r="K170" s="123"/>
      <c r="L170" s="123"/>
      <c r="M170" s="123"/>
      <c r="N170" s="123"/>
      <c r="O170" s="123"/>
      <c r="P170" s="123"/>
    </row>
    <row r="171" spans="1:16" x14ac:dyDescent="0.2">
      <c r="A171" s="120"/>
      <c r="B171" s="127"/>
      <c r="C171" s="127"/>
      <c r="D171" s="123" t="s">
        <v>210</v>
      </c>
      <c r="E171" s="123"/>
      <c r="F171" s="123"/>
      <c r="G171" s="123"/>
      <c r="H171" s="123"/>
      <c r="I171" s="123"/>
      <c r="J171" s="123"/>
      <c r="K171" s="123"/>
      <c r="L171" s="123"/>
      <c r="M171" s="123"/>
      <c r="N171" s="123"/>
      <c r="O171" s="123"/>
      <c r="P171" s="123"/>
    </row>
    <row r="172" spans="1:16" x14ac:dyDescent="0.2">
      <c r="A172" s="120"/>
      <c r="B172" s="127"/>
      <c r="C172" s="127"/>
      <c r="D172" s="123" t="s">
        <v>211</v>
      </c>
      <c r="E172" s="123"/>
      <c r="F172" s="123"/>
      <c r="G172" s="123"/>
      <c r="H172" s="123"/>
      <c r="I172" s="123"/>
      <c r="J172" s="123"/>
      <c r="K172" s="123"/>
      <c r="L172" s="123"/>
      <c r="M172" s="123"/>
      <c r="N172" s="123"/>
      <c r="O172" s="123"/>
      <c r="P172" s="123"/>
    </row>
    <row r="173" spans="1:16" x14ac:dyDescent="0.2">
      <c r="A173" s="120"/>
      <c r="B173" s="127"/>
      <c r="C173" s="127"/>
      <c r="D173" s="123" t="s">
        <v>212</v>
      </c>
      <c r="E173" s="123"/>
      <c r="F173" s="123"/>
      <c r="G173" s="123"/>
      <c r="H173" s="123"/>
      <c r="I173" s="123"/>
      <c r="J173" s="123"/>
      <c r="K173" s="123"/>
      <c r="L173" s="123"/>
      <c r="M173" s="123"/>
      <c r="N173" s="123"/>
      <c r="O173" s="123"/>
      <c r="P173" s="123"/>
    </row>
    <row r="174" spans="1:16" x14ac:dyDescent="0.2">
      <c r="A174" s="120"/>
      <c r="B174" s="127"/>
      <c r="C174" s="127"/>
      <c r="D174" s="123" t="s">
        <v>213</v>
      </c>
      <c r="E174" s="123"/>
      <c r="F174" s="123"/>
      <c r="G174" s="123"/>
      <c r="H174" s="123"/>
      <c r="I174" s="123"/>
      <c r="J174" s="123"/>
      <c r="K174" s="123"/>
      <c r="L174" s="123"/>
      <c r="M174" s="123"/>
      <c r="N174" s="123"/>
      <c r="O174" s="123"/>
      <c r="P174" s="123"/>
    </row>
    <row r="175" spans="1:16" x14ac:dyDescent="0.2">
      <c r="A175" s="120"/>
      <c r="B175" s="127"/>
      <c r="C175" s="127"/>
      <c r="D175" s="123" t="s">
        <v>214</v>
      </c>
      <c r="E175" s="123"/>
      <c r="F175" s="123"/>
      <c r="G175" s="123"/>
      <c r="H175" s="123"/>
      <c r="I175" s="123"/>
      <c r="J175" s="123"/>
      <c r="K175" s="123"/>
      <c r="L175" s="123"/>
      <c r="M175" s="123"/>
      <c r="N175" s="123"/>
      <c r="O175" s="123"/>
      <c r="P175" s="123"/>
    </row>
    <row r="176" spans="1:16" x14ac:dyDescent="0.2">
      <c r="A176" s="120"/>
      <c r="B176" s="127"/>
      <c r="C176" s="127"/>
      <c r="D176" s="123" t="s">
        <v>215</v>
      </c>
      <c r="E176" s="123"/>
      <c r="F176" s="123"/>
      <c r="G176" s="123"/>
      <c r="H176" s="123"/>
      <c r="I176" s="123"/>
      <c r="J176" s="123"/>
      <c r="K176" s="123"/>
      <c r="L176" s="123"/>
      <c r="M176" s="123"/>
      <c r="N176" s="123"/>
      <c r="O176" s="123"/>
      <c r="P176" s="123"/>
    </row>
    <row r="177" spans="1:16" x14ac:dyDescent="0.2">
      <c r="A177" s="120"/>
      <c r="B177" s="127"/>
      <c r="C177" s="127"/>
      <c r="D177" s="123"/>
      <c r="E177" s="123"/>
      <c r="F177" s="123"/>
      <c r="G177" s="123"/>
      <c r="H177" s="123"/>
      <c r="I177" s="123"/>
      <c r="J177" s="123"/>
      <c r="K177" s="123"/>
      <c r="L177" s="123"/>
      <c r="M177" s="123"/>
      <c r="N177" s="123"/>
      <c r="O177" s="123"/>
      <c r="P177" s="123"/>
    </row>
    <row r="178" spans="1:16" x14ac:dyDescent="0.2">
      <c r="A178" s="120"/>
      <c r="B178" s="127"/>
      <c r="C178" s="127">
        <v>5</v>
      </c>
      <c r="D178" s="126" t="s">
        <v>35</v>
      </c>
      <c r="E178" s="123"/>
      <c r="F178" s="123"/>
      <c r="G178" s="123"/>
      <c r="H178" s="123"/>
      <c r="I178" s="123"/>
      <c r="J178" s="123"/>
      <c r="K178" s="123"/>
      <c r="L178" s="123"/>
      <c r="M178" s="123"/>
      <c r="N178" s="123"/>
      <c r="O178" s="123"/>
      <c r="P178" s="123"/>
    </row>
    <row r="179" spans="1:16" x14ac:dyDescent="0.2">
      <c r="A179" s="120"/>
      <c r="B179" s="127"/>
      <c r="C179" s="127"/>
      <c r="D179" s="413" t="s">
        <v>372</v>
      </c>
      <c r="E179" s="123"/>
      <c r="F179" s="123"/>
      <c r="G179" s="123"/>
      <c r="H179" s="123"/>
      <c r="I179" s="123"/>
      <c r="J179" s="123"/>
      <c r="K179" s="123"/>
      <c r="L179" s="123"/>
      <c r="M179" s="123"/>
      <c r="N179" s="123"/>
      <c r="O179" s="123"/>
      <c r="P179" s="123"/>
    </row>
    <row r="180" spans="1:16" x14ac:dyDescent="0.2">
      <c r="A180" s="120"/>
      <c r="B180" s="127"/>
      <c r="C180" s="127"/>
      <c r="D180" s="123" t="s">
        <v>245</v>
      </c>
      <c r="E180" s="123"/>
      <c r="F180" s="123"/>
      <c r="G180" s="123"/>
      <c r="H180" s="123"/>
      <c r="I180" s="123"/>
      <c r="J180" s="123"/>
      <c r="K180" s="123"/>
      <c r="L180" s="123"/>
      <c r="M180" s="123"/>
      <c r="N180" s="123"/>
      <c r="O180" s="123"/>
      <c r="P180" s="123"/>
    </row>
    <row r="181" spans="1:16" x14ac:dyDescent="0.2">
      <c r="A181" s="120"/>
      <c r="B181" s="127"/>
      <c r="C181" s="127"/>
      <c r="D181" s="123"/>
      <c r="E181" s="123"/>
      <c r="F181" s="123"/>
      <c r="G181" s="123"/>
      <c r="H181" s="123"/>
      <c r="I181" s="123"/>
      <c r="J181" s="123"/>
      <c r="K181" s="123"/>
      <c r="L181" s="123"/>
      <c r="M181" s="123"/>
      <c r="N181" s="123"/>
      <c r="O181" s="123"/>
      <c r="P181" s="123"/>
    </row>
    <row r="182" spans="1:16" x14ac:dyDescent="0.2">
      <c r="A182" s="120"/>
      <c r="B182" s="127"/>
      <c r="C182" s="127"/>
      <c r="D182" s="123"/>
      <c r="E182" s="123"/>
      <c r="F182" s="123"/>
      <c r="G182" s="123"/>
      <c r="H182" s="123"/>
      <c r="I182" s="123"/>
      <c r="J182" s="123"/>
      <c r="K182" s="123"/>
      <c r="L182" s="123"/>
      <c r="M182" s="123"/>
      <c r="N182" s="123"/>
      <c r="O182" s="123"/>
      <c r="P182" s="123"/>
    </row>
    <row r="183" spans="1:16" x14ac:dyDescent="0.2">
      <c r="A183" s="120"/>
      <c r="B183" s="127"/>
      <c r="C183" s="127"/>
      <c r="D183" s="126" t="s">
        <v>251</v>
      </c>
      <c r="E183" s="123"/>
      <c r="F183" s="123"/>
      <c r="G183" s="123"/>
      <c r="H183" s="123"/>
      <c r="I183" s="123"/>
      <c r="J183" s="123"/>
      <c r="K183" s="123"/>
      <c r="L183" s="123"/>
      <c r="M183" s="123"/>
      <c r="N183" s="123"/>
      <c r="O183" s="123"/>
      <c r="P183" s="123"/>
    </row>
    <row r="184" spans="1:16" x14ac:dyDescent="0.2">
      <c r="A184" s="120"/>
      <c r="B184" s="445"/>
      <c r="C184" s="445"/>
      <c r="D184" s="443" t="s">
        <v>284</v>
      </c>
      <c r="E184" s="123"/>
      <c r="F184" s="126"/>
      <c r="G184" s="413"/>
      <c r="H184" s="413"/>
      <c r="I184" s="413"/>
      <c r="J184" s="413"/>
      <c r="K184" s="156" t="s">
        <v>283</v>
      </c>
      <c r="L184" s="413"/>
      <c r="M184" s="413"/>
      <c r="N184" s="413"/>
      <c r="O184" s="413"/>
      <c r="P184" s="413"/>
    </row>
    <row r="185" spans="1:16" x14ac:dyDescent="0.2">
      <c r="A185" s="120"/>
      <c r="B185" s="413"/>
      <c r="C185" s="413"/>
      <c r="D185" s="443" t="s">
        <v>318</v>
      </c>
      <c r="E185" s="123"/>
      <c r="F185" s="123"/>
      <c r="G185" s="123"/>
      <c r="H185" s="123"/>
      <c r="I185" s="123"/>
      <c r="J185" s="123"/>
      <c r="K185" s="475" t="s">
        <v>319</v>
      </c>
      <c r="L185" s="413"/>
      <c r="M185" s="413"/>
      <c r="N185" s="413"/>
      <c r="O185" s="413"/>
      <c r="P185" s="413"/>
    </row>
    <row r="186" spans="1:16" x14ac:dyDescent="0.2">
      <c r="A186" s="120"/>
      <c r="B186" s="413"/>
      <c r="C186" s="413"/>
      <c r="D186" s="413"/>
      <c r="E186" s="413"/>
      <c r="F186" s="413"/>
      <c r="G186" s="413"/>
      <c r="H186" s="413"/>
      <c r="I186" s="413"/>
      <c r="J186" s="413"/>
      <c r="K186" s="413"/>
      <c r="L186" s="413"/>
      <c r="M186" s="413"/>
      <c r="N186" s="413"/>
      <c r="O186" s="413"/>
      <c r="P186" s="413"/>
    </row>
    <row r="187" spans="1:16" x14ac:dyDescent="0.2">
      <c r="A187" s="120"/>
      <c r="B187" s="123"/>
      <c r="C187" s="123"/>
      <c r="D187" s="123"/>
      <c r="E187" s="123"/>
      <c r="F187" s="123"/>
      <c r="G187" s="123"/>
      <c r="H187" s="123"/>
      <c r="I187" s="123"/>
      <c r="J187" s="123"/>
      <c r="K187" s="123"/>
      <c r="L187" s="123"/>
      <c r="M187" s="123"/>
      <c r="N187" s="123"/>
      <c r="O187" s="123"/>
      <c r="P187" s="123"/>
    </row>
    <row r="188" spans="1:16" s="446" customFormat="1" x14ac:dyDescent="0.2">
      <c r="A188" s="444"/>
      <c r="B188" s="123"/>
      <c r="C188" s="123"/>
      <c r="D188" s="123"/>
      <c r="E188" s="123"/>
      <c r="F188" s="123"/>
      <c r="G188" s="123"/>
      <c r="H188" s="123"/>
      <c r="I188" s="123"/>
      <c r="J188" s="123"/>
      <c r="K188" s="123"/>
      <c r="L188" s="123"/>
      <c r="M188" s="123"/>
      <c r="N188" s="123"/>
      <c r="O188" s="123"/>
      <c r="P188" s="123"/>
    </row>
    <row r="189" spans="1:16" s="446" customFormat="1" x14ac:dyDescent="0.2">
      <c r="B189" s="129"/>
      <c r="C189" s="129"/>
      <c r="D189" s="129"/>
      <c r="E189" s="129"/>
      <c r="F189" s="129"/>
      <c r="G189" s="129"/>
      <c r="H189" s="129"/>
      <c r="I189" s="129"/>
      <c r="J189" s="129"/>
      <c r="K189" s="129"/>
      <c r="L189" s="129"/>
      <c r="M189" s="129"/>
      <c r="N189" s="129"/>
      <c r="O189" s="476" t="s">
        <v>320</v>
      </c>
      <c r="P189" s="129"/>
    </row>
    <row r="190" spans="1:16" s="446" customFormat="1" x14ac:dyDescent="0.2">
      <c r="B190" s="119"/>
      <c r="C190" s="119"/>
      <c r="D190" s="119"/>
      <c r="E190" s="119"/>
      <c r="F190" s="119"/>
      <c r="G190" s="119"/>
      <c r="H190" s="119"/>
      <c r="I190" s="119"/>
      <c r="J190" s="119"/>
      <c r="K190" s="119"/>
      <c r="L190" s="119"/>
      <c r="M190" s="119"/>
      <c r="N190" s="119"/>
      <c r="O190" s="119"/>
      <c r="P190" s="119"/>
    </row>
  </sheetData>
  <sheetProtection algorithmName="SHA-512" hashValue="lyUbDCdK+4fJTJ0gFqjc4KrNp8Fd4aGNZ+6sXvJi4EiYP+f3sQ+hwl0vAAVCKRUcOA3Q5VCzpHEehaW6ZodeHA==" saltValue="kPfKjYgjSjdcZDbS4ii6lQ==" spinCount="100000" sheet="1" objects="1" scenarios="1"/>
  <phoneticPr fontId="6" type="noConversion"/>
  <hyperlinks>
    <hyperlink ref="K184" r:id="rId1"/>
    <hyperlink ref="K185" r:id="rId2"/>
    <hyperlink ref="O189" r:id="rId3"/>
  </hyperlinks>
  <printOptions gridLines="1"/>
  <pageMargins left="0.74803149606299213" right="0.74803149606299213" top="0.98425196850393704" bottom="0.98425196850393704" header="0.51181102362204722" footer="0.51181102362204722"/>
  <pageSetup paperSize="9" scale="70" orientation="portrait" r:id="rId4"/>
  <headerFooter alignWithMargins="0">
    <oddHeader>&amp;L&amp;"Arial,Vet"&amp;A&amp;C&amp;"Arial,Vet"&amp;D&amp;R&amp;"Arial,Vet"&amp;F</oddHeader>
    <oddFooter>&amp;L&amp;"Arial,Vet"&amp;8gemaakt door Keizer voor VOSABB&amp;R&amp;"Arial,Vet"&amp;P</oddFooter>
  </headerFooter>
  <rowBreaks count="2" manualBreakCount="2">
    <brk id="68" min="1" max="15" man="1"/>
    <brk id="144" min="1" max="15"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133"/>
  <sheetViews>
    <sheetView tabSelected="1" zoomScale="85" zoomScaleNormal="85" workbookViewId="0">
      <selection activeCell="B2" sqref="B2"/>
    </sheetView>
  </sheetViews>
  <sheetFormatPr defaultColWidth="9.7109375" defaultRowHeight="13.5" customHeight="1" x14ac:dyDescent="0.25"/>
  <cols>
    <col min="1" max="1" width="3.7109375" style="1" customWidth="1"/>
    <col min="2" max="4" width="2.5703125" style="1" customWidth="1"/>
    <col min="5" max="5" width="35.7109375" style="1" customWidth="1"/>
    <col min="6" max="6" width="12.7109375" style="4" customWidth="1"/>
    <col min="7" max="7" width="12.7109375" style="7" customWidth="1"/>
    <col min="8" max="8" width="2.7109375" style="7" customWidth="1"/>
    <col min="9" max="10" width="12.85546875" style="1" customWidth="1"/>
    <col min="11" max="11" width="2.7109375" style="1" customWidth="1"/>
    <col min="12" max="12" width="13.28515625" style="1" customWidth="1"/>
    <col min="13" max="13" width="13.5703125" style="1" customWidth="1"/>
    <col min="14" max="15" width="2.7109375" style="1" customWidth="1"/>
    <col min="16" max="16384" width="9.7109375" style="1"/>
  </cols>
  <sheetData>
    <row r="2" spans="2:15" ht="13.5" customHeight="1" x14ac:dyDescent="0.25">
      <c r="B2" s="15"/>
      <c r="C2" s="16"/>
      <c r="D2" s="16"/>
      <c r="E2" s="16"/>
      <c r="F2" s="17"/>
      <c r="G2" s="18"/>
      <c r="H2" s="18"/>
      <c r="I2" s="16"/>
      <c r="J2" s="16"/>
      <c r="K2" s="16"/>
      <c r="L2" s="16"/>
      <c r="M2" s="16"/>
      <c r="N2" s="16"/>
      <c r="O2" s="19"/>
    </row>
    <row r="3" spans="2:15" ht="13.5" customHeight="1" x14ac:dyDescent="0.25">
      <c r="B3" s="20"/>
      <c r="C3" s="21"/>
      <c r="D3" s="21"/>
      <c r="E3" s="21"/>
      <c r="F3" s="22"/>
      <c r="G3" s="23"/>
      <c r="H3" s="23"/>
      <c r="I3" s="21"/>
      <c r="J3" s="21"/>
      <c r="K3" s="21"/>
      <c r="L3" s="21"/>
      <c r="M3" s="21"/>
      <c r="N3" s="21"/>
      <c r="O3" s="24"/>
    </row>
    <row r="4" spans="2:15" s="108" customFormat="1" ht="18" customHeight="1" x14ac:dyDescent="0.3">
      <c r="B4" s="102"/>
      <c r="C4" s="103" t="s">
        <v>255</v>
      </c>
      <c r="D4" s="103"/>
      <c r="E4" s="103"/>
      <c r="F4" s="105">
        <f>tabellen!B2</f>
        <v>2015</v>
      </c>
      <c r="G4" s="104" t="str">
        <f>tabellen!C2</f>
        <v>vanaf 1 augustus</v>
      </c>
      <c r="H4" s="105"/>
      <c r="I4" s="103"/>
      <c r="J4" s="103"/>
      <c r="K4" s="103"/>
      <c r="L4" s="106"/>
      <c r="M4" s="103"/>
      <c r="N4" s="103"/>
      <c r="O4" s="107"/>
    </row>
    <row r="5" spans="2:15" ht="13.5" customHeight="1" x14ac:dyDescent="0.25">
      <c r="B5" s="20"/>
      <c r="C5" s="21"/>
      <c r="D5" s="21"/>
      <c r="E5" s="26"/>
      <c r="F5" s="22"/>
      <c r="G5" s="23"/>
      <c r="H5" s="23"/>
      <c r="I5" s="439">
        <f ca="1">NOW()</f>
        <v>42292.953703935185</v>
      </c>
      <c r="J5" s="435"/>
      <c r="K5" s="21"/>
      <c r="L5" s="437"/>
      <c r="M5" s="435"/>
      <c r="N5" s="21"/>
      <c r="O5" s="24"/>
    </row>
    <row r="6" spans="2:15" ht="13.5" customHeight="1" x14ac:dyDescent="0.25">
      <c r="B6" s="20"/>
      <c r="C6" s="172"/>
      <c r="D6" s="173"/>
      <c r="E6" s="174"/>
      <c r="F6" s="175"/>
      <c r="G6" s="176"/>
      <c r="H6" s="176"/>
      <c r="I6" s="173"/>
      <c r="J6" s="173"/>
      <c r="K6" s="173"/>
      <c r="L6" s="177"/>
      <c r="M6" s="173"/>
      <c r="N6" s="178"/>
      <c r="O6" s="24"/>
    </row>
    <row r="7" spans="2:15" ht="13.5" customHeight="1" x14ac:dyDescent="0.25">
      <c r="B7" s="20"/>
      <c r="C7" s="179"/>
      <c r="D7" s="180" t="s">
        <v>265</v>
      </c>
      <c r="E7" s="181"/>
      <c r="F7" s="502"/>
      <c r="G7" s="183"/>
      <c r="H7" s="183"/>
      <c r="I7" s="184"/>
      <c r="J7" s="184"/>
      <c r="K7" s="184"/>
      <c r="L7" s="185"/>
      <c r="M7" s="184"/>
      <c r="N7" s="186"/>
      <c r="O7" s="24"/>
    </row>
    <row r="8" spans="2:15" ht="13.5" customHeight="1" x14ac:dyDescent="0.25">
      <c r="B8" s="20"/>
      <c r="C8" s="179"/>
      <c r="D8" s="184"/>
      <c r="E8" s="181"/>
      <c r="F8" s="182"/>
      <c r="G8" s="183"/>
      <c r="H8" s="183"/>
      <c r="I8" s="184"/>
      <c r="J8" s="184"/>
      <c r="K8" s="184"/>
      <c r="L8" s="185"/>
      <c r="M8" s="184"/>
      <c r="N8" s="186"/>
      <c r="O8" s="24"/>
    </row>
    <row r="9" spans="2:15" ht="13.5" customHeight="1" x14ac:dyDescent="0.25">
      <c r="B9" s="29"/>
      <c r="C9" s="187"/>
      <c r="D9" s="184" t="s">
        <v>80</v>
      </c>
      <c r="E9" s="184"/>
      <c r="F9" s="184"/>
      <c r="G9" s="184"/>
      <c r="H9" s="184"/>
      <c r="I9" s="188" t="s">
        <v>32</v>
      </c>
      <c r="J9" s="189"/>
      <c r="K9" s="184"/>
      <c r="L9" s="190"/>
      <c r="M9" s="184"/>
      <c r="N9" s="186"/>
      <c r="O9" s="24"/>
    </row>
    <row r="10" spans="2:15" ht="13.5" customHeight="1" x14ac:dyDescent="0.25">
      <c r="B10" s="20"/>
      <c r="C10" s="179"/>
      <c r="D10" s="184" t="s">
        <v>276</v>
      </c>
      <c r="E10" s="184"/>
      <c r="F10" s="182"/>
      <c r="G10" s="183"/>
      <c r="H10" s="183"/>
      <c r="I10" s="434">
        <v>27102</v>
      </c>
      <c r="J10" s="436">
        <f ca="1">YEAR(I5)-YEAR(I10)</f>
        <v>41</v>
      </c>
      <c r="K10" s="192"/>
      <c r="L10" s="438">
        <f ca="1">MONTH(I5)-MONTH(I10)</f>
        <v>7</v>
      </c>
      <c r="M10" s="438">
        <f ca="1">DAY(I5)-DAY(I10)</f>
        <v>1</v>
      </c>
      <c r="N10" s="186"/>
      <c r="O10" s="24"/>
    </row>
    <row r="11" spans="2:15" ht="13.5" customHeight="1" x14ac:dyDescent="0.25">
      <c r="B11" s="20"/>
      <c r="C11" s="179"/>
      <c r="D11" s="195"/>
      <c r="E11" s="184"/>
      <c r="F11" s="182"/>
      <c r="G11" s="183"/>
      <c r="H11" s="183"/>
      <c r="I11" s="194"/>
      <c r="J11" s="192"/>
      <c r="K11" s="192"/>
      <c r="L11" s="193"/>
      <c r="M11" s="193"/>
      <c r="N11" s="186"/>
      <c r="O11" s="24"/>
    </row>
    <row r="12" spans="2:15" ht="13.5" customHeight="1" x14ac:dyDescent="0.25">
      <c r="B12" s="20"/>
      <c r="C12" s="179"/>
      <c r="D12" s="196" t="s">
        <v>23</v>
      </c>
      <c r="E12" s="184"/>
      <c r="F12" s="184"/>
      <c r="G12" s="184"/>
      <c r="H12" s="184"/>
      <c r="I12" s="197"/>
      <c r="J12" s="184"/>
      <c r="K12" s="184"/>
      <c r="L12" s="184"/>
      <c r="M12" s="193"/>
      <c r="N12" s="186"/>
      <c r="O12" s="24"/>
    </row>
    <row r="13" spans="2:15" ht="13.5" customHeight="1" x14ac:dyDescent="0.25">
      <c r="B13" s="20"/>
      <c r="C13" s="179"/>
      <c r="D13" s="182" t="s">
        <v>21</v>
      </c>
      <c r="E13" s="184"/>
      <c r="F13" s="184"/>
      <c r="G13" s="182"/>
      <c r="H13" s="183"/>
      <c r="I13" s="191" t="s">
        <v>0</v>
      </c>
      <c r="J13" s="193">
        <f>IF(AND(I13&gt;0,I13&lt;16),0,100)</f>
        <v>100</v>
      </c>
      <c r="K13" s="193"/>
      <c r="L13" s="193"/>
      <c r="M13" s="184"/>
      <c r="N13" s="186"/>
      <c r="O13" s="24"/>
    </row>
    <row r="14" spans="2:15" ht="13.5" customHeight="1" x14ac:dyDescent="0.25">
      <c r="B14" s="20"/>
      <c r="C14" s="179"/>
      <c r="D14" s="182" t="s">
        <v>22</v>
      </c>
      <c r="E14" s="184"/>
      <c r="F14" s="184"/>
      <c r="G14" s="183"/>
      <c r="H14" s="183"/>
      <c r="I14" s="191">
        <v>12</v>
      </c>
      <c r="J14" s="199" t="str">
        <f>IF(AND(I14&gt;0,I14&lt;M14+1)," ",#REF!)</f>
        <v xml:space="preserve"> </v>
      </c>
      <c r="K14" s="199"/>
      <c r="L14" s="193" t="s">
        <v>68</v>
      </c>
      <c r="M14" s="200">
        <f>VLOOKUP(I13,salaristabellen,22,FALSE)</f>
        <v>15</v>
      </c>
      <c r="N14" s="186"/>
      <c r="O14" s="24"/>
    </row>
    <row r="15" spans="2:15" ht="13.5" customHeight="1" x14ac:dyDescent="0.25">
      <c r="B15" s="20"/>
      <c r="C15" s="179"/>
      <c r="D15" s="182" t="s">
        <v>24</v>
      </c>
      <c r="E15" s="184"/>
      <c r="F15" s="184"/>
      <c r="G15" s="183"/>
      <c r="H15" s="183"/>
      <c r="I15" s="201">
        <f>VLOOKUP(I13,salaristabellen,I14+1,FALSE)</f>
        <v>3039</v>
      </c>
      <c r="J15" s="193"/>
      <c r="K15" s="193"/>
      <c r="L15" s="193"/>
      <c r="M15" s="193"/>
      <c r="N15" s="186"/>
      <c r="O15" s="24"/>
    </row>
    <row r="16" spans="2:15" ht="13.5" customHeight="1" x14ac:dyDescent="0.25">
      <c r="B16" s="20"/>
      <c r="C16" s="179"/>
      <c r="D16" s="184" t="s">
        <v>25</v>
      </c>
      <c r="E16" s="184"/>
      <c r="F16" s="182"/>
      <c r="G16" s="183"/>
      <c r="H16" s="183"/>
      <c r="I16" s="202">
        <v>1</v>
      </c>
      <c r="J16" s="193"/>
      <c r="K16" s="193"/>
      <c r="L16" s="193"/>
      <c r="M16" s="193"/>
      <c r="N16" s="186"/>
      <c r="O16" s="24"/>
    </row>
    <row r="17" spans="2:15" ht="13.5" customHeight="1" x14ac:dyDescent="0.25">
      <c r="B17" s="20"/>
      <c r="C17" s="179"/>
      <c r="D17" s="182" t="s">
        <v>26</v>
      </c>
      <c r="E17" s="184"/>
      <c r="F17" s="184"/>
      <c r="G17" s="183"/>
      <c r="H17" s="183"/>
      <c r="I17" s="201">
        <f>+I15*I16</f>
        <v>3039</v>
      </c>
      <c r="J17" s="193"/>
      <c r="K17" s="193"/>
      <c r="L17" s="193"/>
      <c r="M17" s="193"/>
      <c r="N17" s="186"/>
      <c r="O17" s="24"/>
    </row>
    <row r="18" spans="2:15" ht="13.5" customHeight="1" x14ac:dyDescent="0.25">
      <c r="B18" s="20"/>
      <c r="C18" s="179"/>
      <c r="D18" s="184"/>
      <c r="E18" s="184"/>
      <c r="F18" s="182"/>
      <c r="G18" s="183"/>
      <c r="H18" s="183"/>
      <c r="I18" s="198"/>
      <c r="J18" s="193"/>
      <c r="K18" s="193"/>
      <c r="L18" s="193"/>
      <c r="M18" s="193"/>
      <c r="N18" s="186"/>
      <c r="O18" s="24"/>
    </row>
    <row r="19" spans="2:15" ht="13.5" customHeight="1" x14ac:dyDescent="0.25">
      <c r="B19" s="20"/>
      <c r="C19" s="179"/>
      <c r="D19" s="195" t="s">
        <v>37</v>
      </c>
      <c r="E19" s="184"/>
      <c r="F19" s="182"/>
      <c r="G19" s="183"/>
      <c r="H19" s="183"/>
      <c r="I19" s="184"/>
      <c r="J19" s="193"/>
      <c r="K19" s="193"/>
      <c r="L19" s="193"/>
      <c r="M19" s="193"/>
      <c r="N19" s="186"/>
      <c r="O19" s="24"/>
    </row>
    <row r="20" spans="2:15" ht="13.5" customHeight="1" x14ac:dyDescent="0.25">
      <c r="B20" s="20"/>
      <c r="C20" s="179"/>
      <c r="D20" s="182" t="s">
        <v>48</v>
      </c>
      <c r="E20" s="184"/>
      <c r="F20" s="204" t="s">
        <v>0</v>
      </c>
      <c r="G20" s="487" t="s">
        <v>327</v>
      </c>
      <c r="H20" s="205"/>
      <c r="I20" s="201">
        <f>ROUND(IF(G20="j",VLOOKUP(F20,uitlooptoeslag,2,FALSE))*IF(I16&gt;1,1,I16),2)</f>
        <v>0</v>
      </c>
      <c r="J20" s="193"/>
      <c r="K20" s="193"/>
      <c r="L20" s="193"/>
      <c r="M20" s="193"/>
      <c r="N20" s="186"/>
      <c r="O20" s="24"/>
    </row>
    <row r="21" spans="2:15" ht="13.5" customHeight="1" x14ac:dyDescent="0.25">
      <c r="B21" s="20"/>
      <c r="C21" s="179"/>
      <c r="D21" s="418" t="s">
        <v>241</v>
      </c>
      <c r="E21" s="417"/>
      <c r="F21" s="406">
        <v>41640</v>
      </c>
      <c r="G21" s="487" t="s">
        <v>327</v>
      </c>
      <c r="H21" s="205"/>
      <c r="I21" s="201">
        <f>ROUND(IF(OR(I13="LA",I13="LB"),IF(G21="j",tabellen!C79*I16,0),0),2)</f>
        <v>0</v>
      </c>
      <c r="J21" s="193"/>
      <c r="K21" s="193"/>
      <c r="L21" s="193"/>
      <c r="M21" s="193"/>
      <c r="N21" s="186"/>
      <c r="O21" s="24"/>
    </row>
    <row r="22" spans="2:15" ht="13.5" customHeight="1" x14ac:dyDescent="0.25">
      <c r="B22" s="20"/>
      <c r="C22" s="179"/>
      <c r="D22" s="182" t="s">
        <v>38</v>
      </c>
      <c r="E22" s="184"/>
      <c r="F22" s="182"/>
      <c r="G22" s="450">
        <v>0.08</v>
      </c>
      <c r="H22" s="206"/>
      <c r="I22" s="201">
        <f>ROUND(IF((I$17+I$20+I21)*G22&lt;I16*tabellen!D91,I16*tabellen!D91,(I$17+I$20+I21)*G22),2)</f>
        <v>243.12</v>
      </c>
      <c r="J22" s="193"/>
      <c r="K22" s="193"/>
      <c r="L22" s="193"/>
      <c r="M22" s="193"/>
      <c r="N22" s="186"/>
      <c r="O22" s="24"/>
    </row>
    <row r="23" spans="2:15" ht="13.5" customHeight="1" x14ac:dyDescent="0.25">
      <c r="B23" s="20"/>
      <c r="C23" s="179"/>
      <c r="D23" s="182" t="s">
        <v>84</v>
      </c>
      <c r="E23" s="184"/>
      <c r="F23" s="182"/>
      <c r="G23" s="207">
        <f>+tabellen!D92</f>
        <v>6.3E-2</v>
      </c>
      <c r="H23" s="208"/>
      <c r="I23" s="201">
        <f>ROUND(+(I$17+I$20+I21)*G23,2)</f>
        <v>191.46</v>
      </c>
      <c r="J23" s="193"/>
      <c r="K23" s="193"/>
      <c r="L23" s="193"/>
      <c r="M23" s="193"/>
      <c r="N23" s="186"/>
      <c r="O23" s="24"/>
    </row>
    <row r="24" spans="2:15" ht="13.5" customHeight="1" x14ac:dyDescent="0.25">
      <c r="B24" s="20"/>
      <c r="C24" s="179"/>
      <c r="D24" s="182" t="s">
        <v>120</v>
      </c>
      <c r="E24" s="184"/>
      <c r="F24" s="182"/>
      <c r="G24" s="208"/>
      <c r="H24" s="208"/>
      <c r="I24" s="201">
        <f>+tabellen!C87*I16</f>
        <v>32.799999999999997</v>
      </c>
      <c r="J24" s="193"/>
      <c r="K24" s="193"/>
      <c r="L24" s="193"/>
      <c r="M24" s="193"/>
      <c r="N24" s="186"/>
      <c r="O24" s="24"/>
    </row>
    <row r="25" spans="2:15" ht="13.5" customHeight="1" x14ac:dyDescent="0.25">
      <c r="B25" s="20"/>
      <c r="C25" s="179"/>
      <c r="D25" s="182" t="s">
        <v>118</v>
      </c>
      <c r="E25" s="184"/>
      <c r="F25" s="407"/>
      <c r="G25" s="209">
        <f>IF(J13=100,0,I13)</f>
        <v>0</v>
      </c>
      <c r="H25" s="208"/>
      <c r="I25" s="201">
        <f>VLOOKUP(G25,eindejaarsuitkering_OOP,2,TRUE)*I16/12</f>
        <v>0</v>
      </c>
      <c r="J25" s="193"/>
      <c r="K25" s="193"/>
      <c r="L25" s="193"/>
      <c r="M25" s="193"/>
      <c r="N25" s="186"/>
      <c r="O25" s="24"/>
    </row>
    <row r="26" spans="2:15" ht="13.5" customHeight="1" x14ac:dyDescent="0.25">
      <c r="B26" s="20"/>
      <c r="C26" s="179"/>
      <c r="D26" s="182" t="s">
        <v>243</v>
      </c>
      <c r="E26" s="184"/>
      <c r="F26" s="407"/>
      <c r="G26" s="207" t="str">
        <f>IF(OR(I13="DA",I13="DB",I13="DBuit",I13="DC",I13="DCuit",MID(I13,1,5)="meerh"),"j","n")</f>
        <v>n</v>
      </c>
      <c r="H26" s="208"/>
      <c r="I26" s="201">
        <f>ROUND(IF(G26="j",tabellen!D101*IF(I16&gt;1,1,I16),0),2)</f>
        <v>0</v>
      </c>
      <c r="J26" s="193"/>
      <c r="K26" s="193"/>
      <c r="L26" s="193"/>
      <c r="M26" s="193"/>
      <c r="N26" s="186"/>
      <c r="O26" s="24"/>
    </row>
    <row r="27" spans="2:15" s="2" customFormat="1" ht="13.5" customHeight="1" x14ac:dyDescent="0.25">
      <c r="B27" s="29"/>
      <c r="C27" s="187"/>
      <c r="D27" s="195"/>
      <c r="E27" s="195"/>
      <c r="F27" s="210"/>
      <c r="G27" s="211"/>
      <c r="H27" s="211"/>
      <c r="I27" s="212">
        <f>+I17+SUM(I20:I26)</f>
        <v>3506.38</v>
      </c>
      <c r="J27" s="214"/>
      <c r="K27" s="214"/>
      <c r="L27" s="214"/>
      <c r="M27" s="214"/>
      <c r="N27" s="215"/>
      <c r="O27" s="33"/>
    </row>
    <row r="28" spans="2:15" ht="13.5" customHeight="1" x14ac:dyDescent="0.25">
      <c r="B28" s="20"/>
      <c r="C28" s="179"/>
      <c r="D28" s="195"/>
      <c r="E28" s="184"/>
      <c r="F28" s="182"/>
      <c r="G28" s="183"/>
      <c r="H28" s="183"/>
      <c r="I28" s="216"/>
      <c r="J28" s="193"/>
      <c r="K28" s="193"/>
      <c r="L28" s="193"/>
      <c r="M28" s="193"/>
      <c r="N28" s="186"/>
      <c r="O28" s="24"/>
    </row>
    <row r="29" spans="2:15" ht="13.5" customHeight="1" x14ac:dyDescent="0.25">
      <c r="B29" s="20"/>
      <c r="C29" s="179"/>
      <c r="D29" s="184" t="s">
        <v>39</v>
      </c>
      <c r="E29" s="195"/>
      <c r="F29" s="182"/>
      <c r="G29" s="183"/>
      <c r="H29" s="183"/>
      <c r="I29" s="201">
        <f>+I27*12</f>
        <v>42076.56</v>
      </c>
      <c r="J29" s="193"/>
      <c r="K29" s="193"/>
      <c r="L29" s="193"/>
      <c r="M29" s="193"/>
      <c r="N29" s="186"/>
      <c r="O29" s="24"/>
    </row>
    <row r="30" spans="2:15" ht="13.5" customHeight="1" x14ac:dyDescent="0.25">
      <c r="B30" s="20"/>
      <c r="C30" s="179"/>
      <c r="D30" s="469" t="s">
        <v>76</v>
      </c>
      <c r="E30" s="195"/>
      <c r="F30" s="479" t="s">
        <v>77</v>
      </c>
      <c r="G30" s="480" t="s">
        <v>327</v>
      </c>
      <c r="H30" s="183"/>
      <c r="I30" s="201">
        <f>ROUND(IF(G30="j",VLOOKUP(F30,bindingstoelage,2,FALSE))*IF(I16&gt;1,1,I16),2)</f>
        <v>0</v>
      </c>
      <c r="J30" s="193"/>
      <c r="K30" s="193"/>
      <c r="L30" s="193"/>
      <c r="M30" s="193"/>
      <c r="N30" s="186"/>
      <c r="O30" s="24"/>
    </row>
    <row r="31" spans="2:15" ht="13.5" customHeight="1" x14ac:dyDescent="0.25">
      <c r="B31" s="20"/>
      <c r="C31" s="179"/>
      <c r="D31" s="508" t="s">
        <v>363</v>
      </c>
      <c r="E31" s="195"/>
      <c r="F31" s="217"/>
      <c r="G31" s="505"/>
      <c r="H31" s="218"/>
      <c r="I31" s="201">
        <f>ROUND(I16*tabellen!D98,2)</f>
        <v>328</v>
      </c>
      <c r="J31" s="193"/>
      <c r="K31" s="193"/>
      <c r="L31" s="193"/>
      <c r="M31" s="193"/>
      <c r="N31" s="186"/>
      <c r="O31" s="24"/>
    </row>
    <row r="32" spans="2:15" ht="13.5" customHeight="1" x14ac:dyDescent="0.25">
      <c r="B32" s="20"/>
      <c r="C32" s="507"/>
      <c r="D32" s="509" t="s">
        <v>362</v>
      </c>
      <c r="E32" s="187"/>
      <c r="F32" s="503"/>
      <c r="G32" s="506"/>
      <c r="H32" s="504"/>
      <c r="I32" s="201">
        <v>500</v>
      </c>
      <c r="J32" s="193"/>
      <c r="K32" s="193"/>
      <c r="L32" s="193"/>
      <c r="M32" s="193"/>
      <c r="N32" s="186"/>
      <c r="O32" s="24"/>
    </row>
    <row r="33" spans="2:15" ht="13.5" customHeight="1" x14ac:dyDescent="0.25">
      <c r="B33" s="20"/>
      <c r="C33" s="179"/>
      <c r="D33" s="264"/>
      <c r="E33" s="184"/>
      <c r="F33" s="182"/>
      <c r="G33" s="176"/>
      <c r="H33" s="183"/>
      <c r="I33" s="212">
        <f>ROUND(SUM(I29:I32),0)</f>
        <v>42905</v>
      </c>
      <c r="J33" s="193"/>
      <c r="K33" s="193"/>
      <c r="L33" s="193"/>
      <c r="M33" s="193"/>
      <c r="N33" s="186"/>
      <c r="O33" s="24"/>
    </row>
    <row r="34" spans="2:15" ht="13.5" customHeight="1" x14ac:dyDescent="0.25">
      <c r="B34" s="20"/>
      <c r="C34" s="179"/>
      <c r="D34" s="195"/>
      <c r="E34" s="184"/>
      <c r="F34" s="182"/>
      <c r="G34" s="183"/>
      <c r="H34" s="183"/>
      <c r="I34" s="219"/>
      <c r="J34" s="193"/>
      <c r="K34" s="193"/>
      <c r="L34" s="193"/>
      <c r="M34" s="193"/>
      <c r="N34" s="186"/>
      <c r="O34" s="24"/>
    </row>
    <row r="35" spans="2:15" ht="13.5" customHeight="1" x14ac:dyDescent="0.25">
      <c r="B35" s="20"/>
      <c r="C35" s="179"/>
      <c r="D35" s="184" t="s">
        <v>64</v>
      </c>
      <c r="E35" s="184"/>
      <c r="F35" s="182"/>
      <c r="G35" s="207">
        <v>1.9E-2</v>
      </c>
      <c r="H35" s="208"/>
      <c r="I35" s="201">
        <f>+(I33/(1+1.9%))*G35</f>
        <v>799.99509322865561</v>
      </c>
      <c r="J35" s="193"/>
      <c r="K35" s="193"/>
      <c r="L35" s="193"/>
      <c r="M35" s="193"/>
      <c r="N35" s="186"/>
      <c r="O35" s="24"/>
    </row>
    <row r="36" spans="2:15" ht="13.5" customHeight="1" x14ac:dyDescent="0.25">
      <c r="B36" s="20"/>
      <c r="C36" s="179"/>
      <c r="D36" s="184" t="s">
        <v>63</v>
      </c>
      <c r="E36" s="184"/>
      <c r="F36" s="182"/>
      <c r="G36" s="183"/>
      <c r="H36" s="183"/>
      <c r="I36" s="201">
        <v>791.85</v>
      </c>
      <c r="J36" s="220">
        <f>IF(I36&gt;I35,I35,I36)</f>
        <v>791.85</v>
      </c>
      <c r="K36" s="220"/>
      <c r="L36" s="193"/>
      <c r="M36" s="193"/>
      <c r="N36" s="186"/>
      <c r="O36" s="24"/>
    </row>
    <row r="37" spans="2:15" ht="13.5" customHeight="1" x14ac:dyDescent="0.25">
      <c r="B37" s="20"/>
      <c r="C37" s="179"/>
      <c r="D37" s="195" t="s">
        <v>65</v>
      </c>
      <c r="E37" s="184"/>
      <c r="F37" s="182"/>
      <c r="G37" s="183"/>
      <c r="H37" s="183"/>
      <c r="I37" s="212">
        <f>ROUND(I33-IF(I36&gt;I35,I35,I36),0)</f>
        <v>42113</v>
      </c>
      <c r="J37" s="193"/>
      <c r="K37" s="193"/>
      <c r="L37" s="193"/>
      <c r="M37" s="193"/>
      <c r="N37" s="186"/>
      <c r="O37" s="24"/>
    </row>
    <row r="38" spans="2:15" s="10" customFormat="1" ht="13.5" customHeight="1" x14ac:dyDescent="0.25">
      <c r="B38" s="34"/>
      <c r="C38" s="221"/>
      <c r="D38" s="222" t="s">
        <v>217</v>
      </c>
      <c r="E38" s="223"/>
      <c r="F38" s="222"/>
      <c r="G38" s="222"/>
      <c r="H38" s="224"/>
      <c r="I38" s="225">
        <f>IF(I10&lt;1950,0,+(I17+I20+I21)*tabellen!C89)*12</f>
        <v>291.74400000000003</v>
      </c>
      <c r="J38" s="227"/>
      <c r="K38" s="227"/>
      <c r="L38" s="227"/>
      <c r="M38" s="227"/>
      <c r="N38" s="228"/>
      <c r="O38" s="35"/>
    </row>
    <row r="39" spans="2:15" ht="13.5" customHeight="1" x14ac:dyDescent="0.25">
      <c r="B39" s="20"/>
      <c r="C39" s="229"/>
      <c r="D39" s="230"/>
      <c r="E39" s="231"/>
      <c r="F39" s="232"/>
      <c r="G39" s="233"/>
      <c r="H39" s="233"/>
      <c r="I39" s="234"/>
      <c r="J39" s="235"/>
      <c r="K39" s="235"/>
      <c r="L39" s="235"/>
      <c r="M39" s="235"/>
      <c r="N39" s="236"/>
      <c r="O39" s="36"/>
    </row>
    <row r="40" spans="2:15" s="8" customFormat="1" ht="13.5" customHeight="1" x14ac:dyDescent="0.25">
      <c r="B40" s="38"/>
      <c r="C40" s="237"/>
      <c r="D40" s="180" t="s">
        <v>69</v>
      </c>
      <c r="E40" s="238"/>
      <c r="F40" s="239"/>
      <c r="G40" s="240"/>
      <c r="H40" s="240"/>
      <c r="I40" s="197" t="s">
        <v>66</v>
      </c>
      <c r="J40" s="197" t="s">
        <v>67</v>
      </c>
      <c r="K40" s="241"/>
      <c r="L40" s="242" t="s">
        <v>303</v>
      </c>
      <c r="M40" s="241" t="s">
        <v>256</v>
      </c>
      <c r="N40" s="243"/>
      <c r="O40" s="44"/>
    </row>
    <row r="41" spans="2:15" ht="13.5" customHeight="1" x14ac:dyDescent="0.25">
      <c r="B41" s="20"/>
      <c r="C41" s="179"/>
      <c r="D41" s="195"/>
      <c r="E41" s="184"/>
      <c r="F41" s="182"/>
      <c r="G41" s="183"/>
      <c r="H41" s="183"/>
      <c r="I41" s="244"/>
      <c r="J41" s="244"/>
      <c r="K41" s="211"/>
      <c r="L41" s="245">
        <f>J42</f>
        <v>42905</v>
      </c>
      <c r="M41" s="246">
        <f>12*I17</f>
        <v>36468</v>
      </c>
      <c r="N41" s="186"/>
      <c r="O41" s="40"/>
    </row>
    <row r="42" spans="2:15" ht="13.5" customHeight="1" x14ac:dyDescent="0.25">
      <c r="B42" s="20"/>
      <c r="C42" s="179"/>
      <c r="D42" s="182" t="s">
        <v>50</v>
      </c>
      <c r="E42" s="184" t="s">
        <v>305</v>
      </c>
      <c r="F42" s="182"/>
      <c r="G42" s="183"/>
      <c r="H42" s="183"/>
      <c r="I42" s="201">
        <f>+I33/12</f>
        <v>3575.4166666666665</v>
      </c>
      <c r="J42" s="201">
        <f>+I33</f>
        <v>42905</v>
      </c>
      <c r="K42" s="198"/>
      <c r="L42" s="184"/>
      <c r="M42" s="184"/>
      <c r="N42" s="186"/>
      <c r="O42" s="40"/>
    </row>
    <row r="43" spans="2:15" ht="13.5" customHeight="1" x14ac:dyDescent="0.25">
      <c r="B43" s="20"/>
      <c r="C43" s="179"/>
      <c r="D43" s="182" t="s">
        <v>51</v>
      </c>
      <c r="E43" s="184" t="s">
        <v>40</v>
      </c>
      <c r="F43" s="182"/>
      <c r="G43" s="183"/>
      <c r="H43" s="183"/>
      <c r="I43" s="201">
        <f>IF($I$37/$I$16&lt;tabellen!E57,0,($I$37-tabellen!E57*$I$16)/12)*tabellen!$C57</f>
        <v>329.1262625</v>
      </c>
      <c r="J43" s="201">
        <f>IF($I$37/$I$16&lt;tabellen!E57,0,(+$I$37-tabellen!E57*$I$16))*tabellen!$C57</f>
        <v>3949.5151500000002</v>
      </c>
      <c r="K43" s="198"/>
      <c r="L43" s="247">
        <f t="shared" ref="L43:L51" si="0">+J43/J$42</f>
        <v>9.2052561473021793E-2</v>
      </c>
      <c r="M43" s="247">
        <f t="shared" ref="M43:M51" si="1">+J43/(12*I$17)</f>
        <v>0.10830084320500165</v>
      </c>
      <c r="N43" s="186"/>
      <c r="O43" s="40"/>
    </row>
    <row r="44" spans="2:15" ht="13.5" customHeight="1" x14ac:dyDescent="0.25">
      <c r="B44" s="20"/>
      <c r="C44" s="179"/>
      <c r="D44" s="182" t="s">
        <v>52</v>
      </c>
      <c r="E44" s="184" t="s">
        <v>227</v>
      </c>
      <c r="F44" s="182"/>
      <c r="G44" s="183"/>
      <c r="H44" s="183"/>
      <c r="I44" s="201">
        <f>IF($I$37/$I$16&lt;tabellen!E58,0,(+$I$37-tabellen!E58*$I$16)/12)*tabellen!$C58</f>
        <v>7.0821874999999999</v>
      </c>
      <c r="J44" s="201">
        <f>IF($I$37/$I$16&lt;tabellen!E58,0,(+$I$37-tabellen!E58*$I$16))*tabellen!$C58</f>
        <v>84.986249999999998</v>
      </c>
      <c r="K44" s="198"/>
      <c r="L44" s="247">
        <f t="shared" si="0"/>
        <v>1.9808006059899778E-3</v>
      </c>
      <c r="M44" s="247">
        <f t="shared" si="1"/>
        <v>2.3304335307666995E-3</v>
      </c>
      <c r="N44" s="186"/>
      <c r="O44" s="40"/>
    </row>
    <row r="45" spans="2:15" ht="13.5" customHeight="1" x14ac:dyDescent="0.25">
      <c r="B45" s="20"/>
      <c r="C45" s="179"/>
      <c r="D45" s="182" t="s">
        <v>53</v>
      </c>
      <c r="E45" s="184" t="s">
        <v>43</v>
      </c>
      <c r="F45" s="182" t="s">
        <v>45</v>
      </c>
      <c r="G45" s="182"/>
      <c r="H45" s="183"/>
      <c r="I45" s="201">
        <f>$I$37/12*tabellen!$C59</f>
        <v>105.28249999999998</v>
      </c>
      <c r="J45" s="201">
        <f>$I$37*tabellen!$C59</f>
        <v>1263.3899999999999</v>
      </c>
      <c r="K45" s="198"/>
      <c r="L45" s="247">
        <f>+J45/J$42</f>
        <v>2.9446218389465095E-2</v>
      </c>
      <c r="M45" s="247">
        <f>+J45/(12*I$17)</f>
        <v>3.4643797301743988E-2</v>
      </c>
      <c r="N45" s="186"/>
      <c r="O45" s="40"/>
    </row>
    <row r="46" spans="2:15" ht="13.5" customHeight="1" x14ac:dyDescent="0.25">
      <c r="B46" s="20"/>
      <c r="C46" s="179"/>
      <c r="D46" s="182" t="s">
        <v>54</v>
      </c>
      <c r="E46" s="491" t="s">
        <v>222</v>
      </c>
      <c r="F46" s="182"/>
      <c r="G46" s="183"/>
      <c r="H46" s="183"/>
      <c r="I46" s="510">
        <f>J46/12</f>
        <v>228.96410337000006</v>
      </c>
      <c r="J46" s="201">
        <f>IF($J$67&gt;tabellen!$G$60,tabellen!$G$60,$J$67)*(tabellen!$C60+tabellen!$C61)</f>
        <v>2747.5692404400006</v>
      </c>
      <c r="K46" s="198"/>
      <c r="L46" s="247">
        <f t="shared" si="0"/>
        <v>6.4038439352989182E-2</v>
      </c>
      <c r="M46" s="247">
        <f t="shared" si="1"/>
        <v>7.5341922793682153E-2</v>
      </c>
      <c r="N46" s="186"/>
      <c r="O46" s="40"/>
    </row>
    <row r="47" spans="2:15" ht="13.5" customHeight="1" x14ac:dyDescent="0.25">
      <c r="B47" s="20"/>
      <c r="C47" s="179"/>
      <c r="D47" s="182" t="s">
        <v>55</v>
      </c>
      <c r="E47" s="469" t="s">
        <v>313</v>
      </c>
      <c r="F47" s="182"/>
      <c r="G47" s="183"/>
      <c r="H47" s="183"/>
      <c r="I47" s="201">
        <f>ROUND(IF($I$67&gt;tabellen!H63,tabellen!H63,$I$67)*tabellen!C63,2)</f>
        <v>238.93</v>
      </c>
      <c r="J47" s="201">
        <f>ROUND(IF($J$67&gt;tabellen!G63,tabellen!G63,$J$67)*tabellen!C63,2)</f>
        <v>2867.21</v>
      </c>
      <c r="K47" s="198"/>
      <c r="L47" s="247">
        <f t="shared" si="0"/>
        <v>6.6826943246707848E-2</v>
      </c>
      <c r="M47" s="247">
        <f t="shared" si="1"/>
        <v>7.8622628057475052E-2</v>
      </c>
      <c r="N47" s="186"/>
      <c r="O47" s="40"/>
    </row>
    <row r="48" spans="2:15" ht="13.5" customHeight="1" x14ac:dyDescent="0.25">
      <c r="B48" s="20"/>
      <c r="C48" s="179"/>
      <c r="D48" s="182" t="s">
        <v>56</v>
      </c>
      <c r="E48" s="184" t="s">
        <v>59</v>
      </c>
      <c r="F48" s="182"/>
      <c r="G48" s="183"/>
      <c r="H48" s="183"/>
      <c r="I48" s="201">
        <f>IF($I$67&gt;tabellen!$G$64*$I$16/12,tabellen!$G$64*$I$16/12,$I$67)*tabellen!$C64</f>
        <v>26.815615709999999</v>
      </c>
      <c r="J48" s="201">
        <f>IF($J$67&gt;tabellen!$G$64*$I$16,tabellen!$G$64*$I$16,$J$67)*tabellen!$C64</f>
        <v>321.78738851999998</v>
      </c>
      <c r="K48" s="198"/>
      <c r="L48" s="247">
        <f t="shared" si="0"/>
        <v>7.499997401701433E-3</v>
      </c>
      <c r="M48" s="247">
        <f t="shared" si="1"/>
        <v>8.8238287956564649E-3</v>
      </c>
      <c r="N48" s="186"/>
      <c r="O48" s="40"/>
    </row>
    <row r="49" spans="2:16" ht="13.5" customHeight="1" x14ac:dyDescent="0.25">
      <c r="B49" s="20"/>
      <c r="C49" s="179"/>
      <c r="D49" s="182" t="s">
        <v>57</v>
      </c>
      <c r="E49" s="184" t="s">
        <v>60</v>
      </c>
      <c r="F49" s="182"/>
      <c r="G49" s="248">
        <v>1</v>
      </c>
      <c r="H49" s="205"/>
      <c r="I49" s="201">
        <f>+$I$67*IF(G49=1,tabellen!$C65,IF(G49=2,tabellen!$C66,IF(G49=3,tabellen!C67,tabellen!C68)))</f>
        <v>206.273967</v>
      </c>
      <c r="J49" s="201">
        <f>+$J$67*IF(G49=1,tabellen!$C65,IF(G49=2,tabellen!$C66,IF(G49=3,tabellen!C67,IF(G49=4,tabellen!C68,IF(G49=5,tabellen!#REF!,tabellen!#REF!)))))</f>
        <v>2475.2876040000001</v>
      </c>
      <c r="K49" s="198"/>
      <c r="L49" s="247">
        <f t="shared" si="0"/>
        <v>5.7692287705395646E-2</v>
      </c>
      <c r="M49" s="247">
        <f t="shared" si="1"/>
        <v>6.7875606120434362E-2</v>
      </c>
      <c r="N49" s="186"/>
      <c r="O49" s="40"/>
    </row>
    <row r="50" spans="2:16" ht="13.5" customHeight="1" x14ac:dyDescent="0.25">
      <c r="B50" s="20"/>
      <c r="C50" s="179"/>
      <c r="D50" s="182" t="s">
        <v>58</v>
      </c>
      <c r="E50" s="184" t="s">
        <v>61</v>
      </c>
      <c r="F50" s="182"/>
      <c r="G50" s="183"/>
      <c r="H50" s="183"/>
      <c r="I50" s="201">
        <f>+$I$67*tabellen!$C69</f>
        <v>171.89497249999999</v>
      </c>
      <c r="J50" s="201">
        <f>+$J$67*tabellen!$C69</f>
        <v>2062.7396700000004</v>
      </c>
      <c r="K50" s="198"/>
      <c r="L50" s="247">
        <f t="shared" si="0"/>
        <v>4.8076906421163045E-2</v>
      </c>
      <c r="M50" s="247">
        <f t="shared" si="1"/>
        <v>5.6563005100361975E-2</v>
      </c>
      <c r="N50" s="186"/>
      <c r="O50" s="40"/>
    </row>
    <row r="51" spans="2:16" ht="13.5" customHeight="1" x14ac:dyDescent="0.25">
      <c r="B51" s="20"/>
      <c r="C51" s="179"/>
      <c r="D51" s="182" t="s">
        <v>74</v>
      </c>
      <c r="E51" s="184" t="s">
        <v>218</v>
      </c>
      <c r="F51" s="182"/>
      <c r="G51" s="183"/>
      <c r="H51" s="183"/>
      <c r="I51" s="201">
        <f>+I38/12</f>
        <v>24.312000000000001</v>
      </c>
      <c r="J51" s="201">
        <f>+I38</f>
        <v>291.74400000000003</v>
      </c>
      <c r="K51" s="198"/>
      <c r="L51" s="247">
        <f t="shared" si="0"/>
        <v>6.7997669269315936E-3</v>
      </c>
      <c r="M51" s="247">
        <f t="shared" si="1"/>
        <v>8.0000000000000002E-3</v>
      </c>
      <c r="N51" s="186"/>
      <c r="O51" s="40"/>
    </row>
    <row r="52" spans="2:16" ht="13.5" customHeight="1" x14ac:dyDescent="0.25">
      <c r="B52" s="20"/>
      <c r="C52" s="179"/>
      <c r="D52" s="511" t="s">
        <v>99</v>
      </c>
      <c r="E52" s="469" t="s">
        <v>365</v>
      </c>
      <c r="F52" s="182"/>
      <c r="G52" s="183"/>
      <c r="H52" s="183"/>
      <c r="I52" s="512">
        <f>J52/12</f>
        <v>41.666666666666664</v>
      </c>
      <c r="J52" s="512">
        <v>500</v>
      </c>
      <c r="K52" s="198"/>
      <c r="L52" s="247">
        <f t="shared" ref="L52" si="2">+J52/J$42</f>
        <v>1.1653653420347279E-2</v>
      </c>
      <c r="M52" s="247">
        <f t="shared" ref="M52" si="3">+J52/(12*I$17)</f>
        <v>1.3710650433256553E-2</v>
      </c>
      <c r="N52" s="186"/>
      <c r="O52" s="40"/>
    </row>
    <row r="53" spans="2:16" ht="13.5" customHeight="1" x14ac:dyDescent="0.25">
      <c r="B53" s="20"/>
      <c r="C53" s="179"/>
      <c r="D53" s="249"/>
      <c r="E53" s="184"/>
      <c r="F53" s="182"/>
      <c r="G53" s="183"/>
      <c r="H53" s="183"/>
      <c r="I53" s="216"/>
      <c r="J53" s="216"/>
      <c r="K53" s="198"/>
      <c r="L53" s="250"/>
      <c r="M53" s="250"/>
      <c r="N53" s="186"/>
      <c r="O53" s="40"/>
    </row>
    <row r="54" spans="2:16" s="2" customFormat="1" ht="13.5" customHeight="1" x14ac:dyDescent="0.25">
      <c r="B54" s="29"/>
      <c r="C54" s="187"/>
      <c r="D54" s="195" t="s">
        <v>62</v>
      </c>
      <c r="E54" s="195"/>
      <c r="F54" s="210"/>
      <c r="G54" s="211"/>
      <c r="H54" s="211"/>
      <c r="I54" s="212">
        <f>SUM(I42:I51)</f>
        <v>4914.0982752466671</v>
      </c>
      <c r="J54" s="212">
        <f>SUM(J42:J51)</f>
        <v>58969.229302960004</v>
      </c>
      <c r="K54" s="213"/>
      <c r="L54" s="252">
        <f>+J54/J$42-1</f>
        <v>0.37441392152336572</v>
      </c>
      <c r="M54" s="252">
        <f>+J54/(I17*12)-1</f>
        <v>0.6170129785828673</v>
      </c>
      <c r="N54" s="215"/>
      <c r="O54" s="41"/>
      <c r="P54" s="460"/>
    </row>
    <row r="55" spans="2:16" ht="13.5" customHeight="1" x14ac:dyDescent="0.25">
      <c r="B55" s="20"/>
      <c r="C55" s="179"/>
      <c r="D55" s="216"/>
      <c r="E55" s="195"/>
      <c r="F55" s="182"/>
      <c r="G55" s="183"/>
      <c r="H55" s="183"/>
      <c r="I55" s="253"/>
      <c r="J55" s="253"/>
      <c r="K55" s="254"/>
      <c r="L55" s="255"/>
      <c r="M55" s="255"/>
      <c r="N55" s="186"/>
      <c r="O55" s="40"/>
    </row>
    <row r="56" spans="2:16" s="159" customFormat="1" ht="13.5" customHeight="1" x14ac:dyDescent="0.25">
      <c r="B56" s="157"/>
      <c r="C56" s="256"/>
      <c r="D56" s="257" t="s">
        <v>280</v>
      </c>
      <c r="E56" s="257"/>
      <c r="F56" s="258"/>
      <c r="G56" s="259"/>
      <c r="H56" s="259"/>
      <c r="I56" s="492">
        <f>+I54/I17-1</f>
        <v>0.61701160751782402</v>
      </c>
      <c r="J56" s="493"/>
      <c r="K56" s="260"/>
      <c r="L56" s="260"/>
      <c r="M56" s="260"/>
      <c r="N56" s="261"/>
      <c r="O56" s="158"/>
    </row>
    <row r="57" spans="2:16" ht="13.5" customHeight="1" x14ac:dyDescent="0.25">
      <c r="B57" s="20"/>
      <c r="C57" s="229"/>
      <c r="D57" s="230"/>
      <c r="E57" s="230"/>
      <c r="F57" s="232"/>
      <c r="G57" s="233"/>
      <c r="H57" s="233"/>
      <c r="I57" s="262"/>
      <c r="J57" s="262"/>
      <c r="K57" s="230"/>
      <c r="L57" s="230"/>
      <c r="M57" s="230"/>
      <c r="N57" s="263"/>
      <c r="O57" s="40"/>
    </row>
    <row r="58" spans="2:16" ht="13.5" customHeight="1" x14ac:dyDescent="0.25">
      <c r="B58" s="20"/>
      <c r="C58" s="237"/>
      <c r="D58" s="180" t="s">
        <v>326</v>
      </c>
      <c r="E58" s="238"/>
      <c r="F58" s="239"/>
      <c r="G58" s="240"/>
      <c r="H58" s="240"/>
      <c r="I58" s="265" t="s">
        <v>66</v>
      </c>
      <c r="J58" s="241" t="s">
        <v>67</v>
      </c>
      <c r="K58" s="241"/>
      <c r="L58" s="193"/>
      <c r="M58" s="238"/>
      <c r="N58" s="243"/>
      <c r="O58" s="40"/>
    </row>
    <row r="59" spans="2:16" ht="13.5" customHeight="1" x14ac:dyDescent="0.25">
      <c r="B59" s="20"/>
      <c r="C59" s="179"/>
      <c r="D59" s="195"/>
      <c r="E59" s="184"/>
      <c r="F59" s="182"/>
      <c r="G59" s="183"/>
      <c r="H59" s="183"/>
      <c r="I59" s="266"/>
      <c r="J59" s="195"/>
      <c r="K59" s="184"/>
      <c r="L59" s="193"/>
      <c r="M59" s="184"/>
      <c r="N59" s="186"/>
      <c r="O59" s="40"/>
    </row>
    <row r="60" spans="2:16" ht="13.5" customHeight="1" x14ac:dyDescent="0.25">
      <c r="B60" s="20"/>
      <c r="C60" s="187"/>
      <c r="D60" s="267" t="s">
        <v>50</v>
      </c>
      <c r="E60" s="195" t="s">
        <v>65</v>
      </c>
      <c r="F60" s="210"/>
      <c r="G60" s="211"/>
      <c r="H60" s="211"/>
      <c r="I60" s="268">
        <f>+I37/12</f>
        <v>3509.4166666666665</v>
      </c>
      <c r="J60" s="268">
        <f>+I37</f>
        <v>42113</v>
      </c>
      <c r="K60" s="195"/>
      <c r="L60" s="214"/>
      <c r="M60" s="195"/>
      <c r="N60" s="215"/>
      <c r="O60" s="40"/>
    </row>
    <row r="61" spans="2:16" ht="13.5" customHeight="1" x14ac:dyDescent="0.25">
      <c r="B61" s="20"/>
      <c r="C61" s="187"/>
      <c r="D61" s="267"/>
      <c r="E61" s="195"/>
      <c r="F61" s="210"/>
      <c r="G61" s="211"/>
      <c r="H61" s="211"/>
      <c r="I61" s="251"/>
      <c r="J61" s="251"/>
      <c r="K61" s="195"/>
      <c r="L61" s="214"/>
      <c r="M61" s="195"/>
      <c r="N61" s="215"/>
      <c r="O61" s="40"/>
    </row>
    <row r="62" spans="2:16" ht="13.5" customHeight="1" x14ac:dyDescent="0.25">
      <c r="B62" s="20"/>
      <c r="C62" s="221"/>
      <c r="D62" s="269" t="s">
        <v>51</v>
      </c>
      <c r="E62" s="223" t="s">
        <v>40</v>
      </c>
      <c r="F62" s="222"/>
      <c r="G62" s="224"/>
      <c r="H62" s="270"/>
      <c r="I62" s="271">
        <f>IF($I$37/$I$16&lt;tabellen!E57,0,(+$I$37-tabellen!E57*I16)/12*tabellen!$D57)</f>
        <v>159.46848749999998</v>
      </c>
      <c r="J62" s="271">
        <f>IF($I$37/$I$16&lt;tabellen!E57,0,(+$I$37-tabellen!E57*I16)*tabellen!$D57)</f>
        <v>1913.6218499999998</v>
      </c>
      <c r="K62" s="226"/>
      <c r="L62" s="227"/>
      <c r="M62" s="223"/>
      <c r="N62" s="228"/>
      <c r="O62" s="40"/>
    </row>
    <row r="63" spans="2:16" ht="13.5" customHeight="1" x14ac:dyDescent="0.25">
      <c r="B63" s="20"/>
      <c r="C63" s="221"/>
      <c r="D63" s="269" t="s">
        <v>52</v>
      </c>
      <c r="E63" s="223" t="s">
        <v>227</v>
      </c>
      <c r="F63" s="222"/>
      <c r="G63" s="224"/>
      <c r="H63" s="270"/>
      <c r="I63" s="271">
        <f>IF($I$37/$I$16&lt;tabellen!E58,0,(+$I$37-tabellen!E58*$I$16)/12*tabellen!$D58)</f>
        <v>2.3607291666666668</v>
      </c>
      <c r="J63" s="271">
        <f>IF($I$37/$I$16&lt;tabellen!E58,0,(+$I$37-tabellen!E58*$I$16)*tabellen!$D58)</f>
        <v>28.328749999999999</v>
      </c>
      <c r="K63" s="226"/>
      <c r="L63" s="227"/>
      <c r="M63" s="272"/>
      <c r="N63" s="228"/>
      <c r="O63" s="40"/>
    </row>
    <row r="64" spans="2:16" ht="13.5" customHeight="1" x14ac:dyDescent="0.25">
      <c r="B64" s="20"/>
      <c r="C64" s="221"/>
      <c r="D64" s="269" t="s">
        <v>53</v>
      </c>
      <c r="E64" s="223" t="s">
        <v>43</v>
      </c>
      <c r="F64" s="222" t="s">
        <v>273</v>
      </c>
      <c r="G64" s="224"/>
      <c r="H64" s="270"/>
      <c r="I64" s="271">
        <f>$I$37/12*tabellen!$D59</f>
        <v>0</v>
      </c>
      <c r="J64" s="271">
        <f>$I$37*tabellen!$D59</f>
        <v>0</v>
      </c>
      <c r="K64" s="226"/>
      <c r="L64" s="227"/>
      <c r="M64" s="223"/>
      <c r="N64" s="228"/>
      <c r="O64" s="40"/>
    </row>
    <row r="65" spans="2:15" ht="13.5" customHeight="1" x14ac:dyDescent="0.25">
      <c r="B65" s="20"/>
      <c r="C65" s="273"/>
      <c r="D65" s="274" t="s">
        <v>54</v>
      </c>
      <c r="E65" s="275" t="s">
        <v>47</v>
      </c>
      <c r="F65" s="276"/>
      <c r="G65" s="277"/>
      <c r="H65" s="278"/>
      <c r="I65" s="279">
        <f>SUM(I62:I64)</f>
        <v>161.82921666666664</v>
      </c>
      <c r="J65" s="279">
        <f>SUM(J62:J64)</f>
        <v>1941.9505999999997</v>
      </c>
      <c r="K65" s="280"/>
      <c r="L65" s="281"/>
      <c r="M65" s="275"/>
      <c r="N65" s="282"/>
      <c r="O65" s="40"/>
    </row>
    <row r="66" spans="2:15" ht="13.5" customHeight="1" x14ac:dyDescent="0.25">
      <c r="B66" s="20"/>
      <c r="C66" s="273"/>
      <c r="D66" s="274"/>
      <c r="E66" s="275"/>
      <c r="F66" s="276"/>
      <c r="G66" s="277"/>
      <c r="H66" s="278"/>
      <c r="I66" s="283"/>
      <c r="J66" s="283"/>
      <c r="K66" s="280"/>
      <c r="L66" s="281"/>
      <c r="M66" s="275"/>
      <c r="N66" s="282"/>
      <c r="O66" s="40"/>
    </row>
    <row r="67" spans="2:15" ht="13.5" customHeight="1" x14ac:dyDescent="0.25">
      <c r="B67" s="20"/>
      <c r="C67" s="187"/>
      <c r="D67" s="267" t="s">
        <v>57</v>
      </c>
      <c r="E67" s="195" t="s">
        <v>100</v>
      </c>
      <c r="F67" s="210"/>
      <c r="G67" s="211"/>
      <c r="H67" s="211"/>
      <c r="I67" s="212">
        <f>+(I33+I38)/12-I65</f>
        <v>3437.8994499999999</v>
      </c>
      <c r="J67" s="212">
        <f>+I33+I38-J65</f>
        <v>41254.793400000002</v>
      </c>
      <c r="K67" s="195"/>
      <c r="L67" s="214"/>
      <c r="M67" s="195"/>
      <c r="N67" s="215"/>
      <c r="O67" s="40"/>
    </row>
    <row r="68" spans="2:15" ht="13.5" customHeight="1" x14ac:dyDescent="0.25">
      <c r="B68" s="20"/>
      <c r="C68" s="187"/>
      <c r="D68" s="267"/>
      <c r="E68" s="195"/>
      <c r="F68" s="210"/>
      <c r="G68" s="211"/>
      <c r="H68" s="211"/>
      <c r="I68" s="251"/>
      <c r="J68" s="251"/>
      <c r="K68" s="195"/>
      <c r="L68" s="214"/>
      <c r="M68" s="195"/>
      <c r="N68" s="215"/>
      <c r="O68" s="40"/>
    </row>
    <row r="69" spans="2:15" ht="13.5" customHeight="1" x14ac:dyDescent="0.25">
      <c r="B69" s="20"/>
      <c r="C69" s="179"/>
      <c r="D69" s="284" t="s">
        <v>58</v>
      </c>
      <c r="E69" s="184" t="s">
        <v>278</v>
      </c>
      <c r="F69" s="182"/>
      <c r="G69" s="183"/>
      <c r="H69" s="183"/>
      <c r="I69" s="201">
        <f>+I80</f>
        <v>1353.0669356666667</v>
      </c>
      <c r="J69" s="201">
        <f>+J80</f>
        <v>16236.803227999999</v>
      </c>
      <c r="K69" s="184"/>
      <c r="L69" s="193"/>
      <c r="M69" s="184"/>
      <c r="N69" s="186"/>
      <c r="O69" s="40"/>
    </row>
    <row r="70" spans="2:15" ht="13.5" customHeight="1" x14ac:dyDescent="0.25">
      <c r="B70" s="20"/>
      <c r="C70" s="179"/>
      <c r="D70" s="284"/>
      <c r="E70" s="184"/>
      <c r="F70" s="182"/>
      <c r="G70" s="183"/>
      <c r="H70" s="183"/>
      <c r="I70" s="216"/>
      <c r="J70" s="216"/>
      <c r="K70" s="184"/>
      <c r="L70" s="193"/>
      <c r="M70" s="184"/>
      <c r="N70" s="186"/>
      <c r="O70" s="40"/>
    </row>
    <row r="71" spans="2:15" ht="13.5" customHeight="1" x14ac:dyDescent="0.25">
      <c r="B71" s="20"/>
      <c r="C71" s="187"/>
      <c r="D71" s="267" t="s">
        <v>99</v>
      </c>
      <c r="E71" s="195" t="s">
        <v>101</v>
      </c>
      <c r="F71" s="210"/>
      <c r="G71" s="211"/>
      <c r="H71" s="211"/>
      <c r="I71" s="212">
        <f>+I67-I69</f>
        <v>2084.8325143333332</v>
      </c>
      <c r="J71" s="212">
        <f>+J67-J69</f>
        <v>25017.990172000005</v>
      </c>
      <c r="K71" s="195"/>
      <c r="L71" s="214"/>
      <c r="M71" s="195"/>
      <c r="N71" s="215"/>
      <c r="O71" s="40"/>
    </row>
    <row r="72" spans="2:15" ht="13.5" customHeight="1" x14ac:dyDescent="0.25">
      <c r="B72" s="20"/>
      <c r="C72" s="285"/>
      <c r="D72" s="286"/>
      <c r="E72" s="230"/>
      <c r="F72" s="232"/>
      <c r="G72" s="233"/>
      <c r="H72" s="233"/>
      <c r="I72" s="262"/>
      <c r="J72" s="262"/>
      <c r="K72" s="230"/>
      <c r="L72" s="230"/>
      <c r="M72" s="230"/>
      <c r="N72" s="263"/>
      <c r="O72" s="40"/>
    </row>
    <row r="73" spans="2:15" ht="13.5" customHeight="1" x14ac:dyDescent="0.25">
      <c r="B73" s="20"/>
      <c r="C73" s="287"/>
      <c r="D73" s="180" t="s">
        <v>279</v>
      </c>
      <c r="E73" s="184"/>
      <c r="F73" s="182"/>
      <c r="G73" s="183"/>
      <c r="H73" s="183"/>
      <c r="I73" s="265" t="s">
        <v>66</v>
      </c>
      <c r="J73" s="241" t="s">
        <v>67</v>
      </c>
      <c r="K73" s="184"/>
      <c r="L73" s="184"/>
      <c r="M73" s="184"/>
      <c r="N73" s="186"/>
      <c r="O73" s="40"/>
    </row>
    <row r="74" spans="2:15" ht="13.5" customHeight="1" x14ac:dyDescent="0.25">
      <c r="B74" s="20"/>
      <c r="C74" s="179"/>
      <c r="D74" s="195" t="s">
        <v>57</v>
      </c>
      <c r="E74" s="195" t="s">
        <v>277</v>
      </c>
      <c r="F74" s="182"/>
      <c r="G74" s="183"/>
      <c r="H74" s="183"/>
      <c r="I74" s="212">
        <f>+I67</f>
        <v>3437.8994499999999</v>
      </c>
      <c r="J74" s="212">
        <f>+J67</f>
        <v>41254.793400000002</v>
      </c>
      <c r="K74" s="198"/>
      <c r="L74" s="184"/>
      <c r="M74" s="184"/>
      <c r="N74" s="186"/>
      <c r="O74" s="40"/>
    </row>
    <row r="75" spans="2:15" s="9" customFormat="1" ht="13.5" customHeight="1" x14ac:dyDescent="0.25">
      <c r="B75" s="45"/>
      <c r="C75" s="288"/>
      <c r="D75" s="195"/>
      <c r="E75" s="180"/>
      <c r="F75" s="289"/>
      <c r="G75" s="290"/>
      <c r="H75" s="290"/>
      <c r="I75" s="291"/>
      <c r="J75" s="291"/>
      <c r="K75" s="292"/>
      <c r="L75" s="180"/>
      <c r="M75" s="292"/>
      <c r="N75" s="293"/>
      <c r="O75" s="46"/>
    </row>
    <row r="76" spans="2:15" ht="13.5" customHeight="1" x14ac:dyDescent="0.25">
      <c r="B76" s="20"/>
      <c r="C76" s="179"/>
      <c r="D76" s="184" t="s">
        <v>113</v>
      </c>
      <c r="E76" s="184"/>
      <c r="F76" s="403">
        <f>IF(J67&gt;tabellen!B109,tabellen!B109,J67)</f>
        <v>19822</v>
      </c>
      <c r="G76" s="449">
        <f>+tabellen!C109</f>
        <v>0.36499999999999999</v>
      </c>
      <c r="H76" s="208"/>
      <c r="I76" s="201">
        <f>+F76*G76/12</f>
        <v>602.91916666666668</v>
      </c>
      <c r="J76" s="201">
        <f>+F76*G76</f>
        <v>7235.03</v>
      </c>
      <c r="K76" s="184"/>
      <c r="L76" s="184"/>
      <c r="M76" s="184"/>
      <c r="N76" s="186"/>
      <c r="O76" s="43"/>
    </row>
    <row r="77" spans="2:15" ht="13.5" customHeight="1" x14ac:dyDescent="0.25">
      <c r="B77" s="20"/>
      <c r="C77" s="179"/>
      <c r="D77" s="184" t="s">
        <v>114</v>
      </c>
      <c r="E77" s="184"/>
      <c r="F77" s="403">
        <f>IF((IF(J67&gt;tabellen!B110,tabellen!B110,J67)-tabellen!B109)&lt;0,0,IF(J67&gt;tabellen!B110,tabellen!B110,J67)-tabellen!B109)</f>
        <v>13767</v>
      </c>
      <c r="G77" s="449">
        <f>+tabellen!C110</f>
        <v>0.42</v>
      </c>
      <c r="H77" s="208"/>
      <c r="I77" s="201">
        <f>+F77*G77/12</f>
        <v>481.84499999999997</v>
      </c>
      <c r="J77" s="201">
        <f>+F77*G77</f>
        <v>5782.1399999999994</v>
      </c>
      <c r="K77" s="184"/>
      <c r="L77" s="184"/>
      <c r="M77" s="184"/>
      <c r="N77" s="186"/>
      <c r="O77" s="24"/>
    </row>
    <row r="78" spans="2:15" ht="13.5" customHeight="1" x14ac:dyDescent="0.25">
      <c r="B78" s="20"/>
      <c r="C78" s="179"/>
      <c r="D78" s="184" t="s">
        <v>115</v>
      </c>
      <c r="E78" s="184"/>
      <c r="F78" s="403">
        <f>IF((IF(J67&gt;tabellen!B111,tabellen!B111,J67)-tabellen!B110)&lt;0,0,IF(J67&gt;tabellen!B111,tabellen!B111,J67)-tabellen!B110)</f>
        <v>7665.7934000000023</v>
      </c>
      <c r="G78" s="449">
        <f>+tabellen!C111</f>
        <v>0.42</v>
      </c>
      <c r="H78" s="206"/>
      <c r="I78" s="201">
        <f>+F78*G78/12</f>
        <v>268.30276900000007</v>
      </c>
      <c r="J78" s="201">
        <f>+F78*G78</f>
        <v>3219.6332280000011</v>
      </c>
      <c r="K78" s="184"/>
      <c r="L78" s="184"/>
      <c r="M78" s="216"/>
      <c r="N78" s="186"/>
      <c r="O78" s="24"/>
    </row>
    <row r="79" spans="2:15" ht="13.5" customHeight="1" x14ac:dyDescent="0.25">
      <c r="B79" s="20"/>
      <c r="C79" s="179"/>
      <c r="D79" s="184" t="s">
        <v>116</v>
      </c>
      <c r="E79" s="184"/>
      <c r="F79" s="403">
        <f>IF((IF(J67&gt;tabellen!B112,tabellen!B112,J67)-tabellen!B111)&lt;0,0,IF(J67&gt;tabellen!B112,tabellen!B112,J67)-tabellen!B111)</f>
        <v>0</v>
      </c>
      <c r="G79" s="449">
        <f>+tabellen!C112</f>
        <v>0.52</v>
      </c>
      <c r="H79" s="206"/>
      <c r="I79" s="201">
        <f>+F79*G79/12</f>
        <v>0</v>
      </c>
      <c r="J79" s="201">
        <f>+F79*G79</f>
        <v>0</v>
      </c>
      <c r="K79" s="184"/>
      <c r="L79" s="184"/>
      <c r="M79" s="184"/>
      <c r="N79" s="186"/>
      <c r="O79" s="24"/>
    </row>
    <row r="80" spans="2:15" s="2" customFormat="1" ht="13.5" customHeight="1" x14ac:dyDescent="0.25">
      <c r="B80" s="29"/>
      <c r="C80" s="187"/>
      <c r="D80" s="210"/>
      <c r="E80" s="195"/>
      <c r="F80" s="294">
        <f>SUM(F76:F79)</f>
        <v>41254.793400000002</v>
      </c>
      <c r="G80" s="295"/>
      <c r="H80" s="211"/>
      <c r="I80" s="212">
        <f>SUM(I76:I79)</f>
        <v>1353.0669356666667</v>
      </c>
      <c r="J80" s="212">
        <f>SUM(J76:J79)</f>
        <v>16236.803227999999</v>
      </c>
      <c r="K80" s="213"/>
      <c r="L80" s="195"/>
      <c r="M80" s="195"/>
      <c r="N80" s="215"/>
      <c r="O80" s="33"/>
    </row>
    <row r="81" spans="2:17" ht="13.5" customHeight="1" x14ac:dyDescent="0.25">
      <c r="B81" s="20"/>
      <c r="C81" s="27"/>
      <c r="D81" s="27"/>
      <c r="E81" s="27"/>
      <c r="F81" s="440"/>
      <c r="G81" s="28"/>
      <c r="H81" s="28"/>
      <c r="I81" s="441"/>
      <c r="J81" s="441"/>
      <c r="K81" s="27"/>
      <c r="L81" s="442"/>
      <c r="M81" s="27"/>
      <c r="N81" s="27"/>
      <c r="O81" s="24"/>
    </row>
    <row r="82" spans="2:17" ht="13.5" customHeight="1" x14ac:dyDescent="0.25">
      <c r="B82" s="20"/>
      <c r="C82" s="21"/>
      <c r="D82" s="21"/>
      <c r="E82" s="21"/>
      <c r="F82" s="22"/>
      <c r="G82" s="23"/>
      <c r="H82" s="23"/>
      <c r="I82" s="47"/>
      <c r="J82" s="47"/>
      <c r="K82" s="47"/>
      <c r="L82" s="47"/>
      <c r="M82" s="21"/>
      <c r="N82" s="21"/>
      <c r="O82" s="24"/>
    </row>
    <row r="83" spans="2:17" ht="13.5" customHeight="1" x14ac:dyDescent="0.25">
      <c r="B83" s="20"/>
      <c r="C83" s="21"/>
      <c r="D83" s="21"/>
      <c r="E83" s="21"/>
      <c r="F83" s="22"/>
      <c r="G83" s="23"/>
      <c r="H83" s="23"/>
      <c r="I83" s="47"/>
      <c r="J83" s="47"/>
      <c r="K83" s="47"/>
      <c r="L83" s="47"/>
      <c r="M83" s="21"/>
      <c r="N83" s="21"/>
      <c r="O83" s="24"/>
    </row>
    <row r="84" spans="2:17" ht="13.5" customHeight="1" x14ac:dyDescent="0.25">
      <c r="B84" s="11"/>
      <c r="C84" s="12"/>
      <c r="D84" s="13"/>
      <c r="E84" s="12"/>
      <c r="F84" s="14"/>
      <c r="G84" s="12"/>
      <c r="H84" s="12"/>
      <c r="I84" s="12"/>
      <c r="J84" s="12"/>
      <c r="K84" s="12"/>
      <c r="L84" s="12"/>
      <c r="M84" s="12"/>
      <c r="N84" s="477" t="s">
        <v>320</v>
      </c>
      <c r="O84" s="48"/>
    </row>
    <row r="88" spans="2:17" ht="13.5" customHeight="1" x14ac:dyDescent="0.25">
      <c r="Q88" s="160" t="s">
        <v>93</v>
      </c>
    </row>
    <row r="89" spans="2:17" ht="13.5" customHeight="1" x14ac:dyDescent="0.25">
      <c r="Q89" s="160" t="s">
        <v>86</v>
      </c>
    </row>
    <row r="90" spans="2:17" ht="13.5" customHeight="1" x14ac:dyDescent="0.25">
      <c r="Q90" s="160" t="s">
        <v>87</v>
      </c>
    </row>
    <row r="91" spans="2:17" ht="13.5" customHeight="1" x14ac:dyDescent="0.25">
      <c r="Q91" s="160" t="s">
        <v>88</v>
      </c>
    </row>
    <row r="92" spans="2:17" ht="13.5" customHeight="1" x14ac:dyDescent="0.25">
      <c r="Q92" s="160" t="s">
        <v>89</v>
      </c>
    </row>
    <row r="93" spans="2:17" ht="13.5" customHeight="1" x14ac:dyDescent="0.25">
      <c r="Q93" s="160" t="s">
        <v>90</v>
      </c>
    </row>
    <row r="94" spans="2:17" ht="13.5" customHeight="1" x14ac:dyDescent="0.25">
      <c r="Q94" s="160" t="s">
        <v>91</v>
      </c>
    </row>
    <row r="95" spans="2:17" ht="13.5" customHeight="1" x14ac:dyDescent="0.25">
      <c r="Q95" s="160" t="s">
        <v>92</v>
      </c>
    </row>
    <row r="96" spans="2:17" ht="13.5" customHeight="1" x14ac:dyDescent="0.25">
      <c r="Q96" s="161" t="s">
        <v>3</v>
      </c>
    </row>
    <row r="97" spans="17:17" ht="13.5" customHeight="1" x14ac:dyDescent="0.25">
      <c r="Q97" s="161" t="s">
        <v>4</v>
      </c>
    </row>
    <row r="98" spans="17:17" ht="13.5" customHeight="1" x14ac:dyDescent="0.25">
      <c r="Q98" s="161" t="s">
        <v>5</v>
      </c>
    </row>
    <row r="99" spans="17:17" ht="13.5" customHeight="1" x14ac:dyDescent="0.25">
      <c r="Q99" s="161" t="s">
        <v>6</v>
      </c>
    </row>
    <row r="100" spans="17:17" ht="13.5" customHeight="1" x14ac:dyDescent="0.25">
      <c r="Q100" s="161" t="s">
        <v>7</v>
      </c>
    </row>
    <row r="101" spans="17:17" ht="13.5" customHeight="1" x14ac:dyDescent="0.25">
      <c r="Q101" s="161" t="s">
        <v>8</v>
      </c>
    </row>
    <row r="102" spans="17:17" ht="13.5" customHeight="1" x14ac:dyDescent="0.25">
      <c r="Q102" s="161" t="s">
        <v>9</v>
      </c>
    </row>
    <row r="103" spans="17:17" ht="13.5" customHeight="1" x14ac:dyDescent="0.25">
      <c r="Q103" s="161" t="s">
        <v>10</v>
      </c>
    </row>
    <row r="104" spans="17:17" ht="13.5" customHeight="1" x14ac:dyDescent="0.25">
      <c r="Q104" s="161" t="s">
        <v>11</v>
      </c>
    </row>
    <row r="105" spans="17:17" ht="13.5" customHeight="1" x14ac:dyDescent="0.25">
      <c r="Q105" s="161" t="s">
        <v>12</v>
      </c>
    </row>
    <row r="106" spans="17:17" ht="13.5" customHeight="1" x14ac:dyDescent="0.25">
      <c r="Q106" s="161" t="s">
        <v>13</v>
      </c>
    </row>
    <row r="107" spans="17:17" ht="13.5" customHeight="1" x14ac:dyDescent="0.25">
      <c r="Q107" s="161" t="s">
        <v>14</v>
      </c>
    </row>
    <row r="108" spans="17:17" ht="13.5" customHeight="1" x14ac:dyDescent="0.25">
      <c r="Q108" s="161" t="s">
        <v>0</v>
      </c>
    </row>
    <row r="109" spans="17:17" ht="13.5" customHeight="1" x14ac:dyDescent="0.25">
      <c r="Q109" s="161" t="s">
        <v>15</v>
      </c>
    </row>
    <row r="110" spans="17:17" ht="13.5" customHeight="1" x14ac:dyDescent="0.25">
      <c r="Q110" s="161" t="s">
        <v>16</v>
      </c>
    </row>
    <row r="111" spans="17:17" ht="13.5" customHeight="1" x14ac:dyDescent="0.25">
      <c r="Q111" s="161" t="s">
        <v>17</v>
      </c>
    </row>
    <row r="112" spans="17:17" ht="13.5" customHeight="1" x14ac:dyDescent="0.25">
      <c r="Q112" s="161" t="s">
        <v>18</v>
      </c>
    </row>
    <row r="113" spans="17:17" ht="13.5" customHeight="1" x14ac:dyDescent="0.25">
      <c r="Q113" s="160">
        <v>1</v>
      </c>
    </row>
    <row r="114" spans="17:17" ht="13.5" customHeight="1" x14ac:dyDescent="0.25">
      <c r="Q114" s="160">
        <v>2</v>
      </c>
    </row>
    <row r="115" spans="17:17" ht="13.5" customHeight="1" x14ac:dyDescent="0.25">
      <c r="Q115" s="160">
        <v>3</v>
      </c>
    </row>
    <row r="116" spans="17:17" ht="13.5" customHeight="1" x14ac:dyDescent="0.25">
      <c r="Q116" s="160">
        <v>4</v>
      </c>
    </row>
    <row r="117" spans="17:17" ht="13.5" customHeight="1" x14ac:dyDescent="0.25">
      <c r="Q117" s="160">
        <v>5</v>
      </c>
    </row>
    <row r="118" spans="17:17" ht="13.5" customHeight="1" x14ac:dyDescent="0.25">
      <c r="Q118" s="160">
        <v>6</v>
      </c>
    </row>
    <row r="119" spans="17:17" ht="13.5" customHeight="1" x14ac:dyDescent="0.25">
      <c r="Q119" s="160">
        <v>7</v>
      </c>
    </row>
    <row r="120" spans="17:17" ht="13.5" customHeight="1" x14ac:dyDescent="0.25">
      <c r="Q120" s="160">
        <v>8</v>
      </c>
    </row>
    <row r="121" spans="17:17" ht="13.5" customHeight="1" x14ac:dyDescent="0.25">
      <c r="Q121" s="160">
        <v>9</v>
      </c>
    </row>
    <row r="122" spans="17:17" ht="13.5" customHeight="1" x14ac:dyDescent="0.25">
      <c r="Q122" s="160">
        <v>10</v>
      </c>
    </row>
    <row r="123" spans="17:17" ht="13.5" customHeight="1" x14ac:dyDescent="0.25">
      <c r="Q123" s="160">
        <v>11</v>
      </c>
    </row>
    <row r="124" spans="17:17" ht="13.5" customHeight="1" x14ac:dyDescent="0.25">
      <c r="Q124" s="160">
        <v>12</v>
      </c>
    </row>
    <row r="125" spans="17:17" ht="13.5" customHeight="1" x14ac:dyDescent="0.25">
      <c r="Q125" s="160">
        <v>13</v>
      </c>
    </row>
    <row r="126" spans="17:17" ht="13.5" customHeight="1" x14ac:dyDescent="0.25">
      <c r="Q126" s="160">
        <v>14</v>
      </c>
    </row>
    <row r="127" spans="17:17" ht="13.5" customHeight="1" x14ac:dyDescent="0.25">
      <c r="Q127" s="160">
        <v>15</v>
      </c>
    </row>
    <row r="128" spans="17:17" ht="13.5" customHeight="1" x14ac:dyDescent="0.25">
      <c r="Q128" s="160">
        <v>16</v>
      </c>
    </row>
    <row r="129" spans="17:17" ht="13.5" customHeight="1" x14ac:dyDescent="0.25">
      <c r="Q129" s="160" t="s">
        <v>19</v>
      </c>
    </row>
    <row r="130" spans="17:17" ht="13.5" customHeight="1" x14ac:dyDescent="0.25">
      <c r="Q130" s="160" t="s">
        <v>20</v>
      </c>
    </row>
    <row r="131" spans="17:17" ht="13.5" customHeight="1" x14ac:dyDescent="0.25">
      <c r="Q131" s="160" t="s">
        <v>94</v>
      </c>
    </row>
    <row r="132" spans="17:17" ht="13.5" customHeight="1" x14ac:dyDescent="0.25">
      <c r="Q132" s="160" t="s">
        <v>95</v>
      </c>
    </row>
    <row r="133" spans="17:17" ht="13.5" customHeight="1" x14ac:dyDescent="0.25">
      <c r="Q133" s="160" t="s">
        <v>96</v>
      </c>
    </row>
  </sheetData>
  <sheetProtection algorithmName="SHA-512" hashValue="nAlL1zg2FLYVFodfg03FRMaN2h/sgdQknLyxxgm3xTk5vIWAmoQNGGpS54PX7A8GqdGjs0LxBqv/peTEq6obwQ==" saltValue="iIV2X8t8tx8e3Uc7a86FBw==" spinCount="100000" sheet="1" objects="1" scenarios="1"/>
  <mergeCells count="1">
    <mergeCell ref="I56:J56"/>
  </mergeCells>
  <phoneticPr fontId="0" type="noConversion"/>
  <dataValidations count="7">
    <dataValidation type="list" allowBlank="1" showInputMessage="1" showErrorMessage="1" sqref="H49">
      <formula1>"1,2,3"</formula1>
    </dataValidation>
    <dataValidation type="list" allowBlank="1" showInputMessage="1" showErrorMessage="1" sqref="G20:G21 G30">
      <formula1>"j,n"</formula1>
    </dataValidation>
    <dataValidation type="list" allowBlank="1" showInputMessage="1" showErrorMessage="1" sqref="F20">
      <formula1>"LA,LB,LC,LD"</formula1>
    </dataValidation>
    <dataValidation type="list" allowBlank="1" showInputMessage="1" showErrorMessage="1" sqref="H20:H21">
      <formula1>#REF!</formula1>
    </dataValidation>
    <dataValidation type="list" allowBlank="1" showInputMessage="1" showErrorMessage="1" sqref="G49">
      <formula1>"1,2,3,4"</formula1>
    </dataValidation>
    <dataValidation type="list" allowBlank="1" showInputMessage="1" showErrorMessage="1" sqref="F30">
      <formula1>"leraar,directie,OOP S9"</formula1>
    </dataValidation>
    <dataValidation type="list" allowBlank="1" showInputMessage="1" showErrorMessage="1" sqref="I13">
      <formula1>$Q$88:$Q$133</formula1>
    </dataValidation>
  </dataValidations>
  <hyperlinks>
    <hyperlink ref="N84"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7109375" style="166" customWidth="1"/>
    <col min="12" max="12" width="2.28515625" style="3" customWidth="1"/>
    <col min="13" max="16384" width="9.140625" style="3"/>
  </cols>
  <sheetData>
    <row r="2" spans="2:13" ht="13.5" customHeight="1" x14ac:dyDescent="0.25">
      <c r="B2" s="80"/>
      <c r="C2" s="81"/>
      <c r="D2" s="81"/>
      <c r="E2" s="81"/>
      <c r="F2" s="81"/>
      <c r="G2" s="81"/>
      <c r="H2" s="81"/>
      <c r="I2" s="81"/>
      <c r="J2" s="81"/>
      <c r="K2" s="162"/>
      <c r="L2" s="82"/>
    </row>
    <row r="3" spans="2:13" ht="13.5" customHeight="1" x14ac:dyDescent="0.25">
      <c r="B3" s="83"/>
      <c r="C3" s="25"/>
      <c r="D3" s="25"/>
      <c r="E3" s="25"/>
      <c r="F3" s="25"/>
      <c r="G3" s="25"/>
      <c r="H3" s="25"/>
      <c r="I3" s="25"/>
      <c r="J3" s="25"/>
      <c r="K3" s="163"/>
      <c r="L3" s="36"/>
    </row>
    <row r="4" spans="2:13" s="112" customFormat="1" ht="18" customHeight="1" x14ac:dyDescent="0.3">
      <c r="B4" s="109"/>
      <c r="C4" s="110" t="s">
        <v>259</v>
      </c>
      <c r="D4" s="110"/>
      <c r="E4" s="110"/>
      <c r="F4" s="110"/>
      <c r="G4" s="416" t="str">
        <f>tabellen!B3</f>
        <v>2015/2016</v>
      </c>
      <c r="H4" s="405"/>
      <c r="I4" s="110"/>
      <c r="J4" s="110"/>
      <c r="K4" s="164"/>
      <c r="L4" s="111"/>
    </row>
    <row r="5" spans="2:13" ht="13.5" customHeight="1" x14ac:dyDescent="0.25">
      <c r="B5" s="83"/>
      <c r="C5" s="25"/>
      <c r="D5" s="25"/>
      <c r="E5" s="25"/>
      <c r="F5" s="25"/>
      <c r="G5" s="25"/>
      <c r="H5" s="25"/>
      <c r="I5" s="25"/>
      <c r="J5" s="25"/>
      <c r="K5" s="163"/>
      <c r="L5" s="36"/>
    </row>
    <row r="6" spans="2:13" ht="13.5" customHeight="1" x14ac:dyDescent="0.25">
      <c r="B6" s="83"/>
      <c r="C6" s="25"/>
      <c r="D6" s="25"/>
      <c r="E6" s="25"/>
      <c r="F6" s="25"/>
      <c r="G6" s="25"/>
      <c r="H6" s="25"/>
      <c r="I6" s="25"/>
      <c r="J6" s="25"/>
      <c r="K6" s="163"/>
      <c r="L6" s="36"/>
    </row>
    <row r="7" spans="2:13" ht="13.5" customHeight="1" x14ac:dyDescent="0.25">
      <c r="B7" s="83"/>
      <c r="C7" s="296"/>
      <c r="D7" s="177"/>
      <c r="E7" s="177"/>
      <c r="F7" s="177"/>
      <c r="G7" s="177"/>
      <c r="H7" s="177"/>
      <c r="I7" s="177"/>
      <c r="J7" s="177"/>
      <c r="K7" s="297"/>
      <c r="L7" s="36"/>
    </row>
    <row r="8" spans="2:13" ht="13.5" customHeight="1" x14ac:dyDescent="0.25">
      <c r="B8" s="83"/>
      <c r="C8" s="298"/>
      <c r="D8" s="299" t="s">
        <v>265</v>
      </c>
      <c r="E8" s="185"/>
      <c r="F8" s="185"/>
      <c r="G8" s="185"/>
      <c r="H8" s="185"/>
      <c r="I8" s="185"/>
      <c r="J8" s="185"/>
      <c r="K8" s="300"/>
      <c r="L8" s="36"/>
    </row>
    <row r="9" spans="2:13" ht="13.5" customHeight="1" x14ac:dyDescent="0.25">
      <c r="B9" s="83"/>
      <c r="C9" s="298"/>
      <c r="D9" s="185"/>
      <c r="E9" s="185"/>
      <c r="F9" s="185"/>
      <c r="G9" s="185"/>
      <c r="H9" s="185"/>
      <c r="I9" s="185"/>
      <c r="J9" s="185"/>
      <c r="K9" s="300"/>
      <c r="L9" s="36"/>
    </row>
    <row r="10" spans="2:13" ht="13.5" customHeight="1" x14ac:dyDescent="0.25">
      <c r="B10" s="83"/>
      <c r="C10" s="298"/>
      <c r="D10" s="185" t="s">
        <v>127</v>
      </c>
      <c r="E10" s="185"/>
      <c r="F10" s="185"/>
      <c r="G10" s="185"/>
      <c r="H10" s="204" t="s">
        <v>128</v>
      </c>
      <c r="I10" s="301"/>
      <c r="J10" s="302"/>
      <c r="K10" s="300"/>
      <c r="L10" s="36"/>
    </row>
    <row r="11" spans="2:13" ht="13.5" customHeight="1" x14ac:dyDescent="0.25">
      <c r="B11" s="83"/>
      <c r="C11" s="298"/>
      <c r="D11" s="185"/>
      <c r="E11" s="185"/>
      <c r="F11" s="185"/>
      <c r="G11" s="303"/>
      <c r="H11" s="303"/>
      <c r="I11" s="302"/>
      <c r="J11" s="302"/>
      <c r="K11" s="300"/>
      <c r="L11" s="36"/>
    </row>
    <row r="12" spans="2:13" s="76" customFormat="1" ht="13.5" customHeight="1" x14ac:dyDescent="0.25">
      <c r="B12" s="85"/>
      <c r="C12" s="304"/>
      <c r="D12" s="305" t="s">
        <v>23</v>
      </c>
      <c r="E12" s="305"/>
      <c r="F12" s="305"/>
      <c r="G12" s="305"/>
      <c r="H12" s="305"/>
      <c r="I12" s="305"/>
      <c r="J12" s="305"/>
      <c r="K12" s="306"/>
      <c r="L12" s="39"/>
    </row>
    <row r="13" spans="2:13" ht="13.5" customHeight="1" x14ac:dyDescent="0.25">
      <c r="B13" s="83"/>
      <c r="C13" s="298"/>
      <c r="D13" s="184" t="s">
        <v>21</v>
      </c>
      <c r="E13" s="185"/>
      <c r="F13" s="185"/>
      <c r="G13" s="205"/>
      <c r="H13" s="191" t="s">
        <v>0</v>
      </c>
      <c r="I13" s="307"/>
      <c r="J13" s="185"/>
      <c r="K13" s="300"/>
      <c r="L13" s="36"/>
    </row>
    <row r="14" spans="2:13" ht="13.5" customHeight="1" x14ac:dyDescent="0.25">
      <c r="B14" s="83"/>
      <c r="C14" s="298"/>
      <c r="D14" s="185" t="s">
        <v>22</v>
      </c>
      <c r="E14" s="185"/>
      <c r="F14" s="185"/>
      <c r="G14" s="205"/>
      <c r="H14" s="191">
        <v>8</v>
      </c>
      <c r="I14" s="185"/>
      <c r="J14" s="185"/>
      <c r="K14" s="300"/>
      <c r="L14" s="36"/>
      <c r="M14" s="42"/>
    </row>
    <row r="15" spans="2:13" ht="13.5" customHeight="1" x14ac:dyDescent="0.25">
      <c r="B15" s="83"/>
      <c r="C15" s="298"/>
      <c r="D15" s="185" t="s">
        <v>24</v>
      </c>
      <c r="E15" s="185"/>
      <c r="F15" s="185"/>
      <c r="G15" s="308"/>
      <c r="H15" s="309">
        <f>VLOOKUP(H13,salaristabellen,H14+1,FALSE)</f>
        <v>2709</v>
      </c>
      <c r="I15" s="185"/>
      <c r="J15" s="185"/>
      <c r="K15" s="300"/>
      <c r="L15" s="36"/>
      <c r="M15" s="42"/>
    </row>
    <row r="16" spans="2:13" ht="13.5" customHeight="1" x14ac:dyDescent="0.25">
      <c r="B16" s="83"/>
      <c r="C16" s="298"/>
      <c r="D16" s="185" t="s">
        <v>25</v>
      </c>
      <c r="E16" s="185"/>
      <c r="F16" s="185"/>
      <c r="G16" s="203"/>
      <c r="H16" s="202">
        <v>1</v>
      </c>
      <c r="I16" s="185"/>
      <c r="J16" s="185"/>
      <c r="K16" s="300"/>
      <c r="L16" s="36"/>
      <c r="M16" s="42"/>
    </row>
    <row r="17" spans="2:13" ht="13.5" customHeight="1" x14ac:dyDescent="0.25">
      <c r="B17" s="83"/>
      <c r="C17" s="298"/>
      <c r="D17" s="185" t="s">
        <v>26</v>
      </c>
      <c r="E17" s="185"/>
      <c r="F17" s="185"/>
      <c r="G17" s="310"/>
      <c r="H17" s="311">
        <f>+H15*H16</f>
        <v>2709</v>
      </c>
      <c r="I17" s="185"/>
      <c r="J17" s="185"/>
      <c r="K17" s="300"/>
      <c r="L17" s="36"/>
      <c r="M17" s="42"/>
    </row>
    <row r="18" spans="2:13" ht="13.5" customHeight="1" x14ac:dyDescent="0.25">
      <c r="B18" s="83"/>
      <c r="C18" s="312"/>
      <c r="D18" s="313"/>
      <c r="E18" s="313"/>
      <c r="F18" s="313"/>
      <c r="G18" s="314"/>
      <c r="H18" s="314"/>
      <c r="I18" s="313"/>
      <c r="J18" s="313"/>
      <c r="K18" s="315"/>
      <c r="L18" s="36"/>
      <c r="M18" s="42"/>
    </row>
    <row r="19" spans="2:13" ht="13.5" customHeight="1" x14ac:dyDescent="0.25">
      <c r="B19" s="83"/>
      <c r="C19" s="25"/>
      <c r="D19" s="25"/>
      <c r="E19" s="25"/>
      <c r="F19" s="25"/>
      <c r="G19" s="25"/>
      <c r="H19" s="25"/>
      <c r="I19" s="25"/>
      <c r="J19" s="25"/>
      <c r="K19" s="163"/>
      <c r="L19" s="36"/>
      <c r="M19" s="42"/>
    </row>
    <row r="20" spans="2:13" ht="13.5" customHeight="1" x14ac:dyDescent="0.25">
      <c r="B20" s="83"/>
      <c r="C20" s="296"/>
      <c r="D20" s="177"/>
      <c r="E20" s="177"/>
      <c r="F20" s="177"/>
      <c r="G20" s="177"/>
      <c r="H20" s="177"/>
      <c r="I20" s="177"/>
      <c r="J20" s="177"/>
      <c r="K20" s="297"/>
      <c r="L20" s="36"/>
      <c r="M20" s="42"/>
    </row>
    <row r="21" spans="2:13" s="76" customFormat="1" ht="13.5" customHeight="1" x14ac:dyDescent="0.25">
      <c r="B21" s="85"/>
      <c r="C21" s="304"/>
      <c r="D21" s="299" t="s">
        <v>131</v>
      </c>
      <c r="E21" s="299"/>
      <c r="F21" s="299"/>
      <c r="G21" s="316"/>
      <c r="H21" s="316" t="s">
        <v>132</v>
      </c>
      <c r="I21" s="316" t="s">
        <v>133</v>
      </c>
      <c r="J21" s="317"/>
      <c r="K21" s="318"/>
      <c r="L21" s="39"/>
      <c r="M21" s="78"/>
    </row>
    <row r="22" spans="2:13" ht="13.5" customHeight="1" x14ac:dyDescent="0.25">
      <c r="B22" s="83"/>
      <c r="C22" s="298"/>
      <c r="D22" s="319"/>
      <c r="E22" s="319"/>
      <c r="F22" s="319"/>
      <c r="G22" s="320"/>
      <c r="H22" s="320"/>
      <c r="I22" s="320"/>
      <c r="J22" s="218"/>
      <c r="K22" s="321"/>
      <c r="L22" s="36"/>
      <c r="M22" s="42"/>
    </row>
    <row r="23" spans="2:13" ht="13.5" customHeight="1" x14ac:dyDescent="0.25">
      <c r="B23" s="83"/>
      <c r="C23" s="298"/>
      <c r="D23" s="185" t="s">
        <v>130</v>
      </c>
      <c r="E23" s="185"/>
      <c r="F23" s="185"/>
      <c r="G23" s="205"/>
      <c r="H23" s="191" t="s">
        <v>126</v>
      </c>
      <c r="I23" s="320"/>
      <c r="J23" s="218"/>
      <c r="K23" s="321"/>
      <c r="L23" s="36"/>
      <c r="M23" s="42"/>
    </row>
    <row r="24" spans="2:13" ht="13.5" customHeight="1" x14ac:dyDescent="0.25">
      <c r="B24" s="83"/>
      <c r="C24" s="298"/>
      <c r="D24" s="319"/>
      <c r="E24" s="319"/>
      <c r="F24" s="319"/>
      <c r="G24" s="320"/>
      <c r="H24" s="320"/>
      <c r="I24" s="320"/>
      <c r="J24" s="218"/>
      <c r="K24" s="321"/>
      <c r="L24" s="36"/>
      <c r="M24" s="42"/>
    </row>
    <row r="25" spans="2:13" ht="13.5" customHeight="1" x14ac:dyDescent="0.25">
      <c r="B25" s="83"/>
      <c r="C25" s="298"/>
      <c r="D25" s="185" t="s">
        <v>134</v>
      </c>
      <c r="E25" s="185"/>
      <c r="F25" s="185"/>
      <c r="G25" s="218"/>
      <c r="H25" s="322">
        <f>ROUND(415*H16,0)</f>
        <v>415</v>
      </c>
      <c r="I25" s="323">
        <f>ROUND(233*H16,0)</f>
        <v>233</v>
      </c>
      <c r="J25" s="183"/>
      <c r="K25" s="321"/>
      <c r="L25" s="24"/>
      <c r="M25" s="42"/>
    </row>
    <row r="26" spans="2:13" ht="13.5" customHeight="1" x14ac:dyDescent="0.25">
      <c r="B26" s="83"/>
      <c r="C26" s="298"/>
      <c r="D26" s="185" t="s">
        <v>135</v>
      </c>
      <c r="E26" s="185"/>
      <c r="F26" s="185"/>
      <c r="G26" s="205"/>
      <c r="H26" s="191">
        <v>415</v>
      </c>
      <c r="I26" s="324">
        <v>233</v>
      </c>
      <c r="J26" s="183"/>
      <c r="K26" s="321"/>
      <c r="L26" s="24"/>
      <c r="M26" s="42"/>
    </row>
    <row r="27" spans="2:13" ht="13.5" customHeight="1" x14ac:dyDescent="0.25">
      <c r="B27" s="83"/>
      <c r="C27" s="298"/>
      <c r="D27" s="185" t="s">
        <v>136</v>
      </c>
      <c r="E27" s="185"/>
      <c r="F27" s="185"/>
      <c r="G27" s="325"/>
      <c r="H27" s="326">
        <f>+H26/H25</f>
        <v>1</v>
      </c>
      <c r="I27" s="326">
        <f>+I26/I25</f>
        <v>1</v>
      </c>
      <c r="J27" s="183"/>
      <c r="K27" s="321"/>
      <c r="L27" s="24"/>
      <c r="M27" s="42"/>
    </row>
    <row r="28" spans="2:13" ht="13.5" customHeight="1" x14ac:dyDescent="0.25">
      <c r="B28" s="83"/>
      <c r="C28" s="298"/>
      <c r="D28" s="185" t="s">
        <v>137</v>
      </c>
      <c r="E28" s="185"/>
      <c r="F28" s="185"/>
      <c r="G28" s="205"/>
      <c r="H28" s="191">
        <v>6</v>
      </c>
      <c r="I28" s="327" t="str">
        <f>IF(H28&lt;2.999,"moet minimaal 3 gehele maanden zijn"," ")</f>
        <v xml:space="preserve"> </v>
      </c>
      <c r="J28" s="183"/>
      <c r="K28" s="321"/>
      <c r="L28" s="24"/>
      <c r="M28" s="42"/>
    </row>
    <row r="29" spans="2:13" ht="13.5" customHeight="1" x14ac:dyDescent="0.25">
      <c r="B29" s="83"/>
      <c r="C29" s="298"/>
      <c r="D29" s="185"/>
      <c r="E29" s="185"/>
      <c r="F29" s="185"/>
      <c r="G29" s="218"/>
      <c r="H29" s="218"/>
      <c r="I29" s="218"/>
      <c r="J29" s="183"/>
      <c r="K29" s="328"/>
      <c r="L29" s="24"/>
      <c r="M29" s="42"/>
    </row>
    <row r="30" spans="2:13" ht="13.5" customHeight="1" x14ac:dyDescent="0.25">
      <c r="B30" s="83"/>
      <c r="C30" s="298"/>
      <c r="D30" s="185" t="s">
        <v>138</v>
      </c>
      <c r="E30" s="185"/>
      <c r="F30" s="185"/>
      <c r="G30" s="325"/>
      <c r="H30" s="325">
        <f>ROUND(+IF(H23="ja",I26,H26)/ROUND((IF(H23="ja",233,415)*H16),0)*1.35/H28,4)</f>
        <v>0.22500000000000001</v>
      </c>
      <c r="I30" s="218"/>
      <c r="J30" s="330">
        <f>+H30*H17</f>
        <v>609.52499999999998</v>
      </c>
      <c r="K30" s="331"/>
      <c r="L30" s="36"/>
    </row>
    <row r="31" spans="2:13" ht="13.5" customHeight="1" x14ac:dyDescent="0.25">
      <c r="B31" s="83"/>
      <c r="C31" s="298"/>
      <c r="D31" s="185"/>
      <c r="E31" s="185"/>
      <c r="F31" s="185"/>
      <c r="G31" s="325"/>
      <c r="H31" s="325"/>
      <c r="I31" s="218"/>
      <c r="J31" s="329"/>
      <c r="K31" s="331"/>
      <c r="L31" s="36"/>
    </row>
    <row r="32" spans="2:13" ht="13.5" customHeight="1" x14ac:dyDescent="0.25">
      <c r="B32" s="83"/>
      <c r="C32" s="298"/>
      <c r="D32" s="185" t="s">
        <v>225</v>
      </c>
      <c r="E32" s="185"/>
      <c r="F32" s="185"/>
      <c r="G32" s="325"/>
      <c r="H32" s="325">
        <f>ROUND((3*I27/H28),4)-H30</f>
        <v>0.27500000000000002</v>
      </c>
      <c r="I32" s="218"/>
      <c r="J32" s="309">
        <f>+H32*H17</f>
        <v>744.97500000000002</v>
      </c>
      <c r="K32" s="332"/>
      <c r="L32" s="36"/>
    </row>
    <row r="33" spans="1:12" ht="13.5" customHeight="1" x14ac:dyDescent="0.25">
      <c r="B33" s="83"/>
      <c r="C33" s="298"/>
      <c r="D33" s="185" t="s">
        <v>139</v>
      </c>
      <c r="E33" s="185"/>
      <c r="F33" s="185"/>
      <c r="G33" s="325"/>
      <c r="H33" s="325">
        <f>1-ROUND(1/0.45*H30,4)</f>
        <v>0.5</v>
      </c>
      <c r="I33" s="218"/>
      <c r="J33" s="309">
        <f>+H33*H17</f>
        <v>1354.5</v>
      </c>
      <c r="K33" s="333"/>
      <c r="L33" s="36"/>
    </row>
    <row r="34" spans="1:12" s="76" customFormat="1" ht="13.5" customHeight="1" x14ac:dyDescent="0.25">
      <c r="B34" s="85"/>
      <c r="C34" s="304"/>
      <c r="D34" s="305" t="s">
        <v>140</v>
      </c>
      <c r="E34" s="305"/>
      <c r="F34" s="305"/>
      <c r="G34" s="334"/>
      <c r="H34" s="334">
        <f>+H32+H33</f>
        <v>0.77500000000000002</v>
      </c>
      <c r="I34" s="317"/>
      <c r="J34" s="335">
        <f>SUM(J32:J33)</f>
        <v>2099.4749999999999</v>
      </c>
      <c r="K34" s="336"/>
      <c r="L34" s="39"/>
    </row>
    <row r="35" spans="1:12" ht="13.5" customHeight="1" x14ac:dyDescent="0.25">
      <c r="B35" s="83"/>
      <c r="C35" s="298"/>
      <c r="D35" s="337" t="s">
        <v>141</v>
      </c>
      <c r="E35" s="337"/>
      <c r="F35" s="337"/>
      <c r="G35" s="338"/>
      <c r="H35" s="338"/>
      <c r="I35" s="338"/>
      <c r="J35" s="339">
        <f>+J32*H28</f>
        <v>4469.8500000000004</v>
      </c>
      <c r="K35" s="333"/>
      <c r="L35" s="36"/>
    </row>
    <row r="36" spans="1:12" ht="13.5" customHeight="1" x14ac:dyDescent="0.25">
      <c r="B36" s="83"/>
      <c r="C36" s="298"/>
      <c r="D36" s="185"/>
      <c r="E36" s="185"/>
      <c r="F36" s="185"/>
      <c r="G36" s="218"/>
      <c r="H36" s="218"/>
      <c r="I36" s="218"/>
      <c r="J36" s="308"/>
      <c r="K36" s="333"/>
      <c r="L36" s="36"/>
    </row>
    <row r="37" spans="1:12" s="76" customFormat="1" ht="13.5" customHeight="1" x14ac:dyDescent="0.25">
      <c r="B37" s="85"/>
      <c r="C37" s="304"/>
      <c r="D37" s="305" t="s">
        <v>257</v>
      </c>
      <c r="E37" s="305"/>
      <c r="F37" s="305"/>
      <c r="G37" s="340"/>
      <c r="H37" s="433">
        <f>+tabellen!B72</f>
        <v>0.6</v>
      </c>
      <c r="I37" s="317"/>
      <c r="J37" s="335">
        <f>+J35*(1+H37)</f>
        <v>7151.7600000000011</v>
      </c>
      <c r="K37" s="306"/>
      <c r="L37" s="39"/>
    </row>
    <row r="38" spans="1:12" ht="13.5" customHeight="1" x14ac:dyDescent="0.25">
      <c r="B38" s="83"/>
      <c r="C38" s="298"/>
      <c r="D38" s="341" t="s">
        <v>66</v>
      </c>
      <c r="E38" s="341"/>
      <c r="F38" s="341"/>
      <c r="G38" s="341"/>
      <c r="H38" s="341"/>
      <c r="I38" s="341"/>
      <c r="J38" s="342">
        <f>+J37/H$28</f>
        <v>1191.9600000000003</v>
      </c>
      <c r="K38" s="343"/>
      <c r="L38" s="36"/>
    </row>
    <row r="39" spans="1:12" ht="13.5" customHeight="1" x14ac:dyDescent="0.25">
      <c r="B39" s="83"/>
      <c r="C39" s="312"/>
      <c r="D39" s="313"/>
      <c r="E39" s="313"/>
      <c r="F39" s="313"/>
      <c r="G39" s="313"/>
      <c r="H39" s="313"/>
      <c r="I39" s="313"/>
      <c r="J39" s="344"/>
      <c r="K39" s="345"/>
      <c r="L39" s="36"/>
    </row>
    <row r="40" spans="1:12" ht="13.5" customHeight="1" x14ac:dyDescent="0.25">
      <c r="B40" s="83"/>
      <c r="C40" s="25"/>
      <c r="D40" s="25"/>
      <c r="E40" s="25"/>
      <c r="F40" s="25"/>
      <c r="G40" s="25"/>
      <c r="H40" s="25"/>
      <c r="I40" s="25"/>
      <c r="J40" s="86"/>
      <c r="K40" s="165"/>
      <c r="L40" s="36"/>
    </row>
    <row r="41" spans="1:12" ht="13.5" customHeight="1" x14ac:dyDescent="0.25">
      <c r="B41" s="83"/>
      <c r="C41" s="296"/>
      <c r="D41" s="177"/>
      <c r="E41" s="177"/>
      <c r="F41" s="177"/>
      <c r="G41" s="177"/>
      <c r="H41" s="177"/>
      <c r="I41" s="346"/>
      <c r="J41" s="177"/>
      <c r="K41" s="297"/>
      <c r="L41" s="36"/>
    </row>
    <row r="42" spans="1:12" ht="13.5" customHeight="1" x14ac:dyDescent="0.25">
      <c r="B42" s="87"/>
      <c r="C42" s="347"/>
      <c r="D42" s="299" t="s">
        <v>258</v>
      </c>
      <c r="E42" s="305"/>
      <c r="F42" s="305"/>
      <c r="G42" s="305"/>
      <c r="H42" s="305"/>
      <c r="I42" s="494"/>
      <c r="J42" s="495"/>
      <c r="K42" s="306"/>
      <c r="L42" s="39"/>
    </row>
    <row r="43" spans="1:12" ht="13.5" customHeight="1" x14ac:dyDescent="0.25">
      <c r="B43" s="88"/>
      <c r="C43" s="348"/>
      <c r="D43" s="185"/>
      <c r="E43" s="185"/>
      <c r="F43" s="185"/>
      <c r="G43" s="185"/>
      <c r="H43" s="185"/>
      <c r="I43" s="350"/>
      <c r="J43" s="302"/>
      <c r="K43" s="300"/>
      <c r="L43" s="36"/>
    </row>
    <row r="44" spans="1:12" ht="13.5" customHeight="1" x14ac:dyDescent="0.25">
      <c r="B44" s="83"/>
      <c r="C44" s="298"/>
      <c r="D44" s="185" t="s">
        <v>142</v>
      </c>
      <c r="E44" s="185"/>
      <c r="F44" s="185"/>
      <c r="G44" s="185"/>
      <c r="H44" s="185"/>
      <c r="I44" s="349"/>
      <c r="J44" s="185"/>
      <c r="K44" s="300"/>
      <c r="L44" s="36"/>
    </row>
    <row r="45" spans="1:12" ht="13.5" customHeight="1" x14ac:dyDescent="0.25">
      <c r="B45" s="83"/>
      <c r="C45" s="298"/>
      <c r="D45" s="185" t="s">
        <v>143</v>
      </c>
      <c r="E45" s="185"/>
      <c r="F45" s="185"/>
      <c r="G45" s="351"/>
      <c r="H45" s="352">
        <v>600</v>
      </c>
      <c r="I45" s="353" t="s">
        <v>144</v>
      </c>
      <c r="J45" s="354"/>
      <c r="K45" s="300"/>
      <c r="L45" s="36"/>
    </row>
    <row r="46" spans="1:12" ht="13.5" customHeight="1" x14ac:dyDescent="0.25">
      <c r="B46" s="83"/>
      <c r="C46" s="298"/>
      <c r="D46" s="185" t="s">
        <v>145</v>
      </c>
      <c r="E46" s="185"/>
      <c r="F46" s="185"/>
      <c r="G46" s="355"/>
      <c r="H46" s="356">
        <v>0.73899999999999999</v>
      </c>
      <c r="I46" s="353" t="s">
        <v>144</v>
      </c>
      <c r="J46" s="354"/>
      <c r="K46" s="300"/>
      <c r="L46" s="36"/>
    </row>
    <row r="47" spans="1:12" ht="13.5" customHeight="1" x14ac:dyDescent="0.25">
      <c r="B47" s="83"/>
      <c r="C47" s="298"/>
      <c r="D47" s="185"/>
      <c r="E47" s="218"/>
      <c r="F47" s="218" t="s">
        <v>146</v>
      </c>
      <c r="G47" s="185"/>
      <c r="H47" s="218"/>
      <c r="I47" s="353"/>
      <c r="J47" s="354"/>
      <c r="K47" s="300"/>
      <c r="L47" s="36"/>
    </row>
    <row r="48" spans="1:12" s="76" customFormat="1" ht="13.5" customHeight="1" x14ac:dyDescent="0.25">
      <c r="A48" s="79"/>
      <c r="B48" s="83"/>
      <c r="C48" s="298"/>
      <c r="D48" s="185" t="s">
        <v>147</v>
      </c>
      <c r="E48" s="191">
        <v>20</v>
      </c>
      <c r="F48" s="191">
        <v>40</v>
      </c>
      <c r="G48" s="355"/>
      <c r="H48" s="357">
        <v>0.375</v>
      </c>
      <c r="I48" s="353" t="s">
        <v>148</v>
      </c>
      <c r="J48" s="354"/>
      <c r="K48" s="300"/>
      <c r="L48" s="36"/>
    </row>
    <row r="49" spans="1:12" ht="13.5" customHeight="1" x14ac:dyDescent="0.25">
      <c r="A49" s="77"/>
      <c r="B49" s="83"/>
      <c r="C49" s="298"/>
      <c r="D49" s="185" t="s">
        <v>149</v>
      </c>
      <c r="E49" s="185"/>
      <c r="F49" s="185"/>
      <c r="G49" s="194"/>
      <c r="H49" s="358">
        <v>1.8</v>
      </c>
      <c r="I49" s="353" t="s">
        <v>267</v>
      </c>
      <c r="J49" s="354"/>
      <c r="K49" s="300"/>
      <c r="L49" s="36"/>
    </row>
    <row r="50" spans="1:12" ht="13.5" customHeight="1" x14ac:dyDescent="0.25">
      <c r="B50" s="83"/>
      <c r="C50" s="298"/>
      <c r="D50" s="185" t="s">
        <v>150</v>
      </c>
      <c r="E50" s="185"/>
      <c r="F50" s="185"/>
      <c r="G50" s="359"/>
      <c r="H50" s="360">
        <f>ROUND(H45*H46*H48*H49,0)</f>
        <v>299</v>
      </c>
      <c r="I50" s="353"/>
      <c r="J50" s="354"/>
      <c r="K50" s="300"/>
      <c r="L50" s="36"/>
    </row>
    <row r="51" spans="1:12" ht="13.5" customHeight="1" x14ac:dyDescent="0.25">
      <c r="B51" s="83"/>
      <c r="C51" s="298"/>
      <c r="D51" s="185" t="s">
        <v>151</v>
      </c>
      <c r="E51" s="185"/>
      <c r="F51" s="185"/>
      <c r="G51" s="355"/>
      <c r="H51" s="356">
        <v>1</v>
      </c>
      <c r="I51" s="353" t="s">
        <v>152</v>
      </c>
      <c r="J51" s="354"/>
      <c r="K51" s="300"/>
      <c r="L51" s="36"/>
    </row>
    <row r="52" spans="1:12" ht="13.5" customHeight="1" x14ac:dyDescent="0.25">
      <c r="B52" s="83"/>
      <c r="C52" s="298"/>
      <c r="D52" s="185" t="s">
        <v>153</v>
      </c>
      <c r="E52" s="185"/>
      <c r="F52" s="185"/>
      <c r="G52" s="359"/>
      <c r="H52" s="360">
        <f>ROUND(H50*H51/(F48-E48),0)</f>
        <v>15</v>
      </c>
      <c r="I52" s="353"/>
      <c r="J52" s="354"/>
      <c r="K52" s="300"/>
      <c r="L52" s="36"/>
    </row>
    <row r="53" spans="1:12" ht="13.5" customHeight="1" x14ac:dyDescent="0.25">
      <c r="B53" s="83"/>
      <c r="C53" s="298"/>
      <c r="D53" s="185" t="s">
        <v>154</v>
      </c>
      <c r="E53" s="185"/>
      <c r="F53" s="185"/>
      <c r="G53" s="361"/>
      <c r="H53" s="362">
        <v>7025</v>
      </c>
      <c r="I53" s="353" t="s">
        <v>152</v>
      </c>
      <c r="J53" s="354"/>
      <c r="K53" s="300"/>
      <c r="L53" s="36"/>
    </row>
    <row r="54" spans="1:12" ht="13.5" customHeight="1" x14ac:dyDescent="0.25">
      <c r="B54" s="85"/>
      <c r="C54" s="304"/>
      <c r="D54" s="305" t="s">
        <v>155</v>
      </c>
      <c r="E54" s="305"/>
      <c r="F54" s="305"/>
      <c r="G54" s="363"/>
      <c r="H54" s="364">
        <f>+H52*H53</f>
        <v>105375</v>
      </c>
      <c r="I54" s="365" t="s">
        <v>266</v>
      </c>
      <c r="J54" s="366"/>
      <c r="K54" s="306"/>
      <c r="L54" s="39"/>
    </row>
    <row r="55" spans="1:12" ht="13.5" customHeight="1" x14ac:dyDescent="0.25">
      <c r="B55" s="83"/>
      <c r="C55" s="312"/>
      <c r="D55" s="313"/>
      <c r="E55" s="313"/>
      <c r="F55" s="313"/>
      <c r="G55" s="313"/>
      <c r="H55" s="313"/>
      <c r="I55" s="367"/>
      <c r="J55" s="313"/>
      <c r="K55" s="315"/>
      <c r="L55" s="36"/>
    </row>
    <row r="56" spans="1:12" ht="13.5" customHeight="1" x14ac:dyDescent="0.25">
      <c r="B56" s="83"/>
      <c r="C56" s="25"/>
      <c r="D56" s="25"/>
      <c r="E56" s="25"/>
      <c r="F56" s="25"/>
      <c r="G56" s="25"/>
      <c r="H56" s="25"/>
      <c r="I56" s="86"/>
      <c r="J56" s="25"/>
      <c r="K56" s="163"/>
      <c r="L56" s="36"/>
    </row>
    <row r="57" spans="1:12" ht="13.5" customHeight="1" x14ac:dyDescent="0.25">
      <c r="B57" s="83"/>
      <c r="C57" s="25"/>
      <c r="D57" s="25"/>
      <c r="E57" s="25"/>
      <c r="F57" s="25"/>
      <c r="G57" s="25"/>
      <c r="H57" s="25"/>
      <c r="I57" s="86"/>
      <c r="J57" s="25"/>
      <c r="K57" s="163"/>
      <c r="L57" s="36"/>
    </row>
    <row r="58" spans="1:12" ht="13.5" customHeight="1" x14ac:dyDescent="0.25">
      <c r="B58" s="89"/>
      <c r="C58" s="90"/>
      <c r="D58" s="90"/>
      <c r="E58" s="90"/>
      <c r="F58" s="90"/>
      <c r="G58" s="90"/>
      <c r="H58" s="90"/>
      <c r="I58" s="139"/>
      <c r="J58" s="90"/>
      <c r="K58" s="477" t="s">
        <v>320</v>
      </c>
      <c r="L58" s="91"/>
    </row>
    <row r="59" spans="1:12" ht="13.5" customHeight="1" x14ac:dyDescent="0.25">
      <c r="I59" s="140"/>
    </row>
    <row r="60" spans="1:12" s="76" customFormat="1" ht="13.5" customHeight="1" x14ac:dyDescent="0.25">
      <c r="B60" s="3"/>
      <c r="C60" s="3"/>
      <c r="D60" s="3"/>
      <c r="E60" s="3"/>
      <c r="F60" s="3"/>
      <c r="G60" s="3"/>
      <c r="H60" s="3"/>
      <c r="I60" s="140"/>
      <c r="J60" s="3"/>
      <c r="K60" s="166"/>
      <c r="L60" s="3"/>
    </row>
    <row r="61" spans="1:12" ht="13.5" customHeight="1" x14ac:dyDescent="0.25">
      <c r="I61" s="140"/>
    </row>
    <row r="62" spans="1:12" ht="13.5" customHeight="1" x14ac:dyDescent="0.25">
      <c r="I62" s="140"/>
    </row>
    <row r="63" spans="1:12" ht="13.5" customHeight="1" x14ac:dyDescent="0.25">
      <c r="I63" s="140"/>
    </row>
    <row r="64" spans="1:12" ht="13.5" customHeight="1" x14ac:dyDescent="0.25">
      <c r="I64" s="140"/>
    </row>
    <row r="65" spans="9:14" ht="13.5" customHeight="1" x14ac:dyDescent="0.25">
      <c r="I65" s="140"/>
    </row>
    <row r="66" spans="9:14" ht="13.5" customHeight="1" x14ac:dyDescent="0.25">
      <c r="I66" s="140"/>
    </row>
    <row r="67" spans="9:14" ht="13.5" customHeight="1" x14ac:dyDescent="0.25">
      <c r="I67" s="140"/>
    </row>
    <row r="68" spans="9:14" ht="13.5" customHeight="1" x14ac:dyDescent="0.25">
      <c r="I68" s="140"/>
    </row>
    <row r="69" spans="9:14" ht="13.5" customHeight="1" x14ac:dyDescent="0.25">
      <c r="I69" s="140"/>
      <c r="N69" s="160" t="s">
        <v>93</v>
      </c>
    </row>
    <row r="70" spans="9:14" ht="13.5" customHeight="1" x14ac:dyDescent="0.25">
      <c r="I70" s="140"/>
      <c r="N70" s="160" t="s">
        <v>86</v>
      </c>
    </row>
    <row r="71" spans="9:14" ht="13.5" customHeight="1" x14ac:dyDescent="0.25">
      <c r="I71" s="140"/>
      <c r="N71" s="160" t="s">
        <v>87</v>
      </c>
    </row>
    <row r="72" spans="9:14" ht="13.5" customHeight="1" x14ac:dyDescent="0.25">
      <c r="I72" s="140"/>
      <c r="N72" s="160" t="s">
        <v>88</v>
      </c>
    </row>
    <row r="73" spans="9:14" ht="13.5" customHeight="1" x14ac:dyDescent="0.25">
      <c r="I73" s="140"/>
      <c r="N73" s="160" t="s">
        <v>89</v>
      </c>
    </row>
    <row r="74" spans="9:14" ht="13.5" customHeight="1" x14ac:dyDescent="0.25">
      <c r="I74" s="140"/>
      <c r="N74" s="160" t="s">
        <v>90</v>
      </c>
    </row>
    <row r="75" spans="9:14" ht="13.5" customHeight="1" x14ac:dyDescent="0.25">
      <c r="I75" s="140"/>
      <c r="N75" s="160" t="s">
        <v>91</v>
      </c>
    </row>
    <row r="76" spans="9:14" ht="13.5" customHeight="1" x14ac:dyDescent="0.25">
      <c r="I76" s="140"/>
      <c r="N76" s="160" t="s">
        <v>92</v>
      </c>
    </row>
    <row r="77" spans="9:14" ht="13.5" customHeight="1" x14ac:dyDescent="0.25">
      <c r="I77" s="140"/>
      <c r="N77" s="161" t="s">
        <v>3</v>
      </c>
    </row>
    <row r="78" spans="9:14" ht="13.5" customHeight="1" x14ac:dyDescent="0.25">
      <c r="I78" s="140"/>
      <c r="N78" s="161" t="s">
        <v>4</v>
      </c>
    </row>
    <row r="79" spans="9:14" ht="13.5" customHeight="1" x14ac:dyDescent="0.25">
      <c r="I79" s="140"/>
      <c r="N79" s="161" t="s">
        <v>5</v>
      </c>
    </row>
    <row r="80" spans="9:14" ht="13.5" customHeight="1" x14ac:dyDescent="0.25">
      <c r="I80" s="140"/>
      <c r="N80" s="161" t="s">
        <v>6</v>
      </c>
    </row>
    <row r="81" spans="6:14" ht="13.5" customHeight="1" x14ac:dyDescent="0.25">
      <c r="I81" s="140"/>
      <c r="N81" s="161" t="s">
        <v>7</v>
      </c>
    </row>
    <row r="82" spans="6:14" ht="13.5" customHeight="1" x14ac:dyDescent="0.25">
      <c r="I82" s="140"/>
      <c r="N82" s="161" t="s">
        <v>8</v>
      </c>
    </row>
    <row r="83" spans="6:14" ht="13.5" customHeight="1" x14ac:dyDescent="0.25">
      <c r="I83" s="140"/>
      <c r="N83" s="161" t="s">
        <v>9</v>
      </c>
    </row>
    <row r="84" spans="6:14" ht="13.5" customHeight="1" x14ac:dyDescent="0.25">
      <c r="I84" s="140"/>
      <c r="N84" s="161" t="s">
        <v>10</v>
      </c>
    </row>
    <row r="85" spans="6:14" ht="13.5" customHeight="1" x14ac:dyDescent="0.25">
      <c r="I85" s="140"/>
      <c r="N85" s="161" t="s">
        <v>11</v>
      </c>
    </row>
    <row r="86" spans="6:14" ht="13.5" customHeight="1" x14ac:dyDescent="0.25">
      <c r="I86" s="140"/>
      <c r="N86" s="161" t="s">
        <v>12</v>
      </c>
    </row>
    <row r="87" spans="6:14" ht="13.5" customHeight="1" x14ac:dyDescent="0.25">
      <c r="I87" s="140"/>
      <c r="N87" s="161" t="s">
        <v>13</v>
      </c>
    </row>
    <row r="88" spans="6:14" ht="13.5" customHeight="1" x14ac:dyDescent="0.25">
      <c r="F88" s="146"/>
      <c r="G88" s="147"/>
      <c r="I88" s="140"/>
      <c r="N88" s="161" t="s">
        <v>14</v>
      </c>
    </row>
    <row r="89" spans="6:14" ht="13.5" customHeight="1" x14ac:dyDescent="0.25">
      <c r="F89" s="146"/>
      <c r="G89" s="147"/>
      <c r="I89" s="140"/>
      <c r="N89" s="161" t="s">
        <v>0</v>
      </c>
    </row>
    <row r="90" spans="6:14" ht="13.5" customHeight="1" x14ac:dyDescent="0.25">
      <c r="F90" s="146"/>
      <c r="G90" s="147"/>
      <c r="I90" s="140"/>
      <c r="N90" s="161" t="s">
        <v>15</v>
      </c>
    </row>
    <row r="91" spans="6:14" ht="13.5" customHeight="1" x14ac:dyDescent="0.25">
      <c r="F91" s="146"/>
      <c r="G91" s="147"/>
      <c r="I91" s="140"/>
      <c r="N91" s="161" t="s">
        <v>16</v>
      </c>
    </row>
    <row r="92" spans="6:14" ht="13.5" customHeight="1" x14ac:dyDescent="0.25">
      <c r="F92" s="145"/>
      <c r="G92" s="140"/>
      <c r="I92" s="140"/>
      <c r="N92" s="161" t="s">
        <v>17</v>
      </c>
    </row>
    <row r="93" spans="6:14" ht="13.5" customHeight="1" x14ac:dyDescent="0.25">
      <c r="F93" s="146"/>
      <c r="G93" s="140"/>
      <c r="I93" s="140"/>
      <c r="N93" s="161" t="s">
        <v>18</v>
      </c>
    </row>
    <row r="94" spans="6:14" ht="13.5" customHeight="1" x14ac:dyDescent="0.25">
      <c r="F94" s="133"/>
      <c r="I94" s="140"/>
      <c r="N94" s="160">
        <v>1</v>
      </c>
    </row>
    <row r="95" spans="6:14" ht="13.5" customHeight="1" x14ac:dyDescent="0.25">
      <c r="I95" s="140"/>
      <c r="N95" s="160">
        <v>2</v>
      </c>
    </row>
    <row r="96" spans="6:14" ht="13.5" customHeight="1" x14ac:dyDescent="0.25">
      <c r="I96" s="140"/>
      <c r="N96" s="160">
        <v>3</v>
      </c>
    </row>
    <row r="97" spans="14:14" ht="13.5" customHeight="1" x14ac:dyDescent="0.25">
      <c r="N97" s="160">
        <v>4</v>
      </c>
    </row>
    <row r="98" spans="14:14" ht="13.5" customHeight="1" x14ac:dyDescent="0.25">
      <c r="N98" s="160">
        <v>5</v>
      </c>
    </row>
    <row r="99" spans="14:14" ht="13.5" customHeight="1" x14ac:dyDescent="0.25">
      <c r="N99" s="160">
        <v>6</v>
      </c>
    </row>
    <row r="100" spans="14:14" ht="13.5" customHeight="1" x14ac:dyDescent="0.25">
      <c r="N100" s="160">
        <v>7</v>
      </c>
    </row>
    <row r="101" spans="14:14" ht="13.5" customHeight="1" x14ac:dyDescent="0.25">
      <c r="N101" s="160">
        <v>8</v>
      </c>
    </row>
    <row r="102" spans="14:14" ht="13.5" customHeight="1" x14ac:dyDescent="0.25">
      <c r="N102" s="160">
        <v>9</v>
      </c>
    </row>
    <row r="103" spans="14:14" ht="13.5" customHeight="1" x14ac:dyDescent="0.25">
      <c r="N103" s="160">
        <v>10</v>
      </c>
    </row>
    <row r="104" spans="14:14" ht="13.5" customHeight="1" x14ac:dyDescent="0.25">
      <c r="N104" s="160">
        <v>11</v>
      </c>
    </row>
    <row r="105" spans="14:14" ht="13.5" customHeight="1" x14ac:dyDescent="0.25">
      <c r="N105" s="160">
        <v>12</v>
      </c>
    </row>
    <row r="106" spans="14:14" ht="13.5" customHeight="1" x14ac:dyDescent="0.25">
      <c r="N106" s="160">
        <v>13</v>
      </c>
    </row>
    <row r="107" spans="14:14" ht="13.5" customHeight="1" x14ac:dyDescent="0.25">
      <c r="N107" s="160">
        <v>14</v>
      </c>
    </row>
    <row r="108" spans="14:14" ht="13.5" customHeight="1" x14ac:dyDescent="0.25">
      <c r="N108" s="160">
        <v>15</v>
      </c>
    </row>
    <row r="109" spans="14:14" ht="13.5" customHeight="1" x14ac:dyDescent="0.25">
      <c r="N109" s="160">
        <v>16</v>
      </c>
    </row>
    <row r="110" spans="14:14" ht="13.5" customHeight="1" x14ac:dyDescent="0.25">
      <c r="N110" s="160" t="s">
        <v>19</v>
      </c>
    </row>
    <row r="111" spans="14:14" ht="13.5" customHeight="1" x14ac:dyDescent="0.25">
      <c r="N111" s="160" t="s">
        <v>20</v>
      </c>
    </row>
    <row r="112" spans="14:14" ht="13.5" customHeight="1" x14ac:dyDescent="0.25">
      <c r="N112" s="160" t="s">
        <v>94</v>
      </c>
    </row>
    <row r="113" spans="14:14" ht="13.5" customHeight="1" x14ac:dyDescent="0.25">
      <c r="N113" s="160" t="s">
        <v>95</v>
      </c>
    </row>
    <row r="114" spans="14:14" ht="13.5" customHeight="1" x14ac:dyDescent="0.25">
      <c r="N114" s="160" t="s">
        <v>96</v>
      </c>
    </row>
  </sheetData>
  <sheetProtection algorithmName="SHA-512" hashValue="CCn6MPPBEOJ1SagSsejqAUivSbRQcht9ExNd84umwn9zKL+tvMhX+qDCDtDbo7nxIC1ma5xwOY/idtCOxADfxA==" saltValue="yY7eM7HU5KSiItALG4ag3w==" spinCount="100000" sheet="1" objects="1" scenarios="1"/>
  <mergeCells count="1">
    <mergeCell ref="I42:J42"/>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$N$69:$N$114</formula1>
    </dataValidation>
  </dataValidations>
  <hyperlinks>
    <hyperlink ref="K58"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5"/>
      <c r="C2" s="16"/>
      <c r="D2" s="16"/>
      <c r="E2" s="16"/>
      <c r="F2" s="18"/>
      <c r="G2" s="16"/>
      <c r="H2" s="16"/>
      <c r="I2" s="16"/>
      <c r="J2" s="19"/>
      <c r="K2" s="42"/>
      <c r="L2" s="419" t="s">
        <v>275</v>
      </c>
      <c r="M2" s="420"/>
      <c r="N2" s="420"/>
      <c r="O2" s="420"/>
      <c r="P2" s="420"/>
      <c r="Q2" s="420"/>
      <c r="R2" s="420"/>
      <c r="S2" s="420"/>
      <c r="T2" s="420"/>
      <c r="U2" s="420"/>
      <c r="V2" s="420"/>
      <c r="W2" s="421"/>
      <c r="X2" s="42"/>
      <c r="Y2" s="430" t="s">
        <v>93</v>
      </c>
    </row>
    <row r="3" spans="2:41" ht="13.5" customHeight="1" x14ac:dyDescent="0.25">
      <c r="B3" s="20"/>
      <c r="C3" s="21"/>
      <c r="D3" s="21"/>
      <c r="E3" s="21"/>
      <c r="F3" s="23"/>
      <c r="G3" s="21"/>
      <c r="H3" s="21"/>
      <c r="I3" s="21"/>
      <c r="J3" s="24"/>
      <c r="K3" s="42"/>
      <c r="L3" s="422" t="s">
        <v>168</v>
      </c>
      <c r="M3" s="423"/>
      <c r="N3" s="423"/>
      <c r="O3" s="423" t="s">
        <v>169</v>
      </c>
      <c r="P3" s="423"/>
      <c r="Q3" s="423"/>
      <c r="R3" s="423"/>
      <c r="S3" s="423"/>
      <c r="T3" s="423"/>
      <c r="U3" s="423" t="s">
        <v>30</v>
      </c>
      <c r="V3" s="423"/>
      <c r="W3" s="424"/>
      <c r="X3" s="42"/>
      <c r="Y3" s="430" t="s">
        <v>86</v>
      </c>
    </row>
    <row r="4" spans="2:41" s="116" customFormat="1" ht="18" customHeight="1" x14ac:dyDescent="0.3">
      <c r="B4" s="113"/>
      <c r="C4" s="103" t="s">
        <v>270</v>
      </c>
      <c r="D4" s="114"/>
      <c r="E4" s="114"/>
      <c r="F4" s="105" t="str">
        <f>tabellen!B3</f>
        <v>2015/2016</v>
      </c>
      <c r="G4" s="104"/>
      <c r="H4" s="114"/>
      <c r="I4" s="114"/>
      <c r="J4" s="115"/>
      <c r="K4" s="408"/>
      <c r="L4" s="422" t="str">
        <f>+F$30</f>
        <v>LB</v>
      </c>
      <c r="M4" s="423">
        <f t="shared" ref="M4:M49" si="0">+$F$31+W4</f>
        <v>7</v>
      </c>
      <c r="N4" s="423"/>
      <c r="O4" s="423" t="str">
        <f t="shared" ref="O4:O49" si="1">+$F$16</f>
        <v>LA</v>
      </c>
      <c r="P4" s="423">
        <f>+$F$17+W4</f>
        <v>9</v>
      </c>
      <c r="Q4" s="423"/>
      <c r="R4" s="425">
        <f t="shared" ref="R4:R49" si="2">IF(W4+1&gt;$F$45,0,IF(M4&gt;$H$31,VLOOKUP($L4,salaristabellen,$H$31+1,FALSE),VLOOKUP($L4,salaristabellen,M4+1,FALSE))*12*(1+F$43))</f>
        <v>53836.800000000003</v>
      </c>
      <c r="S4" s="425">
        <f t="shared" ref="S4:S49" si="3">IF(W4+1&gt;$F$45,0,IF(P4&gt;$H$17,VLOOKUP($O4,salaristabellen,$H$17+1,FALSE),VLOOKUP($O4,salaristabellen,P4+1,FALSE))*12*(1+F$43))</f>
        <v>53472</v>
      </c>
      <c r="T4" s="423"/>
      <c r="U4" s="425">
        <f t="shared" ref="U4:U49" si="4">+R4-S4</f>
        <v>364.80000000000291</v>
      </c>
      <c r="V4" s="423"/>
      <c r="W4" s="424">
        <v>0</v>
      </c>
      <c r="X4" s="408"/>
      <c r="Y4" s="430" t="s">
        <v>87</v>
      </c>
      <c r="AF4" s="117"/>
      <c r="AG4" s="117"/>
      <c r="AH4" s="117"/>
      <c r="AI4" s="117"/>
      <c r="AJ4" s="117"/>
      <c r="AK4" s="117"/>
      <c r="AL4" s="117"/>
      <c r="AM4" s="117"/>
      <c r="AN4" s="117"/>
      <c r="AO4" s="117"/>
    </row>
    <row r="5" spans="2:41" s="92" customFormat="1" ht="13.5" customHeight="1" x14ac:dyDescent="0.25">
      <c r="B5" s="94"/>
      <c r="C5" s="95" t="s">
        <v>156</v>
      </c>
      <c r="D5" s="95"/>
      <c r="E5" s="95"/>
      <c r="F5" s="97"/>
      <c r="G5" s="95"/>
      <c r="H5" s="95"/>
      <c r="I5" s="95"/>
      <c r="J5" s="96"/>
      <c r="K5" s="409"/>
      <c r="L5" s="422" t="str">
        <f t="shared" ref="L5:L49" si="5">+F$30</f>
        <v>LB</v>
      </c>
      <c r="M5" s="423">
        <f t="shared" si="0"/>
        <v>8</v>
      </c>
      <c r="N5" s="423"/>
      <c r="O5" s="423" t="str">
        <f t="shared" si="1"/>
        <v>LA</v>
      </c>
      <c r="P5" s="423">
        <f t="shared" ref="P5:P49" si="6">+$F$17+W5</f>
        <v>10</v>
      </c>
      <c r="Q5" s="423"/>
      <c r="R5" s="425">
        <f t="shared" si="2"/>
        <v>55468.800000000003</v>
      </c>
      <c r="S5" s="425">
        <f t="shared" si="3"/>
        <v>54969.600000000006</v>
      </c>
      <c r="T5" s="423"/>
      <c r="U5" s="425">
        <f t="shared" si="4"/>
        <v>499.19999999999709</v>
      </c>
      <c r="V5" s="423"/>
      <c r="W5" s="424">
        <v>1</v>
      </c>
      <c r="X5" s="409"/>
      <c r="Y5" s="430" t="s">
        <v>88</v>
      </c>
      <c r="AF5" s="93"/>
      <c r="AG5" s="93"/>
      <c r="AH5" s="93"/>
      <c r="AI5" s="93"/>
      <c r="AJ5" s="93"/>
      <c r="AK5" s="93"/>
      <c r="AL5" s="93"/>
      <c r="AM5" s="93"/>
      <c r="AN5" s="93"/>
      <c r="AO5" s="93"/>
    </row>
    <row r="6" spans="2:41" ht="13.5" customHeight="1" x14ac:dyDescent="0.25">
      <c r="B6" s="20"/>
      <c r="C6" s="451" t="str">
        <f>+tabellen!C2</f>
        <v>vanaf 1 augustus</v>
      </c>
      <c r="D6" s="37"/>
      <c r="E6" s="21"/>
      <c r="F6" s="23"/>
      <c r="G6" s="21"/>
      <c r="H6" s="21"/>
      <c r="I6" s="21"/>
      <c r="J6" s="24"/>
      <c r="K6" s="42"/>
      <c r="L6" s="422" t="str">
        <f t="shared" si="5"/>
        <v>LB</v>
      </c>
      <c r="M6" s="423">
        <f t="shared" si="0"/>
        <v>9</v>
      </c>
      <c r="N6" s="423"/>
      <c r="O6" s="423" t="str">
        <f t="shared" si="1"/>
        <v>LA</v>
      </c>
      <c r="P6" s="423">
        <f t="shared" si="6"/>
        <v>11</v>
      </c>
      <c r="Q6" s="423"/>
      <c r="R6" s="425">
        <f t="shared" si="2"/>
        <v>57369.600000000006</v>
      </c>
      <c r="S6" s="425">
        <f t="shared" si="3"/>
        <v>56620.800000000003</v>
      </c>
      <c r="T6" s="423"/>
      <c r="U6" s="425">
        <f t="shared" si="4"/>
        <v>748.80000000000291</v>
      </c>
      <c r="V6" s="423"/>
      <c r="W6" s="424">
        <v>2</v>
      </c>
      <c r="X6" s="42"/>
      <c r="Y6" s="430" t="s">
        <v>89</v>
      </c>
      <c r="AF6" s="3"/>
      <c r="AG6" s="3"/>
      <c r="AH6" s="3"/>
      <c r="AI6" s="3"/>
      <c r="AJ6" s="3"/>
      <c r="AK6" s="3"/>
      <c r="AL6" s="3"/>
      <c r="AM6" s="3"/>
      <c r="AN6" s="3"/>
      <c r="AO6" s="3"/>
    </row>
    <row r="7" spans="2:41" ht="13.5" customHeight="1" x14ac:dyDescent="0.25">
      <c r="B7" s="20"/>
      <c r="C7" s="21"/>
      <c r="D7" s="37"/>
      <c r="E7" s="21"/>
      <c r="F7" s="23"/>
      <c r="G7" s="21"/>
      <c r="H7" s="21"/>
      <c r="I7" s="21"/>
      <c r="J7" s="24"/>
      <c r="K7" s="42"/>
      <c r="L7" s="422" t="str">
        <f t="shared" si="5"/>
        <v>LB</v>
      </c>
      <c r="M7" s="423">
        <f t="shared" si="0"/>
        <v>10</v>
      </c>
      <c r="N7" s="423"/>
      <c r="O7" s="423" t="str">
        <f t="shared" si="1"/>
        <v>LA</v>
      </c>
      <c r="P7" s="423">
        <f t="shared" si="6"/>
        <v>12</v>
      </c>
      <c r="Q7" s="423"/>
      <c r="R7" s="425">
        <f t="shared" si="2"/>
        <v>59308.800000000003</v>
      </c>
      <c r="S7" s="425">
        <f t="shared" si="3"/>
        <v>58348.800000000003</v>
      </c>
      <c r="T7" s="423"/>
      <c r="U7" s="425">
        <f t="shared" si="4"/>
        <v>960</v>
      </c>
      <c r="V7" s="423"/>
      <c r="W7" s="424">
        <v>3</v>
      </c>
      <c r="X7" s="42"/>
      <c r="Y7" s="430" t="s">
        <v>90</v>
      </c>
      <c r="AF7" s="3"/>
      <c r="AG7" s="3"/>
      <c r="AH7" s="3"/>
      <c r="AI7" s="3"/>
      <c r="AJ7" s="3"/>
      <c r="AK7" s="3"/>
      <c r="AL7" s="3"/>
      <c r="AM7" s="3"/>
      <c r="AN7" s="3"/>
      <c r="AO7" s="3"/>
    </row>
    <row r="8" spans="2:41" ht="13.5" customHeight="1" x14ac:dyDescent="0.25">
      <c r="B8" s="20"/>
      <c r="C8" s="27"/>
      <c r="D8" s="30"/>
      <c r="E8" s="27"/>
      <c r="F8" s="28"/>
      <c r="G8" s="27"/>
      <c r="H8" s="27"/>
      <c r="I8" s="27"/>
      <c r="J8" s="24"/>
      <c r="K8" s="42"/>
      <c r="L8" s="422" t="str">
        <f t="shared" si="5"/>
        <v>LB</v>
      </c>
      <c r="M8" s="423">
        <f t="shared" si="0"/>
        <v>11</v>
      </c>
      <c r="N8" s="423"/>
      <c r="O8" s="423" t="str">
        <f t="shared" si="1"/>
        <v>LA</v>
      </c>
      <c r="P8" s="423">
        <f t="shared" si="6"/>
        <v>13</v>
      </c>
      <c r="Q8" s="423"/>
      <c r="R8" s="425">
        <f t="shared" si="2"/>
        <v>61382.400000000001</v>
      </c>
      <c r="S8" s="425">
        <f t="shared" si="3"/>
        <v>60211.200000000004</v>
      </c>
      <c r="T8" s="423"/>
      <c r="U8" s="425">
        <f t="shared" si="4"/>
        <v>1171.1999999999971</v>
      </c>
      <c r="V8" s="423"/>
      <c r="W8" s="424">
        <v>4</v>
      </c>
      <c r="X8" s="42"/>
      <c r="Y8" s="430" t="s">
        <v>91</v>
      </c>
      <c r="AF8" s="3"/>
      <c r="AG8" s="3"/>
      <c r="AH8" s="3"/>
      <c r="AI8" s="3"/>
      <c r="AJ8" s="3"/>
      <c r="AK8" s="3"/>
      <c r="AL8" s="3"/>
      <c r="AM8" s="3"/>
      <c r="AN8" s="3"/>
      <c r="AO8" s="3"/>
    </row>
    <row r="9" spans="2:41" ht="13.5" customHeight="1" x14ac:dyDescent="0.25">
      <c r="B9" s="20"/>
      <c r="C9" s="27"/>
      <c r="D9" s="27" t="s">
        <v>127</v>
      </c>
      <c r="E9" s="27"/>
      <c r="F9" s="496" t="s">
        <v>32</v>
      </c>
      <c r="G9" s="496"/>
      <c r="H9" s="27"/>
      <c r="I9" s="27"/>
      <c r="J9" s="24"/>
      <c r="K9" s="42"/>
      <c r="L9" s="422" t="str">
        <f t="shared" si="5"/>
        <v>LB</v>
      </c>
      <c r="M9" s="423">
        <f t="shared" si="0"/>
        <v>12</v>
      </c>
      <c r="N9" s="423"/>
      <c r="O9" s="423" t="str">
        <f t="shared" si="1"/>
        <v>LA</v>
      </c>
      <c r="P9" s="423">
        <f t="shared" si="6"/>
        <v>14</v>
      </c>
      <c r="Q9" s="423"/>
      <c r="R9" s="425">
        <f t="shared" si="2"/>
        <v>63513.600000000006</v>
      </c>
      <c r="S9" s="425">
        <f t="shared" si="3"/>
        <v>62131.200000000004</v>
      </c>
      <c r="T9" s="423"/>
      <c r="U9" s="425">
        <f t="shared" si="4"/>
        <v>1382.4000000000015</v>
      </c>
      <c r="V9" s="423"/>
      <c r="W9" s="424">
        <v>5</v>
      </c>
      <c r="X9" s="42"/>
      <c r="Y9" s="430" t="s">
        <v>92</v>
      </c>
      <c r="AF9" s="3"/>
      <c r="AG9" s="3"/>
      <c r="AH9" s="3"/>
      <c r="AI9" s="3"/>
      <c r="AJ9" s="3"/>
      <c r="AK9" s="3"/>
      <c r="AL9" s="3"/>
      <c r="AM9" s="3"/>
      <c r="AN9" s="3"/>
      <c r="AO9" s="3"/>
    </row>
    <row r="10" spans="2:41" ht="13.5" customHeight="1" x14ac:dyDescent="0.25">
      <c r="B10" s="20"/>
      <c r="C10" s="27"/>
      <c r="D10" s="27" t="s">
        <v>291</v>
      </c>
      <c r="E10" s="27"/>
      <c r="F10" s="452" t="s">
        <v>77</v>
      </c>
      <c r="G10" s="453"/>
      <c r="H10" s="27"/>
      <c r="I10" s="27"/>
      <c r="J10" s="24"/>
      <c r="K10" s="42"/>
      <c r="L10" s="422" t="str">
        <f t="shared" si="5"/>
        <v>LB</v>
      </c>
      <c r="M10" s="423">
        <f t="shared" si="0"/>
        <v>13</v>
      </c>
      <c r="N10" s="423"/>
      <c r="O10" s="423" t="str">
        <f t="shared" si="1"/>
        <v>LA</v>
      </c>
      <c r="P10" s="423">
        <f t="shared" si="6"/>
        <v>15</v>
      </c>
      <c r="Q10" s="423"/>
      <c r="R10" s="425">
        <f t="shared" si="2"/>
        <v>65760</v>
      </c>
      <c r="S10" s="425">
        <f t="shared" si="3"/>
        <v>63609.600000000006</v>
      </c>
      <c r="T10" s="423"/>
      <c r="U10" s="425">
        <f t="shared" si="4"/>
        <v>2150.3999999999942</v>
      </c>
      <c r="V10" s="423"/>
      <c r="W10" s="424">
        <v>6</v>
      </c>
      <c r="X10" s="42"/>
      <c r="Y10" s="430" t="s">
        <v>3</v>
      </c>
      <c r="AF10" s="3"/>
      <c r="AG10" s="3"/>
      <c r="AH10" s="3"/>
      <c r="AI10" s="3"/>
      <c r="AJ10" s="3"/>
      <c r="AK10" s="3"/>
      <c r="AL10" s="3"/>
      <c r="AM10" s="3"/>
      <c r="AN10" s="3"/>
      <c r="AO10" s="3"/>
    </row>
    <row r="11" spans="2:41" ht="13.5" customHeight="1" x14ac:dyDescent="0.25">
      <c r="B11" s="20"/>
      <c r="C11" s="27"/>
      <c r="D11" s="30"/>
      <c r="E11" s="27"/>
      <c r="F11" s="32"/>
      <c r="G11" s="84"/>
      <c r="H11" s="27"/>
      <c r="I11" s="27"/>
      <c r="J11" s="24"/>
      <c r="K11" s="42"/>
      <c r="L11" s="422" t="str">
        <f t="shared" si="5"/>
        <v>LB</v>
      </c>
      <c r="M11" s="423">
        <f t="shared" si="0"/>
        <v>14</v>
      </c>
      <c r="N11" s="423"/>
      <c r="O11" s="423" t="str">
        <f t="shared" si="1"/>
        <v>LA</v>
      </c>
      <c r="P11" s="423">
        <f t="shared" si="6"/>
        <v>16</v>
      </c>
      <c r="Q11" s="423"/>
      <c r="R11" s="425">
        <f t="shared" si="2"/>
        <v>68083.199999999997</v>
      </c>
      <c r="S11" s="425">
        <f t="shared" si="3"/>
        <v>63609.600000000006</v>
      </c>
      <c r="T11" s="423"/>
      <c r="U11" s="425">
        <f t="shared" si="4"/>
        <v>4473.5999999999913</v>
      </c>
      <c r="V11" s="423"/>
      <c r="W11" s="424">
        <v>7</v>
      </c>
      <c r="X11" s="42"/>
      <c r="Y11" s="430" t="s">
        <v>4</v>
      </c>
      <c r="AF11" s="3"/>
      <c r="AG11" s="3"/>
      <c r="AH11" s="3"/>
      <c r="AI11" s="3"/>
      <c r="AJ11" s="3"/>
      <c r="AK11" s="3"/>
      <c r="AL11" s="3"/>
      <c r="AM11" s="3"/>
      <c r="AN11" s="3"/>
      <c r="AO11" s="3"/>
    </row>
    <row r="12" spans="2:41" ht="13.5" customHeight="1" x14ac:dyDescent="0.25">
      <c r="B12" s="20"/>
      <c r="C12" s="21"/>
      <c r="D12" s="37"/>
      <c r="E12" s="21"/>
      <c r="F12" s="31"/>
      <c r="G12" s="99"/>
      <c r="H12" s="21"/>
      <c r="I12" s="21"/>
      <c r="J12" s="24"/>
      <c r="K12" s="42"/>
      <c r="L12" s="422" t="str">
        <f t="shared" si="5"/>
        <v>LB</v>
      </c>
      <c r="M12" s="423">
        <f t="shared" si="0"/>
        <v>15</v>
      </c>
      <c r="N12" s="423"/>
      <c r="O12" s="423" t="str">
        <f t="shared" si="1"/>
        <v>LA</v>
      </c>
      <c r="P12" s="423">
        <f t="shared" si="6"/>
        <v>17</v>
      </c>
      <c r="Q12" s="423"/>
      <c r="R12" s="425">
        <f t="shared" si="2"/>
        <v>69888</v>
      </c>
      <c r="S12" s="425">
        <f t="shared" si="3"/>
        <v>63609.600000000006</v>
      </c>
      <c r="T12" s="423"/>
      <c r="U12" s="425">
        <f t="shared" si="4"/>
        <v>6278.3999999999942</v>
      </c>
      <c r="V12" s="423"/>
      <c r="W12" s="424">
        <v>8</v>
      </c>
      <c r="X12" s="42"/>
      <c r="Y12" s="430" t="s">
        <v>5</v>
      </c>
      <c r="AF12" s="3"/>
      <c r="AG12" s="3"/>
      <c r="AH12" s="3"/>
      <c r="AI12" s="3"/>
      <c r="AJ12" s="3"/>
      <c r="AK12" s="3"/>
      <c r="AL12" s="3"/>
      <c r="AM12" s="3"/>
      <c r="AN12" s="3"/>
      <c r="AO12" s="3"/>
    </row>
    <row r="13" spans="2:41" ht="13.5" customHeight="1" x14ac:dyDescent="0.25">
      <c r="B13" s="20"/>
      <c r="C13" s="172"/>
      <c r="D13" s="264"/>
      <c r="E13" s="173"/>
      <c r="F13" s="386"/>
      <c r="G13" s="387"/>
      <c r="H13" s="173"/>
      <c r="I13" s="178"/>
      <c r="J13" s="24"/>
      <c r="K13" s="42"/>
      <c r="L13" s="422" t="str">
        <f t="shared" si="5"/>
        <v>LB</v>
      </c>
      <c r="M13" s="423">
        <f t="shared" si="0"/>
        <v>16</v>
      </c>
      <c r="N13" s="423"/>
      <c r="O13" s="423" t="str">
        <f t="shared" si="1"/>
        <v>LA</v>
      </c>
      <c r="P13" s="423">
        <f t="shared" si="6"/>
        <v>18</v>
      </c>
      <c r="Q13" s="423"/>
      <c r="R13" s="425">
        <f t="shared" si="2"/>
        <v>69888</v>
      </c>
      <c r="S13" s="425">
        <f t="shared" si="3"/>
        <v>63609.600000000006</v>
      </c>
      <c r="T13" s="423"/>
      <c r="U13" s="425">
        <f t="shared" si="4"/>
        <v>6278.3999999999942</v>
      </c>
      <c r="V13" s="423"/>
      <c r="W13" s="424">
        <v>9</v>
      </c>
      <c r="X13" s="42"/>
      <c r="Y13" s="430" t="s">
        <v>6</v>
      </c>
      <c r="AF13" s="3"/>
      <c r="AG13" s="3"/>
      <c r="AH13" s="3"/>
      <c r="AI13" s="3"/>
      <c r="AJ13" s="3"/>
      <c r="AK13" s="3"/>
      <c r="AL13" s="3"/>
      <c r="AM13" s="3"/>
      <c r="AN13" s="3"/>
      <c r="AO13" s="3"/>
    </row>
    <row r="14" spans="2:41" ht="13.5" customHeight="1" x14ac:dyDescent="0.25">
      <c r="B14" s="20"/>
      <c r="C14" s="179"/>
      <c r="D14" s="180" t="s">
        <v>157</v>
      </c>
      <c r="E14" s="184"/>
      <c r="F14" s="218"/>
      <c r="G14" s="185"/>
      <c r="H14" s="184"/>
      <c r="I14" s="186"/>
      <c r="J14" s="24"/>
      <c r="K14" s="42"/>
      <c r="L14" s="422" t="str">
        <f t="shared" si="5"/>
        <v>LB</v>
      </c>
      <c r="M14" s="423">
        <f t="shared" si="0"/>
        <v>17</v>
      </c>
      <c r="N14" s="423"/>
      <c r="O14" s="423" t="str">
        <f t="shared" si="1"/>
        <v>LA</v>
      </c>
      <c r="P14" s="423">
        <f t="shared" si="6"/>
        <v>19</v>
      </c>
      <c r="Q14" s="423"/>
      <c r="R14" s="425">
        <f t="shared" si="2"/>
        <v>69888</v>
      </c>
      <c r="S14" s="425">
        <f t="shared" si="3"/>
        <v>63609.600000000006</v>
      </c>
      <c r="T14" s="423"/>
      <c r="U14" s="425">
        <f t="shared" si="4"/>
        <v>6278.3999999999942</v>
      </c>
      <c r="V14" s="423"/>
      <c r="W14" s="424">
        <v>10</v>
      </c>
      <c r="X14" s="42"/>
      <c r="Y14" s="430" t="s">
        <v>7</v>
      </c>
      <c r="AF14" s="3"/>
      <c r="AG14" s="3"/>
      <c r="AH14" s="3"/>
      <c r="AI14" s="3"/>
      <c r="AJ14" s="3"/>
      <c r="AK14" s="3"/>
      <c r="AL14" s="3"/>
      <c r="AM14" s="3"/>
      <c r="AN14" s="3"/>
      <c r="AO14" s="3"/>
    </row>
    <row r="15" spans="2:41" ht="13.5" customHeight="1" x14ac:dyDescent="0.25">
      <c r="B15" s="20"/>
      <c r="C15" s="179"/>
      <c r="D15" s="180"/>
      <c r="E15" s="184"/>
      <c r="F15" s="218"/>
      <c r="G15" s="185"/>
      <c r="H15" s="184"/>
      <c r="I15" s="186"/>
      <c r="J15" s="24"/>
      <c r="K15" s="42"/>
      <c r="L15" s="422" t="str">
        <f t="shared" si="5"/>
        <v>LB</v>
      </c>
      <c r="M15" s="423">
        <f t="shared" si="0"/>
        <v>18</v>
      </c>
      <c r="N15" s="423"/>
      <c r="O15" s="423" t="str">
        <f t="shared" si="1"/>
        <v>LA</v>
      </c>
      <c r="P15" s="423">
        <f t="shared" si="6"/>
        <v>20</v>
      </c>
      <c r="Q15" s="423"/>
      <c r="R15" s="425">
        <f t="shared" si="2"/>
        <v>69888</v>
      </c>
      <c r="S15" s="425">
        <f t="shared" si="3"/>
        <v>63609.600000000006</v>
      </c>
      <c r="T15" s="423"/>
      <c r="U15" s="425">
        <f t="shared" si="4"/>
        <v>6278.3999999999942</v>
      </c>
      <c r="V15" s="423"/>
      <c r="W15" s="424">
        <v>11</v>
      </c>
      <c r="X15" s="42"/>
      <c r="Y15" s="430" t="s">
        <v>8</v>
      </c>
      <c r="AF15" s="3"/>
      <c r="AG15" s="3"/>
      <c r="AH15" s="3"/>
      <c r="AI15" s="3"/>
      <c r="AJ15" s="3"/>
      <c r="AK15" s="3"/>
      <c r="AL15" s="3"/>
      <c r="AM15" s="3"/>
      <c r="AN15" s="3"/>
      <c r="AO15" s="3"/>
    </row>
    <row r="16" spans="2:41" ht="13.5" customHeight="1" x14ac:dyDescent="0.25">
      <c r="B16" s="20"/>
      <c r="C16" s="179"/>
      <c r="D16" s="184" t="s">
        <v>21</v>
      </c>
      <c r="E16" s="184"/>
      <c r="F16" s="388" t="s">
        <v>0</v>
      </c>
      <c r="G16" s="184"/>
      <c r="H16" s="184"/>
      <c r="I16" s="186"/>
      <c r="J16" s="24"/>
      <c r="K16" s="42"/>
      <c r="L16" s="422" t="str">
        <f t="shared" si="5"/>
        <v>LB</v>
      </c>
      <c r="M16" s="423">
        <f t="shared" si="0"/>
        <v>19</v>
      </c>
      <c r="N16" s="423"/>
      <c r="O16" s="423" t="str">
        <f t="shared" si="1"/>
        <v>LA</v>
      </c>
      <c r="P16" s="423">
        <f t="shared" si="6"/>
        <v>21</v>
      </c>
      <c r="Q16" s="423"/>
      <c r="R16" s="425">
        <f t="shared" si="2"/>
        <v>69888</v>
      </c>
      <c r="S16" s="425">
        <f t="shared" si="3"/>
        <v>63609.600000000006</v>
      </c>
      <c r="T16" s="423"/>
      <c r="U16" s="425">
        <f t="shared" si="4"/>
        <v>6278.3999999999942</v>
      </c>
      <c r="V16" s="423"/>
      <c r="W16" s="424">
        <v>12</v>
      </c>
      <c r="X16" s="42"/>
      <c r="Y16" s="430" t="s">
        <v>9</v>
      </c>
      <c r="AF16" s="3"/>
      <c r="AG16" s="3"/>
      <c r="AH16" s="3"/>
      <c r="AI16" s="3"/>
      <c r="AJ16" s="3"/>
      <c r="AK16" s="3"/>
      <c r="AL16" s="3"/>
      <c r="AM16" s="3"/>
      <c r="AN16" s="3"/>
      <c r="AO16" s="3"/>
    </row>
    <row r="17" spans="2:41" ht="13.5" customHeight="1" x14ac:dyDescent="0.25">
      <c r="B17" s="20"/>
      <c r="C17" s="179"/>
      <c r="D17" s="184" t="s">
        <v>22</v>
      </c>
      <c r="E17" s="184"/>
      <c r="F17" s="191">
        <v>9</v>
      </c>
      <c r="G17" s="368" t="s">
        <v>158</v>
      </c>
      <c r="H17" s="369">
        <f>VLOOKUP(F$16,salaristabellen,22,FALSE)</f>
        <v>15</v>
      </c>
      <c r="I17" s="186"/>
      <c r="J17" s="24"/>
      <c r="K17" s="42"/>
      <c r="L17" s="422" t="str">
        <f t="shared" si="5"/>
        <v>LB</v>
      </c>
      <c r="M17" s="423">
        <f t="shared" si="0"/>
        <v>20</v>
      </c>
      <c r="N17" s="423"/>
      <c r="O17" s="423" t="str">
        <f t="shared" si="1"/>
        <v>LA</v>
      </c>
      <c r="P17" s="423">
        <f t="shared" si="6"/>
        <v>22</v>
      </c>
      <c r="Q17" s="423"/>
      <c r="R17" s="425">
        <f t="shared" si="2"/>
        <v>69888</v>
      </c>
      <c r="S17" s="425">
        <f t="shared" si="3"/>
        <v>63609.600000000006</v>
      </c>
      <c r="T17" s="423"/>
      <c r="U17" s="425">
        <f t="shared" si="4"/>
        <v>6278.3999999999942</v>
      </c>
      <c r="V17" s="423"/>
      <c r="W17" s="424">
        <v>13</v>
      </c>
      <c r="X17" s="42"/>
      <c r="Y17" s="430" t="s">
        <v>10</v>
      </c>
      <c r="AF17" s="3"/>
      <c r="AG17" s="3"/>
      <c r="AH17" s="3"/>
      <c r="AI17" s="3"/>
      <c r="AJ17" s="3"/>
      <c r="AK17" s="3"/>
      <c r="AL17" s="3"/>
      <c r="AM17" s="3"/>
      <c r="AN17" s="3"/>
      <c r="AO17" s="3"/>
    </row>
    <row r="18" spans="2:41" ht="13.5" customHeight="1" x14ac:dyDescent="0.25">
      <c r="B18" s="20"/>
      <c r="C18" s="179"/>
      <c r="D18" s="184" t="s">
        <v>24</v>
      </c>
      <c r="E18" s="184"/>
      <c r="F18" s="389">
        <f>VLOOKUP(F16,salaristabellen,IF(F17&gt;15,16,F17+1),FALSE)</f>
        <v>2785</v>
      </c>
      <c r="G18" s="390"/>
      <c r="H18" s="391"/>
      <c r="I18" s="186"/>
      <c r="J18" s="24"/>
      <c r="K18" s="42"/>
      <c r="L18" s="422" t="str">
        <f t="shared" si="5"/>
        <v>LB</v>
      </c>
      <c r="M18" s="423">
        <f t="shared" si="0"/>
        <v>21</v>
      </c>
      <c r="N18" s="423"/>
      <c r="O18" s="423" t="str">
        <f t="shared" si="1"/>
        <v>LA</v>
      </c>
      <c r="P18" s="423">
        <f t="shared" si="6"/>
        <v>23</v>
      </c>
      <c r="Q18" s="423"/>
      <c r="R18" s="425">
        <f t="shared" si="2"/>
        <v>69888</v>
      </c>
      <c r="S18" s="425">
        <f t="shared" si="3"/>
        <v>63609.600000000006</v>
      </c>
      <c r="T18" s="423"/>
      <c r="U18" s="425">
        <f t="shared" si="4"/>
        <v>6278.3999999999942</v>
      </c>
      <c r="V18" s="423"/>
      <c r="W18" s="424">
        <v>14</v>
      </c>
      <c r="X18" s="42"/>
      <c r="Y18" s="430" t="s">
        <v>11</v>
      </c>
      <c r="AF18" s="3"/>
      <c r="AG18" s="3"/>
      <c r="AH18" s="3"/>
      <c r="AI18" s="3"/>
      <c r="AJ18" s="3"/>
      <c r="AK18" s="3"/>
      <c r="AL18" s="3"/>
      <c r="AM18" s="3"/>
      <c r="AN18" s="3"/>
      <c r="AO18" s="3"/>
    </row>
    <row r="19" spans="2:41" ht="13.5" customHeight="1" x14ac:dyDescent="0.25">
      <c r="B19" s="20"/>
      <c r="C19" s="179"/>
      <c r="D19" s="184" t="s">
        <v>292</v>
      </c>
      <c r="E19" s="184"/>
      <c r="F19" s="389">
        <f>IF(F17=H17,VLOOKUP(F10,bindingstoelage,3,FALSE),0)+IF(F17=H17,IF(F16="LA",tabellen!C74,IF(F16="LB",tabellen!C75,IF(F16="LC",tabellen!C76,IF(F16="LD",tabellen!C77,0)))),0)+IF(F17=H17,IF(OR(F16="LA",F16="LB"),tabellen!C79,0),0)</f>
        <v>0</v>
      </c>
      <c r="G19" s="390"/>
      <c r="H19" s="391"/>
      <c r="I19" s="186"/>
      <c r="J19" s="24"/>
      <c r="K19" s="42"/>
      <c r="L19" s="422" t="str">
        <f t="shared" si="5"/>
        <v>LB</v>
      </c>
      <c r="M19" s="423">
        <f t="shared" si="0"/>
        <v>22</v>
      </c>
      <c r="N19" s="423"/>
      <c r="O19" s="423" t="str">
        <f t="shared" si="1"/>
        <v>LA</v>
      </c>
      <c r="P19" s="423">
        <f t="shared" si="6"/>
        <v>24</v>
      </c>
      <c r="Q19" s="423"/>
      <c r="R19" s="425">
        <f t="shared" si="2"/>
        <v>69888</v>
      </c>
      <c r="S19" s="425">
        <f t="shared" si="3"/>
        <v>63609.600000000006</v>
      </c>
      <c r="T19" s="423"/>
      <c r="U19" s="425">
        <f t="shared" si="4"/>
        <v>6278.3999999999942</v>
      </c>
      <c r="V19" s="423"/>
      <c r="W19" s="424">
        <v>15</v>
      </c>
      <c r="X19" s="42"/>
      <c r="Y19" s="430" t="s">
        <v>12</v>
      </c>
      <c r="AF19" s="3"/>
      <c r="AG19" s="3"/>
      <c r="AH19" s="3"/>
      <c r="AI19" s="3"/>
      <c r="AJ19" s="3"/>
      <c r="AK19" s="3"/>
      <c r="AL19" s="3"/>
      <c r="AM19" s="3"/>
      <c r="AN19" s="3"/>
      <c r="AO19" s="3"/>
    </row>
    <row r="20" spans="2:41" ht="13.5" customHeight="1" x14ac:dyDescent="0.25">
      <c r="B20" s="20"/>
      <c r="C20" s="179"/>
      <c r="D20" s="195" t="s">
        <v>25</v>
      </c>
      <c r="E20" s="184"/>
      <c r="F20" s="370">
        <v>1</v>
      </c>
      <c r="G20" s="368"/>
      <c r="H20" s="369"/>
      <c r="I20" s="186"/>
      <c r="J20" s="24"/>
      <c r="K20" s="42"/>
      <c r="L20" s="422" t="str">
        <f t="shared" si="5"/>
        <v>LB</v>
      </c>
      <c r="M20" s="423">
        <f t="shared" si="0"/>
        <v>23</v>
      </c>
      <c r="N20" s="423"/>
      <c r="O20" s="423" t="str">
        <f t="shared" si="1"/>
        <v>LA</v>
      </c>
      <c r="P20" s="423">
        <f t="shared" si="6"/>
        <v>25</v>
      </c>
      <c r="Q20" s="423"/>
      <c r="R20" s="425">
        <f t="shared" si="2"/>
        <v>69888</v>
      </c>
      <c r="S20" s="425">
        <f t="shared" si="3"/>
        <v>63609.600000000006</v>
      </c>
      <c r="T20" s="423"/>
      <c r="U20" s="425">
        <f t="shared" si="4"/>
        <v>6278.3999999999942</v>
      </c>
      <c r="V20" s="423"/>
      <c r="W20" s="424">
        <v>16</v>
      </c>
      <c r="X20" s="42"/>
      <c r="Y20" s="430" t="s">
        <v>13</v>
      </c>
      <c r="AF20" s="3"/>
      <c r="AG20" s="3"/>
      <c r="AH20" s="3"/>
      <c r="AI20" s="3"/>
      <c r="AJ20" s="3"/>
      <c r="AK20" s="3"/>
      <c r="AL20" s="3"/>
      <c r="AM20" s="3"/>
      <c r="AN20" s="3"/>
      <c r="AO20" s="3"/>
    </row>
    <row r="21" spans="2:41" ht="13.5" customHeight="1" x14ac:dyDescent="0.25">
      <c r="B21" s="20"/>
      <c r="C21" s="179"/>
      <c r="D21" s="184" t="s">
        <v>26</v>
      </c>
      <c r="E21" s="184"/>
      <c r="F21" s="330">
        <f>ROUND(+(F18+F19)*F20,2)</f>
        <v>2785</v>
      </c>
      <c r="G21" s="368"/>
      <c r="H21" s="369"/>
      <c r="I21" s="186"/>
      <c r="J21" s="24"/>
      <c r="K21" s="42"/>
      <c r="L21" s="422" t="str">
        <f t="shared" si="5"/>
        <v>LB</v>
      </c>
      <c r="M21" s="423">
        <f t="shared" si="0"/>
        <v>24</v>
      </c>
      <c r="N21" s="423"/>
      <c r="O21" s="423" t="str">
        <f t="shared" si="1"/>
        <v>LA</v>
      </c>
      <c r="P21" s="423">
        <f t="shared" si="6"/>
        <v>26</v>
      </c>
      <c r="Q21" s="423"/>
      <c r="R21" s="425">
        <f t="shared" si="2"/>
        <v>69888</v>
      </c>
      <c r="S21" s="425">
        <f t="shared" si="3"/>
        <v>63609.600000000006</v>
      </c>
      <c r="T21" s="423"/>
      <c r="U21" s="425">
        <f t="shared" si="4"/>
        <v>6278.3999999999942</v>
      </c>
      <c r="V21" s="423"/>
      <c r="W21" s="424">
        <v>17</v>
      </c>
      <c r="X21" s="42"/>
      <c r="Y21" s="430" t="s">
        <v>14</v>
      </c>
      <c r="AF21" s="3"/>
      <c r="AG21" s="3"/>
      <c r="AH21" s="3"/>
      <c r="AI21" s="3"/>
      <c r="AJ21" s="3"/>
      <c r="AK21" s="3"/>
      <c r="AL21" s="3"/>
      <c r="AM21" s="3"/>
      <c r="AN21" s="3"/>
      <c r="AO21" s="3"/>
    </row>
    <row r="22" spans="2:41" ht="13.5" customHeight="1" x14ac:dyDescent="0.25">
      <c r="B22" s="20"/>
      <c r="C22" s="179"/>
      <c r="D22" s="184"/>
      <c r="E22" s="184"/>
      <c r="F22" s="329"/>
      <c r="G22" s="368"/>
      <c r="H22" s="369"/>
      <c r="I22" s="186"/>
      <c r="J22" s="24"/>
      <c r="K22" s="42"/>
      <c r="L22" s="422" t="str">
        <f t="shared" si="5"/>
        <v>LB</v>
      </c>
      <c r="M22" s="423">
        <f t="shared" si="0"/>
        <v>25</v>
      </c>
      <c r="N22" s="423"/>
      <c r="O22" s="423" t="str">
        <f t="shared" si="1"/>
        <v>LA</v>
      </c>
      <c r="P22" s="423">
        <f t="shared" si="6"/>
        <v>27</v>
      </c>
      <c r="Q22" s="423"/>
      <c r="R22" s="425">
        <f t="shared" si="2"/>
        <v>69888</v>
      </c>
      <c r="S22" s="425">
        <f t="shared" si="3"/>
        <v>63609.600000000006</v>
      </c>
      <c r="T22" s="423"/>
      <c r="U22" s="425">
        <f t="shared" si="4"/>
        <v>6278.3999999999942</v>
      </c>
      <c r="V22" s="423"/>
      <c r="W22" s="424">
        <v>18</v>
      </c>
      <c r="X22" s="42"/>
      <c r="Y22" s="430" t="s">
        <v>0</v>
      </c>
      <c r="AF22" s="3"/>
      <c r="AG22" s="3"/>
      <c r="AH22" s="3"/>
      <c r="AI22" s="3"/>
      <c r="AJ22" s="3"/>
      <c r="AK22" s="3"/>
      <c r="AL22" s="3"/>
      <c r="AM22" s="3"/>
      <c r="AN22" s="3"/>
      <c r="AO22" s="3"/>
    </row>
    <row r="23" spans="2:41" ht="13.5" customHeight="1" x14ac:dyDescent="0.25">
      <c r="B23" s="20"/>
      <c r="C23" s="179"/>
      <c r="D23" s="195" t="s">
        <v>159</v>
      </c>
      <c r="E23" s="184"/>
      <c r="F23" s="191">
        <v>45</v>
      </c>
      <c r="G23" s="368"/>
      <c r="H23" s="369"/>
      <c r="I23" s="186"/>
      <c r="J23" s="24"/>
      <c r="K23" s="42"/>
      <c r="L23" s="422" t="str">
        <f t="shared" si="5"/>
        <v>LB</v>
      </c>
      <c r="M23" s="423">
        <f t="shared" si="0"/>
        <v>26</v>
      </c>
      <c r="N23" s="423"/>
      <c r="O23" s="423" t="str">
        <f t="shared" si="1"/>
        <v>LA</v>
      </c>
      <c r="P23" s="423">
        <f t="shared" si="6"/>
        <v>28</v>
      </c>
      <c r="Q23" s="423"/>
      <c r="R23" s="425">
        <f t="shared" si="2"/>
        <v>69888</v>
      </c>
      <c r="S23" s="425">
        <f t="shared" si="3"/>
        <v>63609.600000000006</v>
      </c>
      <c r="T23" s="423"/>
      <c r="U23" s="425">
        <f t="shared" si="4"/>
        <v>6278.3999999999942</v>
      </c>
      <c r="V23" s="423"/>
      <c r="W23" s="424">
        <v>19</v>
      </c>
      <c r="X23" s="42"/>
      <c r="Y23" s="430" t="s">
        <v>15</v>
      </c>
      <c r="AF23" s="3"/>
      <c r="AG23" s="3"/>
      <c r="AH23" s="3"/>
      <c r="AI23" s="3"/>
      <c r="AJ23" s="3"/>
      <c r="AK23" s="3"/>
      <c r="AL23" s="3"/>
      <c r="AM23" s="3"/>
      <c r="AN23" s="3"/>
      <c r="AO23" s="3"/>
    </row>
    <row r="24" spans="2:41" ht="13.5" customHeight="1" x14ac:dyDescent="0.25">
      <c r="B24" s="20"/>
      <c r="C24" s="179"/>
      <c r="D24" s="184" t="s">
        <v>160</v>
      </c>
      <c r="E24" s="184"/>
      <c r="F24" s="191">
        <v>65</v>
      </c>
      <c r="G24" s="368"/>
      <c r="H24" s="369"/>
      <c r="I24" s="186"/>
      <c r="J24" s="24"/>
      <c r="K24" s="42"/>
      <c r="L24" s="422" t="str">
        <f t="shared" si="5"/>
        <v>LB</v>
      </c>
      <c r="M24" s="423">
        <f t="shared" si="0"/>
        <v>27</v>
      </c>
      <c r="N24" s="423"/>
      <c r="O24" s="423" t="str">
        <f t="shared" si="1"/>
        <v>LA</v>
      </c>
      <c r="P24" s="423">
        <f t="shared" si="6"/>
        <v>29</v>
      </c>
      <c r="Q24" s="423"/>
      <c r="R24" s="425">
        <f t="shared" si="2"/>
        <v>0</v>
      </c>
      <c r="S24" s="425">
        <f t="shared" si="3"/>
        <v>0</v>
      </c>
      <c r="T24" s="423"/>
      <c r="U24" s="425">
        <f t="shared" si="4"/>
        <v>0</v>
      </c>
      <c r="V24" s="423"/>
      <c r="W24" s="424">
        <v>20</v>
      </c>
      <c r="X24" s="42"/>
      <c r="Y24" s="430" t="s">
        <v>16</v>
      </c>
      <c r="AF24" s="3"/>
      <c r="AG24" s="3"/>
      <c r="AH24" s="3"/>
      <c r="AI24" s="3"/>
      <c r="AJ24" s="3"/>
      <c r="AK24" s="3"/>
      <c r="AL24" s="3"/>
      <c r="AM24" s="3"/>
      <c r="AN24" s="3"/>
      <c r="AO24" s="3"/>
    </row>
    <row r="25" spans="2:41" ht="13.5" customHeight="1" x14ac:dyDescent="0.25">
      <c r="B25" s="20"/>
      <c r="C25" s="229"/>
      <c r="D25" s="230"/>
      <c r="E25" s="230"/>
      <c r="F25" s="392"/>
      <c r="G25" s="393"/>
      <c r="H25" s="394"/>
      <c r="I25" s="263"/>
      <c r="J25" s="24"/>
      <c r="K25" s="42"/>
      <c r="L25" s="422" t="str">
        <f t="shared" si="5"/>
        <v>LB</v>
      </c>
      <c r="M25" s="423">
        <f t="shared" si="0"/>
        <v>28</v>
      </c>
      <c r="N25" s="423"/>
      <c r="O25" s="423" t="str">
        <f t="shared" si="1"/>
        <v>LA</v>
      </c>
      <c r="P25" s="423">
        <f t="shared" si="6"/>
        <v>30</v>
      </c>
      <c r="Q25" s="423"/>
      <c r="R25" s="425">
        <f t="shared" si="2"/>
        <v>0</v>
      </c>
      <c r="S25" s="425">
        <f t="shared" si="3"/>
        <v>0</v>
      </c>
      <c r="T25" s="423"/>
      <c r="U25" s="425">
        <f t="shared" si="4"/>
        <v>0</v>
      </c>
      <c r="V25" s="423"/>
      <c r="W25" s="424">
        <v>21</v>
      </c>
      <c r="X25" s="42"/>
      <c r="Y25" s="430" t="s">
        <v>17</v>
      </c>
      <c r="AF25" s="3"/>
      <c r="AG25" s="3"/>
      <c r="AH25" s="3"/>
      <c r="AI25" s="3"/>
      <c r="AJ25" s="3"/>
      <c r="AK25" s="3"/>
      <c r="AL25" s="3"/>
      <c r="AM25" s="3"/>
      <c r="AN25" s="3"/>
      <c r="AO25" s="3"/>
    </row>
    <row r="26" spans="2:41" ht="13.5" customHeight="1" x14ac:dyDescent="0.25">
      <c r="B26" s="20"/>
      <c r="C26" s="21"/>
      <c r="D26" s="21"/>
      <c r="E26" s="21"/>
      <c r="F26" s="31"/>
      <c r="G26" s="171"/>
      <c r="H26" s="170"/>
      <c r="I26" s="21"/>
      <c r="J26" s="24"/>
      <c r="K26" s="42"/>
      <c r="L26" s="422" t="str">
        <f t="shared" si="5"/>
        <v>LB</v>
      </c>
      <c r="M26" s="423">
        <f t="shared" si="0"/>
        <v>29</v>
      </c>
      <c r="N26" s="423"/>
      <c r="O26" s="423" t="str">
        <f t="shared" si="1"/>
        <v>LA</v>
      </c>
      <c r="P26" s="423">
        <f t="shared" si="6"/>
        <v>31</v>
      </c>
      <c r="Q26" s="423"/>
      <c r="R26" s="425">
        <f t="shared" si="2"/>
        <v>0</v>
      </c>
      <c r="S26" s="425">
        <f t="shared" si="3"/>
        <v>0</v>
      </c>
      <c r="T26" s="423"/>
      <c r="U26" s="425">
        <f t="shared" si="4"/>
        <v>0</v>
      </c>
      <c r="V26" s="423"/>
      <c r="W26" s="424">
        <v>22</v>
      </c>
      <c r="X26" s="42"/>
      <c r="Y26" s="430" t="s">
        <v>18</v>
      </c>
      <c r="AF26" s="3"/>
      <c r="AG26" s="3"/>
      <c r="AH26" s="3"/>
      <c r="AI26" s="3"/>
      <c r="AJ26" s="3"/>
      <c r="AK26" s="3"/>
      <c r="AL26" s="3"/>
      <c r="AM26" s="3"/>
      <c r="AN26" s="3"/>
      <c r="AO26" s="3"/>
    </row>
    <row r="27" spans="2:41" ht="13.5" customHeight="1" x14ac:dyDescent="0.25">
      <c r="B27" s="20"/>
      <c r="C27" s="172"/>
      <c r="D27" s="173"/>
      <c r="E27" s="173"/>
      <c r="F27" s="386"/>
      <c r="G27" s="395"/>
      <c r="H27" s="396"/>
      <c r="I27" s="178"/>
      <c r="J27" s="24"/>
      <c r="K27" s="42"/>
      <c r="L27" s="422" t="str">
        <f t="shared" si="5"/>
        <v>LB</v>
      </c>
      <c r="M27" s="423">
        <f t="shared" si="0"/>
        <v>30</v>
      </c>
      <c r="N27" s="423"/>
      <c r="O27" s="423" t="str">
        <f t="shared" si="1"/>
        <v>LA</v>
      </c>
      <c r="P27" s="423">
        <f t="shared" si="6"/>
        <v>32</v>
      </c>
      <c r="Q27" s="423"/>
      <c r="R27" s="425">
        <f t="shared" si="2"/>
        <v>0</v>
      </c>
      <c r="S27" s="425">
        <f t="shared" si="3"/>
        <v>0</v>
      </c>
      <c r="T27" s="423"/>
      <c r="U27" s="425">
        <f t="shared" si="4"/>
        <v>0</v>
      </c>
      <c r="V27" s="423"/>
      <c r="W27" s="424">
        <v>23</v>
      </c>
      <c r="X27" s="42"/>
      <c r="Y27" s="430" t="s">
        <v>19</v>
      </c>
      <c r="AF27" s="3"/>
      <c r="AG27" s="3"/>
      <c r="AH27" s="3"/>
      <c r="AI27" s="3"/>
      <c r="AJ27" s="3"/>
      <c r="AK27" s="3"/>
      <c r="AL27" s="3"/>
      <c r="AM27" s="3"/>
      <c r="AN27" s="3"/>
      <c r="AO27" s="3"/>
    </row>
    <row r="28" spans="2:41" ht="13.5" customHeight="1" x14ac:dyDescent="0.25">
      <c r="B28" s="20"/>
      <c r="C28" s="179"/>
      <c r="D28" s="180" t="s">
        <v>161</v>
      </c>
      <c r="E28" s="184"/>
      <c r="F28" s="183"/>
      <c r="G28" s="368"/>
      <c r="H28" s="369"/>
      <c r="I28" s="186"/>
      <c r="J28" s="24"/>
      <c r="K28" s="42"/>
      <c r="L28" s="422" t="str">
        <f t="shared" si="5"/>
        <v>LB</v>
      </c>
      <c r="M28" s="423">
        <f t="shared" si="0"/>
        <v>31</v>
      </c>
      <c r="N28" s="423"/>
      <c r="O28" s="423" t="str">
        <f t="shared" si="1"/>
        <v>LA</v>
      </c>
      <c r="P28" s="423">
        <f t="shared" si="6"/>
        <v>33</v>
      </c>
      <c r="Q28" s="423"/>
      <c r="R28" s="425">
        <f t="shared" si="2"/>
        <v>0</v>
      </c>
      <c r="S28" s="425">
        <f t="shared" si="3"/>
        <v>0</v>
      </c>
      <c r="T28" s="423"/>
      <c r="U28" s="425">
        <f t="shared" si="4"/>
        <v>0</v>
      </c>
      <c r="V28" s="423"/>
      <c r="W28" s="424">
        <v>24</v>
      </c>
      <c r="X28" s="42"/>
      <c r="Y28" s="430" t="s">
        <v>20</v>
      </c>
      <c r="AF28" s="3"/>
      <c r="AG28" s="3"/>
      <c r="AH28" s="3"/>
      <c r="AI28" s="3"/>
      <c r="AJ28" s="3"/>
      <c r="AK28" s="3"/>
      <c r="AL28" s="3"/>
      <c r="AM28" s="3"/>
      <c r="AN28" s="3"/>
      <c r="AO28" s="3"/>
    </row>
    <row r="29" spans="2:41" ht="13.5" customHeight="1" x14ac:dyDescent="0.25">
      <c r="B29" s="20"/>
      <c r="C29" s="179"/>
      <c r="D29" s="195"/>
      <c r="E29" s="184"/>
      <c r="F29" s="183"/>
      <c r="G29" s="368"/>
      <c r="H29" s="369"/>
      <c r="I29" s="186"/>
      <c r="J29" s="24"/>
      <c r="K29" s="42"/>
      <c r="L29" s="422" t="str">
        <f t="shared" si="5"/>
        <v>LB</v>
      </c>
      <c r="M29" s="423">
        <f t="shared" si="0"/>
        <v>32</v>
      </c>
      <c r="N29" s="423"/>
      <c r="O29" s="423" t="str">
        <f t="shared" si="1"/>
        <v>LA</v>
      </c>
      <c r="P29" s="423">
        <f t="shared" si="6"/>
        <v>34</v>
      </c>
      <c r="Q29" s="423"/>
      <c r="R29" s="425">
        <f t="shared" si="2"/>
        <v>0</v>
      </c>
      <c r="S29" s="425">
        <f t="shared" si="3"/>
        <v>0</v>
      </c>
      <c r="T29" s="423"/>
      <c r="U29" s="425">
        <f t="shared" si="4"/>
        <v>0</v>
      </c>
      <c r="V29" s="423"/>
      <c r="W29" s="424">
        <v>25</v>
      </c>
      <c r="X29" s="42"/>
      <c r="Y29" s="430">
        <v>1</v>
      </c>
      <c r="AF29" s="3"/>
      <c r="AG29" s="3"/>
      <c r="AH29" s="3"/>
      <c r="AI29" s="3"/>
      <c r="AJ29" s="3"/>
      <c r="AK29" s="3"/>
      <c r="AL29" s="3"/>
      <c r="AM29" s="3"/>
      <c r="AN29" s="3"/>
      <c r="AO29" s="3"/>
    </row>
    <row r="30" spans="2:41" ht="13.5" customHeight="1" x14ac:dyDescent="0.25">
      <c r="B30" s="20"/>
      <c r="C30" s="179"/>
      <c r="D30" s="184" t="s">
        <v>21</v>
      </c>
      <c r="E30" s="184"/>
      <c r="F30" s="388" t="s">
        <v>15</v>
      </c>
      <c r="G30" s="368"/>
      <c r="H30" s="369"/>
      <c r="I30" s="186"/>
      <c r="J30" s="24"/>
      <c r="K30" s="42"/>
      <c r="L30" s="422" t="str">
        <f t="shared" si="5"/>
        <v>LB</v>
      </c>
      <c r="M30" s="423">
        <f t="shared" si="0"/>
        <v>33</v>
      </c>
      <c r="N30" s="423"/>
      <c r="O30" s="423" t="str">
        <f t="shared" si="1"/>
        <v>LA</v>
      </c>
      <c r="P30" s="423">
        <f t="shared" si="6"/>
        <v>35</v>
      </c>
      <c r="Q30" s="423"/>
      <c r="R30" s="425">
        <f t="shared" si="2"/>
        <v>0</v>
      </c>
      <c r="S30" s="425">
        <f t="shared" si="3"/>
        <v>0</v>
      </c>
      <c r="T30" s="423"/>
      <c r="U30" s="425">
        <f t="shared" ref="U30" si="7">+R30-S30</f>
        <v>0</v>
      </c>
      <c r="V30" s="423"/>
      <c r="W30" s="424">
        <v>26</v>
      </c>
      <c r="X30" s="42"/>
      <c r="Y30" s="430"/>
      <c r="AF30" s="3"/>
      <c r="AG30" s="3"/>
      <c r="AH30" s="3"/>
      <c r="AI30" s="3"/>
      <c r="AJ30" s="3"/>
      <c r="AK30" s="3"/>
      <c r="AL30" s="3"/>
      <c r="AM30" s="3"/>
      <c r="AN30" s="3"/>
      <c r="AO30" s="3"/>
    </row>
    <row r="31" spans="2:41" ht="13.5" customHeight="1" x14ac:dyDescent="0.25">
      <c r="B31" s="20"/>
      <c r="C31" s="179"/>
      <c r="D31" s="185" t="s">
        <v>22</v>
      </c>
      <c r="E31" s="184"/>
      <c r="F31" s="191">
        <v>7</v>
      </c>
      <c r="G31" s="368" t="s">
        <v>158</v>
      </c>
      <c r="H31" s="369">
        <f>VLOOKUP(F30,salaristabellen,22,FALSE)</f>
        <v>15</v>
      </c>
      <c r="I31" s="186"/>
      <c r="J31" s="24"/>
      <c r="K31" s="410"/>
      <c r="L31" s="422" t="str">
        <f t="shared" si="5"/>
        <v>LB</v>
      </c>
      <c r="M31" s="423">
        <f t="shared" si="0"/>
        <v>34</v>
      </c>
      <c r="N31" s="423"/>
      <c r="O31" s="423" t="str">
        <f t="shared" si="1"/>
        <v>LA</v>
      </c>
      <c r="P31" s="423">
        <f t="shared" si="6"/>
        <v>36</v>
      </c>
      <c r="Q31" s="423"/>
      <c r="R31" s="425">
        <f t="shared" si="2"/>
        <v>0</v>
      </c>
      <c r="S31" s="425">
        <f t="shared" si="3"/>
        <v>0</v>
      </c>
      <c r="T31" s="423"/>
      <c r="U31" s="425">
        <f t="shared" si="4"/>
        <v>0</v>
      </c>
      <c r="V31" s="423"/>
      <c r="W31" s="424">
        <v>27</v>
      </c>
      <c r="X31" s="410"/>
      <c r="Y31" s="430">
        <v>3</v>
      </c>
      <c r="Z31" s="3"/>
      <c r="AA31" s="3"/>
      <c r="AF31" s="3"/>
      <c r="AG31" s="3"/>
      <c r="AH31" s="3"/>
      <c r="AI31" s="3"/>
      <c r="AJ31" s="3"/>
      <c r="AK31" s="3"/>
      <c r="AL31" s="3"/>
      <c r="AM31" s="3"/>
      <c r="AN31" s="3"/>
      <c r="AO31" s="3"/>
    </row>
    <row r="32" spans="2:41" ht="13.5" customHeight="1" x14ac:dyDescent="0.25">
      <c r="B32" s="20"/>
      <c r="C32" s="179"/>
      <c r="D32" s="185" t="s">
        <v>24</v>
      </c>
      <c r="E32" s="184"/>
      <c r="F32" s="309">
        <f>VLOOKUP(F30,salaristabellen,IF(F31&gt;15,16,F31+1),FALSE)</f>
        <v>2804</v>
      </c>
      <c r="G32" s="185"/>
      <c r="H32" s="185"/>
      <c r="I32" s="371"/>
      <c r="J32" s="36"/>
      <c r="K32" s="410"/>
      <c r="L32" s="422" t="str">
        <f t="shared" si="5"/>
        <v>LB</v>
      </c>
      <c r="M32" s="423">
        <f t="shared" si="0"/>
        <v>35</v>
      </c>
      <c r="N32" s="423"/>
      <c r="O32" s="423" t="str">
        <f t="shared" si="1"/>
        <v>LA</v>
      </c>
      <c r="P32" s="423">
        <f t="shared" si="6"/>
        <v>37</v>
      </c>
      <c r="Q32" s="423"/>
      <c r="R32" s="425">
        <f t="shared" si="2"/>
        <v>0</v>
      </c>
      <c r="S32" s="425">
        <f t="shared" si="3"/>
        <v>0</v>
      </c>
      <c r="T32" s="423"/>
      <c r="U32" s="425">
        <f t="shared" si="4"/>
        <v>0</v>
      </c>
      <c r="V32" s="423"/>
      <c r="W32" s="424">
        <v>28</v>
      </c>
      <c r="X32" s="410"/>
      <c r="Y32" s="430">
        <v>4</v>
      </c>
      <c r="Z32" s="3"/>
      <c r="AA32" s="3"/>
      <c r="AF32" s="3"/>
      <c r="AG32" s="3"/>
      <c r="AH32" s="3"/>
      <c r="AI32" s="3"/>
      <c r="AJ32" s="3"/>
      <c r="AK32" s="3"/>
      <c r="AL32" s="3"/>
      <c r="AM32" s="3"/>
      <c r="AN32" s="3"/>
      <c r="AO32" s="3"/>
    </row>
    <row r="33" spans="2:41" ht="13.5" customHeight="1" x14ac:dyDescent="0.25">
      <c r="B33" s="20"/>
      <c r="C33" s="179"/>
      <c r="D33" s="184"/>
      <c r="E33" s="185"/>
      <c r="F33" s="308"/>
      <c r="G33" s="185"/>
      <c r="H33" s="185"/>
      <c r="I33" s="371"/>
      <c r="J33" s="36"/>
      <c r="K33" s="410"/>
      <c r="L33" s="422" t="str">
        <f t="shared" si="5"/>
        <v>LB</v>
      </c>
      <c r="M33" s="423">
        <f t="shared" si="0"/>
        <v>36</v>
      </c>
      <c r="N33" s="423"/>
      <c r="O33" s="423" t="str">
        <f t="shared" si="1"/>
        <v>LA</v>
      </c>
      <c r="P33" s="423">
        <f t="shared" si="6"/>
        <v>38</v>
      </c>
      <c r="Q33" s="423"/>
      <c r="R33" s="425">
        <f t="shared" si="2"/>
        <v>0</v>
      </c>
      <c r="S33" s="425">
        <f t="shared" si="3"/>
        <v>0</v>
      </c>
      <c r="T33" s="423"/>
      <c r="U33" s="425">
        <f t="shared" si="4"/>
        <v>0</v>
      </c>
      <c r="V33" s="423"/>
      <c r="W33" s="424">
        <v>29</v>
      </c>
      <c r="X33" s="410"/>
      <c r="Y33" s="430">
        <v>5</v>
      </c>
      <c r="Z33" s="3"/>
      <c r="AA33" s="3"/>
      <c r="AF33" s="3"/>
      <c r="AG33" s="3"/>
      <c r="AH33" s="3"/>
      <c r="AI33" s="3"/>
      <c r="AJ33" s="3"/>
      <c r="AK33" s="3"/>
      <c r="AL33" s="3"/>
      <c r="AM33" s="3"/>
      <c r="AN33" s="3"/>
      <c r="AO33" s="3"/>
    </row>
    <row r="34" spans="2:41" ht="13.5" customHeight="1" x14ac:dyDescent="0.25">
      <c r="B34" s="20"/>
      <c r="C34" s="179"/>
      <c r="D34" s="195" t="s">
        <v>260</v>
      </c>
      <c r="E34" s="185"/>
      <c r="F34" s="397" t="s">
        <v>129</v>
      </c>
      <c r="G34" s="185"/>
      <c r="H34" s="185"/>
      <c r="I34" s="371"/>
      <c r="J34" s="36"/>
      <c r="K34" s="410"/>
      <c r="L34" s="422" t="str">
        <f t="shared" si="5"/>
        <v>LB</v>
      </c>
      <c r="M34" s="423">
        <f t="shared" si="0"/>
        <v>37</v>
      </c>
      <c r="N34" s="423"/>
      <c r="O34" s="423" t="str">
        <f t="shared" si="1"/>
        <v>LA</v>
      </c>
      <c r="P34" s="423">
        <f t="shared" si="6"/>
        <v>39</v>
      </c>
      <c r="Q34" s="423"/>
      <c r="R34" s="425">
        <f t="shared" si="2"/>
        <v>0</v>
      </c>
      <c r="S34" s="425">
        <f t="shared" si="3"/>
        <v>0</v>
      </c>
      <c r="T34" s="423"/>
      <c r="U34" s="425">
        <f t="shared" si="4"/>
        <v>0</v>
      </c>
      <c r="V34" s="423"/>
      <c r="W34" s="424">
        <v>30</v>
      </c>
      <c r="X34" s="410"/>
      <c r="Y34" s="430">
        <v>6</v>
      </c>
      <c r="Z34" s="3"/>
      <c r="AA34" s="3"/>
      <c r="AF34" s="3"/>
      <c r="AG34" s="3"/>
      <c r="AH34" s="3"/>
      <c r="AI34" s="3"/>
      <c r="AJ34" s="3"/>
      <c r="AK34" s="3"/>
      <c r="AL34" s="3"/>
      <c r="AM34" s="3"/>
      <c r="AN34" s="3"/>
      <c r="AO34" s="3"/>
    </row>
    <row r="35" spans="2:41" ht="13.5" customHeight="1" x14ac:dyDescent="0.25">
      <c r="B35" s="20"/>
      <c r="C35" s="179"/>
      <c r="D35" s="185" t="s">
        <v>162</v>
      </c>
      <c r="E35" s="184"/>
      <c r="F35" s="397">
        <v>0</v>
      </c>
      <c r="G35" s="185"/>
      <c r="H35" s="185"/>
      <c r="I35" s="371"/>
      <c r="J35" s="36"/>
      <c r="K35" s="410"/>
      <c r="L35" s="422" t="str">
        <f t="shared" si="5"/>
        <v>LB</v>
      </c>
      <c r="M35" s="423">
        <f t="shared" si="0"/>
        <v>38</v>
      </c>
      <c r="N35" s="423"/>
      <c r="O35" s="423" t="str">
        <f t="shared" si="1"/>
        <v>LA</v>
      </c>
      <c r="P35" s="423">
        <f t="shared" si="6"/>
        <v>40</v>
      </c>
      <c r="Q35" s="423"/>
      <c r="R35" s="425">
        <f t="shared" si="2"/>
        <v>0</v>
      </c>
      <c r="S35" s="425">
        <f t="shared" si="3"/>
        <v>0</v>
      </c>
      <c r="T35" s="423"/>
      <c r="U35" s="425">
        <f t="shared" si="4"/>
        <v>0</v>
      </c>
      <c r="V35" s="423"/>
      <c r="W35" s="424">
        <v>31</v>
      </c>
      <c r="X35" s="410"/>
      <c r="Y35" s="430">
        <v>7</v>
      </c>
      <c r="Z35" s="3"/>
      <c r="AA35" s="3"/>
    </row>
    <row r="36" spans="2:41" ht="13.5" customHeight="1" x14ac:dyDescent="0.25">
      <c r="B36" s="20"/>
      <c r="C36" s="179"/>
      <c r="D36" s="184" t="s">
        <v>26</v>
      </c>
      <c r="E36" s="184"/>
      <c r="F36" s="398">
        <f>ROUND(IF(F34="ja",F32*F35,F32*F20),2)</f>
        <v>2804</v>
      </c>
      <c r="G36" s="185"/>
      <c r="H36" s="185"/>
      <c r="I36" s="371"/>
      <c r="J36" s="36"/>
      <c r="K36" s="410"/>
      <c r="L36" s="422" t="str">
        <f t="shared" si="5"/>
        <v>LB</v>
      </c>
      <c r="M36" s="423">
        <f t="shared" si="0"/>
        <v>39</v>
      </c>
      <c r="N36" s="423"/>
      <c r="O36" s="423" t="str">
        <f t="shared" si="1"/>
        <v>LA</v>
      </c>
      <c r="P36" s="423">
        <f t="shared" si="6"/>
        <v>41</v>
      </c>
      <c r="Q36" s="423"/>
      <c r="R36" s="425">
        <f t="shared" si="2"/>
        <v>0</v>
      </c>
      <c r="S36" s="425">
        <f t="shared" si="3"/>
        <v>0</v>
      </c>
      <c r="T36" s="423"/>
      <c r="U36" s="425">
        <f t="shared" si="4"/>
        <v>0</v>
      </c>
      <c r="V36" s="423"/>
      <c r="W36" s="424">
        <v>32</v>
      </c>
      <c r="X36" s="410"/>
      <c r="Y36" s="430">
        <v>8</v>
      </c>
      <c r="Z36" s="3"/>
      <c r="AA36" s="3"/>
    </row>
    <row r="37" spans="2:41" ht="13.5" customHeight="1" x14ac:dyDescent="0.25">
      <c r="B37" s="20"/>
      <c r="C37" s="229"/>
      <c r="D37" s="230"/>
      <c r="E37" s="230"/>
      <c r="F37" s="233"/>
      <c r="G37" s="313"/>
      <c r="H37" s="313"/>
      <c r="I37" s="372"/>
      <c r="J37" s="36"/>
      <c r="K37" s="410"/>
      <c r="L37" s="422" t="str">
        <f t="shared" si="5"/>
        <v>LB</v>
      </c>
      <c r="M37" s="423">
        <f t="shared" si="0"/>
        <v>40</v>
      </c>
      <c r="N37" s="423"/>
      <c r="O37" s="423" t="str">
        <f t="shared" si="1"/>
        <v>LA</v>
      </c>
      <c r="P37" s="423">
        <f t="shared" si="6"/>
        <v>42</v>
      </c>
      <c r="Q37" s="423"/>
      <c r="R37" s="425">
        <f t="shared" si="2"/>
        <v>0</v>
      </c>
      <c r="S37" s="425">
        <f t="shared" si="3"/>
        <v>0</v>
      </c>
      <c r="T37" s="423"/>
      <c r="U37" s="425">
        <f t="shared" si="4"/>
        <v>0</v>
      </c>
      <c r="V37" s="423"/>
      <c r="W37" s="424">
        <v>33</v>
      </c>
      <c r="X37" s="410"/>
      <c r="Y37" s="430">
        <v>9</v>
      </c>
      <c r="Z37" s="3"/>
      <c r="AA37" s="3"/>
    </row>
    <row r="38" spans="2:41" ht="13.5" customHeight="1" x14ac:dyDescent="0.25">
      <c r="B38" s="20"/>
      <c r="C38" s="21"/>
      <c r="D38" s="21"/>
      <c r="E38" s="21"/>
      <c r="F38" s="23"/>
      <c r="G38" s="25"/>
      <c r="H38" s="25"/>
      <c r="I38" s="25"/>
      <c r="J38" s="36"/>
      <c r="K38" s="410"/>
      <c r="L38" s="422" t="str">
        <f t="shared" si="5"/>
        <v>LB</v>
      </c>
      <c r="M38" s="423">
        <f t="shared" si="0"/>
        <v>41</v>
      </c>
      <c r="N38" s="423"/>
      <c r="O38" s="423" t="str">
        <f t="shared" si="1"/>
        <v>LA</v>
      </c>
      <c r="P38" s="423">
        <f t="shared" si="6"/>
        <v>43</v>
      </c>
      <c r="Q38" s="423"/>
      <c r="R38" s="425">
        <f t="shared" si="2"/>
        <v>0</v>
      </c>
      <c r="S38" s="425">
        <f t="shared" si="3"/>
        <v>0</v>
      </c>
      <c r="T38" s="423"/>
      <c r="U38" s="425">
        <f t="shared" si="4"/>
        <v>0</v>
      </c>
      <c r="V38" s="423"/>
      <c r="W38" s="424">
        <v>34</v>
      </c>
      <c r="X38" s="410"/>
      <c r="Y38" s="430">
        <v>10</v>
      </c>
      <c r="Z38" s="3"/>
      <c r="AA38" s="3"/>
    </row>
    <row r="39" spans="2:41" ht="13.5" customHeight="1" x14ac:dyDescent="0.25">
      <c r="B39" s="20"/>
      <c r="C39" s="172"/>
      <c r="D39" s="173"/>
      <c r="E39" s="173"/>
      <c r="F39" s="176"/>
      <c r="G39" s="177"/>
      <c r="H39" s="177"/>
      <c r="I39" s="373"/>
      <c r="J39" s="36"/>
      <c r="K39" s="410"/>
      <c r="L39" s="422" t="str">
        <f t="shared" si="5"/>
        <v>LB</v>
      </c>
      <c r="M39" s="423">
        <f t="shared" si="0"/>
        <v>42</v>
      </c>
      <c r="N39" s="423"/>
      <c r="O39" s="423" t="str">
        <f t="shared" si="1"/>
        <v>LA</v>
      </c>
      <c r="P39" s="423">
        <f t="shared" si="6"/>
        <v>44</v>
      </c>
      <c r="Q39" s="423"/>
      <c r="R39" s="425">
        <f t="shared" si="2"/>
        <v>0</v>
      </c>
      <c r="S39" s="425">
        <f t="shared" si="3"/>
        <v>0</v>
      </c>
      <c r="T39" s="423"/>
      <c r="U39" s="425">
        <f t="shared" si="4"/>
        <v>0</v>
      </c>
      <c r="V39" s="423"/>
      <c r="W39" s="424">
        <v>35</v>
      </c>
      <c r="X39" s="410"/>
      <c r="Y39" s="430">
        <v>11</v>
      </c>
      <c r="Z39" s="3"/>
      <c r="AA39" s="3"/>
    </row>
    <row r="40" spans="2:41" ht="13.5" customHeight="1" x14ac:dyDescent="0.25">
      <c r="B40" s="20"/>
      <c r="C40" s="179"/>
      <c r="D40" s="180" t="s">
        <v>262</v>
      </c>
      <c r="E40" s="184"/>
      <c r="F40" s="183"/>
      <c r="G40" s="185"/>
      <c r="H40" s="185"/>
      <c r="I40" s="371"/>
      <c r="J40" s="36"/>
      <c r="K40" s="410"/>
      <c r="L40" s="422" t="str">
        <f t="shared" si="5"/>
        <v>LB</v>
      </c>
      <c r="M40" s="423">
        <f t="shared" si="0"/>
        <v>43</v>
      </c>
      <c r="N40" s="423"/>
      <c r="O40" s="423" t="str">
        <f t="shared" si="1"/>
        <v>LA</v>
      </c>
      <c r="P40" s="423">
        <f t="shared" si="6"/>
        <v>45</v>
      </c>
      <c r="Q40" s="423"/>
      <c r="R40" s="425">
        <f t="shared" si="2"/>
        <v>0</v>
      </c>
      <c r="S40" s="425">
        <f t="shared" si="3"/>
        <v>0</v>
      </c>
      <c r="T40" s="423"/>
      <c r="U40" s="425">
        <f t="shared" si="4"/>
        <v>0</v>
      </c>
      <c r="V40" s="423"/>
      <c r="W40" s="424">
        <v>36</v>
      </c>
      <c r="X40" s="410"/>
      <c r="Y40" s="430">
        <v>12</v>
      </c>
      <c r="Z40" s="3"/>
      <c r="AA40" s="3"/>
    </row>
    <row r="41" spans="2:41" ht="13.5" customHeight="1" x14ac:dyDescent="0.25">
      <c r="B41" s="20"/>
      <c r="C41" s="179"/>
      <c r="D41" s="184"/>
      <c r="E41" s="184"/>
      <c r="F41" s="183"/>
      <c r="G41" s="185"/>
      <c r="H41" s="185"/>
      <c r="I41" s="371"/>
      <c r="J41" s="36"/>
      <c r="K41" s="410"/>
      <c r="L41" s="422" t="str">
        <f t="shared" si="5"/>
        <v>LB</v>
      </c>
      <c r="M41" s="423">
        <f t="shared" si="0"/>
        <v>44</v>
      </c>
      <c r="N41" s="423"/>
      <c r="O41" s="423" t="str">
        <f t="shared" si="1"/>
        <v>LA</v>
      </c>
      <c r="P41" s="423">
        <f t="shared" si="6"/>
        <v>46</v>
      </c>
      <c r="Q41" s="423"/>
      <c r="R41" s="425">
        <f t="shared" si="2"/>
        <v>0</v>
      </c>
      <c r="S41" s="425">
        <f t="shared" si="3"/>
        <v>0</v>
      </c>
      <c r="T41" s="423"/>
      <c r="U41" s="425">
        <f t="shared" si="4"/>
        <v>0</v>
      </c>
      <c r="V41" s="423"/>
      <c r="W41" s="424">
        <v>37</v>
      </c>
      <c r="X41" s="410"/>
      <c r="Y41" s="430">
        <v>13</v>
      </c>
      <c r="Z41" s="3"/>
      <c r="AA41" s="3"/>
    </row>
    <row r="42" spans="2:41" ht="13.5" customHeight="1" x14ac:dyDescent="0.25">
      <c r="B42" s="20"/>
      <c r="C42" s="179"/>
      <c r="D42" s="184" t="s">
        <v>163</v>
      </c>
      <c r="E42" s="184"/>
      <c r="F42" s="330">
        <f>+F36-F21</f>
        <v>19</v>
      </c>
      <c r="G42" s="185"/>
      <c r="H42" s="185"/>
      <c r="I42" s="371"/>
      <c r="J42" s="36"/>
      <c r="K42" s="42"/>
      <c r="L42" s="422" t="str">
        <f t="shared" si="5"/>
        <v>LB</v>
      </c>
      <c r="M42" s="423">
        <f t="shared" si="0"/>
        <v>45</v>
      </c>
      <c r="N42" s="423"/>
      <c r="O42" s="423" t="str">
        <f t="shared" si="1"/>
        <v>LA</v>
      </c>
      <c r="P42" s="423">
        <f t="shared" si="6"/>
        <v>47</v>
      </c>
      <c r="Q42" s="423"/>
      <c r="R42" s="425">
        <f t="shared" si="2"/>
        <v>0</v>
      </c>
      <c r="S42" s="425">
        <f t="shared" si="3"/>
        <v>0</v>
      </c>
      <c r="T42" s="423"/>
      <c r="U42" s="425">
        <f t="shared" si="4"/>
        <v>0</v>
      </c>
      <c r="V42" s="423"/>
      <c r="W42" s="424">
        <v>38</v>
      </c>
      <c r="X42" s="42"/>
      <c r="Y42" s="430">
        <v>14</v>
      </c>
    </row>
    <row r="43" spans="2:41" ht="13.5" customHeight="1" x14ac:dyDescent="0.25">
      <c r="B43" s="20"/>
      <c r="C43" s="179"/>
      <c r="D43" s="184" t="s">
        <v>164</v>
      </c>
      <c r="E43" s="184"/>
      <c r="F43" s="356">
        <f>+tabellen!B72</f>
        <v>0.6</v>
      </c>
      <c r="G43" s="185"/>
      <c r="H43" s="185"/>
      <c r="I43" s="371"/>
      <c r="J43" s="36"/>
      <c r="K43" s="42"/>
      <c r="L43" s="422" t="str">
        <f t="shared" si="5"/>
        <v>LB</v>
      </c>
      <c r="M43" s="423">
        <f t="shared" si="0"/>
        <v>46</v>
      </c>
      <c r="N43" s="423"/>
      <c r="O43" s="423" t="str">
        <f t="shared" si="1"/>
        <v>LA</v>
      </c>
      <c r="P43" s="423">
        <f t="shared" si="6"/>
        <v>48</v>
      </c>
      <c r="Q43" s="423"/>
      <c r="R43" s="425">
        <f t="shared" si="2"/>
        <v>0</v>
      </c>
      <c r="S43" s="425">
        <f t="shared" si="3"/>
        <v>0</v>
      </c>
      <c r="T43" s="423"/>
      <c r="U43" s="425">
        <f t="shared" si="4"/>
        <v>0</v>
      </c>
      <c r="V43" s="423"/>
      <c r="W43" s="424">
        <v>39</v>
      </c>
      <c r="X43" s="42"/>
      <c r="Y43" s="430">
        <v>15</v>
      </c>
    </row>
    <row r="44" spans="2:41" ht="13.5" customHeight="1" x14ac:dyDescent="0.25">
      <c r="B44" s="20"/>
      <c r="C44" s="179"/>
      <c r="D44" s="184" t="s">
        <v>165</v>
      </c>
      <c r="E44" s="184"/>
      <c r="F44" s="330">
        <f>+F42*12*(1+F43)</f>
        <v>364.8</v>
      </c>
      <c r="G44" s="184"/>
      <c r="H44" s="184"/>
      <c r="I44" s="186"/>
      <c r="J44" s="24"/>
      <c r="K44" s="42"/>
      <c r="L44" s="422" t="str">
        <f t="shared" si="5"/>
        <v>LB</v>
      </c>
      <c r="M44" s="423">
        <f t="shared" si="0"/>
        <v>47</v>
      </c>
      <c r="N44" s="423"/>
      <c r="O44" s="423" t="str">
        <f t="shared" si="1"/>
        <v>LA</v>
      </c>
      <c r="P44" s="423">
        <f t="shared" si="6"/>
        <v>49</v>
      </c>
      <c r="Q44" s="423"/>
      <c r="R44" s="425">
        <f t="shared" si="2"/>
        <v>0</v>
      </c>
      <c r="S44" s="425">
        <f t="shared" si="3"/>
        <v>0</v>
      </c>
      <c r="T44" s="423"/>
      <c r="U44" s="425">
        <f t="shared" si="4"/>
        <v>0</v>
      </c>
      <c r="V44" s="423"/>
      <c r="W44" s="424">
        <v>40</v>
      </c>
      <c r="X44" s="42"/>
      <c r="Y44" s="430">
        <v>16</v>
      </c>
    </row>
    <row r="45" spans="2:41" ht="13.5" customHeight="1" x14ac:dyDescent="0.25">
      <c r="B45" s="20"/>
      <c r="C45" s="179"/>
      <c r="D45" s="184" t="s">
        <v>166</v>
      </c>
      <c r="E45" s="184"/>
      <c r="F45" s="374">
        <f>+F24-F23</f>
        <v>20</v>
      </c>
      <c r="G45" s="184"/>
      <c r="H45" s="184"/>
      <c r="I45" s="186"/>
      <c r="J45" s="24"/>
      <c r="K45" s="411"/>
      <c r="L45" s="422" t="str">
        <f t="shared" si="5"/>
        <v>LB</v>
      </c>
      <c r="M45" s="423">
        <f t="shared" si="0"/>
        <v>48</v>
      </c>
      <c r="N45" s="423"/>
      <c r="O45" s="423" t="str">
        <f t="shared" si="1"/>
        <v>LA</v>
      </c>
      <c r="P45" s="423">
        <f t="shared" si="6"/>
        <v>50</v>
      </c>
      <c r="Q45" s="423"/>
      <c r="R45" s="425">
        <f t="shared" si="2"/>
        <v>0</v>
      </c>
      <c r="S45" s="425">
        <f t="shared" si="3"/>
        <v>0</v>
      </c>
      <c r="T45" s="423"/>
      <c r="U45" s="425">
        <f t="shared" si="4"/>
        <v>0</v>
      </c>
      <c r="V45" s="423"/>
      <c r="W45" s="424">
        <v>41</v>
      </c>
      <c r="X45" s="411"/>
      <c r="Y45" s="430" t="s">
        <v>94</v>
      </c>
    </row>
    <row r="46" spans="2:41" s="2" customFormat="1" ht="13.5" customHeight="1" x14ac:dyDescent="0.25">
      <c r="B46" s="20"/>
      <c r="C46" s="179"/>
      <c r="D46" s="184" t="s">
        <v>167</v>
      </c>
      <c r="E46" s="184"/>
      <c r="F46" s="375">
        <f>IF(F34="nee",U52*F20,U52*F35)</f>
        <v>4354.5599999999959</v>
      </c>
      <c r="G46" s="216"/>
      <c r="H46" s="184"/>
      <c r="I46" s="186"/>
      <c r="J46" s="24"/>
      <c r="K46" s="412"/>
      <c r="L46" s="422" t="str">
        <f t="shared" si="5"/>
        <v>LB</v>
      </c>
      <c r="M46" s="423">
        <f t="shared" si="0"/>
        <v>49</v>
      </c>
      <c r="N46" s="423"/>
      <c r="O46" s="423" t="str">
        <f t="shared" si="1"/>
        <v>LA</v>
      </c>
      <c r="P46" s="423">
        <f t="shared" si="6"/>
        <v>51</v>
      </c>
      <c r="Q46" s="423"/>
      <c r="R46" s="425">
        <f t="shared" si="2"/>
        <v>0</v>
      </c>
      <c r="S46" s="425">
        <f t="shared" si="3"/>
        <v>0</v>
      </c>
      <c r="T46" s="423"/>
      <c r="U46" s="425">
        <f t="shared" si="4"/>
        <v>0</v>
      </c>
      <c r="V46" s="423"/>
      <c r="W46" s="424">
        <v>42</v>
      </c>
      <c r="Y46" s="430" t="s">
        <v>95</v>
      </c>
    </row>
    <row r="47" spans="2:41" ht="13.5" customHeight="1" x14ac:dyDescent="0.25">
      <c r="B47" s="20"/>
      <c r="C47" s="179"/>
      <c r="D47" s="195"/>
      <c r="E47" s="184"/>
      <c r="F47" s="399"/>
      <c r="G47" s="216"/>
      <c r="H47" s="184"/>
      <c r="I47" s="400"/>
      <c r="J47" s="134"/>
      <c r="K47" s="411"/>
      <c r="L47" s="422" t="str">
        <f t="shared" si="5"/>
        <v>LB</v>
      </c>
      <c r="M47" s="423">
        <f t="shared" si="0"/>
        <v>50</v>
      </c>
      <c r="N47" s="423"/>
      <c r="O47" s="423" t="str">
        <f t="shared" si="1"/>
        <v>LA</v>
      </c>
      <c r="P47" s="423">
        <f t="shared" si="6"/>
        <v>52</v>
      </c>
      <c r="Q47" s="423"/>
      <c r="R47" s="425">
        <f t="shared" si="2"/>
        <v>0</v>
      </c>
      <c r="S47" s="425">
        <f t="shared" si="3"/>
        <v>0</v>
      </c>
      <c r="T47" s="423"/>
      <c r="U47" s="425">
        <f t="shared" si="4"/>
        <v>0</v>
      </c>
      <c r="V47" s="423"/>
      <c r="W47" s="424">
        <v>43</v>
      </c>
      <c r="Y47" s="430" t="s">
        <v>96</v>
      </c>
    </row>
    <row r="48" spans="2:41" ht="13.5" customHeight="1" x14ac:dyDescent="0.25">
      <c r="B48" s="29"/>
      <c r="C48" s="187"/>
      <c r="D48" s="195" t="s">
        <v>261</v>
      </c>
      <c r="E48" s="195"/>
      <c r="F48" s="376">
        <f>+U51*F20</f>
        <v>87091.199999999924</v>
      </c>
      <c r="G48" s="195"/>
      <c r="H48" s="195"/>
      <c r="I48" s="401"/>
      <c r="J48" s="135"/>
      <c r="K48" s="411"/>
      <c r="L48" s="422" t="str">
        <f t="shared" si="5"/>
        <v>LB</v>
      </c>
      <c r="M48" s="423">
        <f t="shared" si="0"/>
        <v>51</v>
      </c>
      <c r="N48" s="423"/>
      <c r="O48" s="423" t="str">
        <f t="shared" si="1"/>
        <v>LA</v>
      </c>
      <c r="P48" s="423">
        <f t="shared" si="6"/>
        <v>53</v>
      </c>
      <c r="Q48" s="423"/>
      <c r="R48" s="425">
        <f t="shared" si="2"/>
        <v>0</v>
      </c>
      <c r="S48" s="425">
        <f t="shared" si="3"/>
        <v>0</v>
      </c>
      <c r="T48" s="423"/>
      <c r="U48" s="425">
        <f t="shared" si="4"/>
        <v>0</v>
      </c>
      <c r="V48" s="423"/>
      <c r="W48" s="424">
        <v>44</v>
      </c>
      <c r="Y48" s="2"/>
    </row>
    <row r="49" spans="2:23" ht="13.5" customHeight="1" x14ac:dyDescent="0.25">
      <c r="B49" s="20"/>
      <c r="C49" s="229"/>
      <c r="D49" s="230"/>
      <c r="E49" s="230"/>
      <c r="F49" s="233"/>
      <c r="G49" s="230"/>
      <c r="H49" s="230"/>
      <c r="I49" s="402"/>
      <c r="J49" s="134"/>
      <c r="K49" s="411"/>
      <c r="L49" s="422" t="str">
        <f t="shared" si="5"/>
        <v>LB</v>
      </c>
      <c r="M49" s="423">
        <f t="shared" si="0"/>
        <v>52</v>
      </c>
      <c r="N49" s="423"/>
      <c r="O49" s="423" t="str">
        <f t="shared" si="1"/>
        <v>LA</v>
      </c>
      <c r="P49" s="423">
        <f t="shared" si="6"/>
        <v>54</v>
      </c>
      <c r="Q49" s="423"/>
      <c r="R49" s="425">
        <f t="shared" si="2"/>
        <v>0</v>
      </c>
      <c r="S49" s="425">
        <f t="shared" si="3"/>
        <v>0</v>
      </c>
      <c r="T49" s="423"/>
      <c r="U49" s="425">
        <f t="shared" si="4"/>
        <v>0</v>
      </c>
      <c r="V49" s="423"/>
      <c r="W49" s="424">
        <v>45</v>
      </c>
    </row>
    <row r="50" spans="2:23" ht="13.5" customHeight="1" x14ac:dyDescent="0.25">
      <c r="B50" s="20"/>
      <c r="C50" s="21"/>
      <c r="D50" s="21"/>
      <c r="E50" s="21"/>
      <c r="F50" s="23"/>
      <c r="G50" s="21"/>
      <c r="H50" s="21"/>
      <c r="I50" s="47"/>
      <c r="J50" s="134"/>
      <c r="K50" s="411"/>
      <c r="L50" s="422"/>
      <c r="M50" s="423"/>
      <c r="N50" s="423"/>
      <c r="O50" s="423"/>
      <c r="P50" s="423"/>
      <c r="Q50" s="423"/>
      <c r="R50" s="423"/>
      <c r="S50" s="423"/>
      <c r="T50" s="423"/>
      <c r="U50" s="423"/>
      <c r="V50" s="423"/>
      <c r="W50" s="424"/>
    </row>
    <row r="51" spans="2:23" ht="13.5" customHeight="1" x14ac:dyDescent="0.25">
      <c r="B51" s="20"/>
      <c r="C51" s="21"/>
      <c r="D51" s="21"/>
      <c r="E51" s="21"/>
      <c r="F51" s="23"/>
      <c r="G51" s="21"/>
      <c r="H51" s="21"/>
      <c r="I51" s="47"/>
      <c r="J51" s="134"/>
      <c r="K51" s="137"/>
      <c r="L51" s="422"/>
      <c r="M51" s="423"/>
      <c r="N51" s="423"/>
      <c r="O51" s="423"/>
      <c r="P51" s="423"/>
      <c r="Q51" s="423"/>
      <c r="R51" s="423"/>
      <c r="S51" s="423"/>
      <c r="T51" s="423"/>
      <c r="U51" s="425">
        <f>SUM(U4:U49)</f>
        <v>87091.199999999924</v>
      </c>
      <c r="V51" s="423"/>
      <c r="W51" s="424"/>
    </row>
    <row r="52" spans="2:23" ht="13.5" customHeight="1" x14ac:dyDescent="0.25">
      <c r="B52" s="11"/>
      <c r="C52" s="12"/>
      <c r="D52" s="12"/>
      <c r="E52" s="12"/>
      <c r="F52" s="98"/>
      <c r="G52" s="12"/>
      <c r="H52" s="12"/>
      <c r="I52" s="478" t="s">
        <v>320</v>
      </c>
      <c r="J52" s="138"/>
      <c r="K52" s="137"/>
      <c r="L52" s="426"/>
      <c r="M52" s="427"/>
      <c r="N52" s="427"/>
      <c r="O52" s="427"/>
      <c r="P52" s="427"/>
      <c r="Q52" s="427"/>
      <c r="R52" s="427"/>
      <c r="S52" s="427" t="s">
        <v>31</v>
      </c>
      <c r="T52" s="427"/>
      <c r="U52" s="428">
        <f>IF(F45=0,0,+U51/F45)</f>
        <v>4354.5599999999959</v>
      </c>
      <c r="V52" s="427"/>
      <c r="W52" s="429"/>
    </row>
    <row r="53" spans="2:23" ht="13.5" customHeight="1" x14ac:dyDescent="0.25">
      <c r="I53" s="137"/>
      <c r="J53" s="137"/>
      <c r="K53" s="137"/>
    </row>
    <row r="54" spans="2:23" ht="13.5" customHeight="1" x14ac:dyDescent="0.25">
      <c r="I54" s="137"/>
      <c r="J54" s="137"/>
      <c r="L54" s="4"/>
      <c r="M54" s="4"/>
    </row>
    <row r="55" spans="2:23" ht="13.5" customHeight="1" x14ac:dyDescent="0.25">
      <c r="I55" s="137"/>
      <c r="J55" s="137"/>
      <c r="L55" s="4"/>
      <c r="M55" s="4"/>
    </row>
    <row r="56" spans="2:23" ht="13.5" customHeight="1" x14ac:dyDescent="0.25">
      <c r="I56" s="137"/>
      <c r="J56" s="137"/>
      <c r="L56" s="4"/>
      <c r="M56" s="4"/>
    </row>
    <row r="57" spans="2:23" ht="13.5" customHeight="1" x14ac:dyDescent="0.25">
      <c r="I57" s="137"/>
      <c r="J57" s="137"/>
      <c r="L57" s="4"/>
      <c r="M57" s="4"/>
    </row>
    <row r="58" spans="2:23" ht="13.5" customHeight="1" x14ac:dyDescent="0.25">
      <c r="I58" s="137"/>
      <c r="J58" s="137"/>
      <c r="L58" s="4"/>
      <c r="M58" s="4"/>
    </row>
    <row r="59" spans="2:23" ht="13.5" customHeight="1" x14ac:dyDescent="0.25">
      <c r="C59" s="160" t="s">
        <v>77</v>
      </c>
      <c r="I59" s="137"/>
      <c r="J59" s="137"/>
      <c r="L59" s="4"/>
      <c r="M59" s="4"/>
    </row>
    <row r="60" spans="2:23" ht="13.5" customHeight="1" x14ac:dyDescent="0.25">
      <c r="C60" s="160" t="s">
        <v>78</v>
      </c>
      <c r="I60" s="137"/>
      <c r="J60" s="137"/>
      <c r="L60" s="4"/>
      <c r="M60" s="4"/>
    </row>
    <row r="61" spans="2:23" ht="13.5" customHeight="1" x14ac:dyDescent="0.25">
      <c r="C61" s="160" t="s">
        <v>79</v>
      </c>
      <c r="I61" s="137"/>
      <c r="J61" s="137"/>
      <c r="L61" s="130"/>
      <c r="M61" s="130"/>
    </row>
    <row r="62" spans="2:23" ht="13.5" customHeight="1" x14ac:dyDescent="0.25">
      <c r="C62" s="454" t="s">
        <v>293</v>
      </c>
      <c r="I62" s="137"/>
      <c r="J62" s="137"/>
      <c r="L62" s="130"/>
      <c r="M62" s="130"/>
    </row>
    <row r="63" spans="2:23" ht="13.5" customHeight="1" x14ac:dyDescent="0.25">
      <c r="I63" s="137"/>
      <c r="J63" s="137"/>
      <c r="L63" s="4"/>
      <c r="M63" s="4"/>
    </row>
    <row r="64" spans="2:23" ht="13.5" customHeight="1" x14ac:dyDescent="0.25">
      <c r="I64" s="137"/>
      <c r="J64" s="137"/>
      <c r="L64" s="4"/>
      <c r="M64" s="4"/>
    </row>
    <row r="65" spans="9:13" ht="13.5" customHeight="1" x14ac:dyDescent="0.25">
      <c r="I65" s="137"/>
      <c r="J65" s="137"/>
      <c r="L65" s="4"/>
      <c r="M65" s="4"/>
    </row>
    <row r="66" spans="9:13" ht="13.5" customHeight="1" x14ac:dyDescent="0.25">
      <c r="I66" s="137"/>
      <c r="J66" s="137"/>
      <c r="L66" s="4"/>
      <c r="M66" s="4"/>
    </row>
    <row r="67" spans="9:13" ht="13.5" customHeight="1" x14ac:dyDescent="0.25">
      <c r="I67" s="137"/>
      <c r="J67" s="137"/>
      <c r="L67" s="4"/>
      <c r="M67" s="4"/>
    </row>
    <row r="68" spans="9:13" ht="13.5" customHeight="1" x14ac:dyDescent="0.25">
      <c r="I68" s="137"/>
      <c r="J68" s="137"/>
      <c r="L68" s="4"/>
      <c r="M68" s="4"/>
    </row>
    <row r="69" spans="9:13" ht="13.5" customHeight="1" x14ac:dyDescent="0.25">
      <c r="I69" s="137"/>
      <c r="J69" s="137"/>
      <c r="L69" s="4"/>
      <c r="M69" s="4"/>
    </row>
    <row r="70" spans="9:13" ht="13.5" customHeight="1" x14ac:dyDescent="0.25">
      <c r="I70" s="137"/>
      <c r="J70" s="137"/>
      <c r="L70" s="4"/>
      <c r="M70" s="4"/>
    </row>
    <row r="71" spans="9:13" ht="13.5" customHeight="1" x14ac:dyDescent="0.25">
      <c r="I71" s="137"/>
      <c r="J71" s="137"/>
      <c r="L71" s="4"/>
      <c r="M71" s="4"/>
    </row>
    <row r="72" spans="9:13" ht="13.5" customHeight="1" x14ac:dyDescent="0.25">
      <c r="I72" s="137"/>
      <c r="J72" s="137"/>
      <c r="L72" s="4"/>
      <c r="M72" s="4"/>
    </row>
    <row r="73" spans="9:13" ht="13.5" customHeight="1" x14ac:dyDescent="0.25">
      <c r="I73" s="137"/>
      <c r="J73" s="137"/>
      <c r="L73" s="4"/>
      <c r="M73" s="4"/>
    </row>
    <row r="74" spans="9:13" ht="13.5" customHeight="1" x14ac:dyDescent="0.25">
      <c r="I74" s="137"/>
      <c r="J74" s="137"/>
      <c r="L74" s="4"/>
      <c r="M74" s="4"/>
    </row>
    <row r="75" spans="9:13" ht="13.5" customHeight="1" x14ac:dyDescent="0.25">
      <c r="I75" s="137"/>
      <c r="J75" s="137"/>
      <c r="L75" s="4"/>
      <c r="M75" s="4"/>
    </row>
    <row r="76" spans="9:13" ht="13.5" customHeight="1" x14ac:dyDescent="0.25">
      <c r="I76" s="137"/>
      <c r="J76" s="137"/>
      <c r="L76" s="4"/>
      <c r="M76" s="4"/>
    </row>
    <row r="77" spans="9:13" ht="13.5" customHeight="1" x14ac:dyDescent="0.25">
      <c r="I77" s="137"/>
      <c r="J77" s="137"/>
      <c r="L77" s="4"/>
      <c r="M77" s="4"/>
    </row>
    <row r="78" spans="9:13" ht="13.5" customHeight="1" x14ac:dyDescent="0.25">
      <c r="I78" s="137"/>
      <c r="J78" s="137"/>
      <c r="L78" s="4"/>
      <c r="M78" s="4"/>
    </row>
    <row r="79" spans="9:13" ht="13.5" customHeight="1" x14ac:dyDescent="0.25">
      <c r="I79" s="137"/>
      <c r="J79" s="137"/>
      <c r="L79" s="4"/>
      <c r="M79" s="4"/>
    </row>
    <row r="80" spans="9:13" ht="13.5" customHeight="1" x14ac:dyDescent="0.25">
      <c r="I80" s="137"/>
      <c r="J80" s="137"/>
      <c r="L80" s="4"/>
      <c r="M80" s="4"/>
    </row>
    <row r="81" spans="9:13" ht="13.5" customHeight="1" x14ac:dyDescent="0.25">
      <c r="I81" s="137"/>
      <c r="J81" s="137"/>
      <c r="L81" s="4"/>
      <c r="M81" s="4"/>
    </row>
    <row r="82" spans="9:13" ht="13.5" customHeight="1" x14ac:dyDescent="0.25">
      <c r="I82" s="137"/>
      <c r="J82" s="137"/>
      <c r="L82" s="4"/>
      <c r="M82" s="4"/>
    </row>
    <row r="83" spans="9:13" ht="13.5" customHeight="1" x14ac:dyDescent="0.25">
      <c r="I83" s="137"/>
      <c r="J83" s="137"/>
      <c r="L83" s="4"/>
      <c r="M83" s="4"/>
    </row>
    <row r="84" spans="9:13" ht="13.5" customHeight="1" x14ac:dyDescent="0.25">
      <c r="I84" s="137"/>
      <c r="J84" s="137"/>
      <c r="L84" s="4"/>
      <c r="M84" s="4"/>
    </row>
    <row r="85" spans="9:13" ht="13.5" customHeight="1" x14ac:dyDescent="0.25">
      <c r="I85" s="137"/>
      <c r="J85" s="137"/>
      <c r="L85" s="4"/>
      <c r="M85" s="4"/>
    </row>
    <row r="86" spans="9:13" ht="13.5" customHeight="1" x14ac:dyDescent="0.25">
      <c r="I86" s="137"/>
      <c r="J86" s="137"/>
      <c r="L86" s="4"/>
      <c r="M86" s="4"/>
    </row>
    <row r="87" spans="9:13" ht="13.5" customHeight="1" x14ac:dyDescent="0.25">
      <c r="I87" s="137"/>
      <c r="J87" s="137"/>
      <c r="L87" s="4"/>
      <c r="M87" s="4"/>
    </row>
    <row r="88" spans="9:13" ht="13.5" customHeight="1" x14ac:dyDescent="0.25">
      <c r="I88" s="137"/>
      <c r="J88" s="137"/>
      <c r="L88" s="4"/>
      <c r="M88" s="4"/>
    </row>
    <row r="89" spans="9:13" ht="13.5" customHeight="1" x14ac:dyDescent="0.25">
      <c r="I89" s="137"/>
      <c r="J89" s="137"/>
      <c r="L89" s="4"/>
      <c r="M89" s="4"/>
    </row>
    <row r="90" spans="9:13" ht="13.5" customHeight="1" x14ac:dyDescent="0.25">
      <c r="I90" s="137"/>
      <c r="J90" s="137"/>
      <c r="L90" s="4"/>
      <c r="M90" s="4"/>
    </row>
    <row r="91" spans="9:13" ht="13.5" customHeight="1" x14ac:dyDescent="0.25">
      <c r="I91" s="137"/>
      <c r="J91" s="137"/>
      <c r="L91" s="4"/>
      <c r="M91" s="4"/>
    </row>
    <row r="92" spans="9:13" ht="13.5" customHeight="1" x14ac:dyDescent="0.25">
      <c r="I92" s="137"/>
      <c r="J92" s="137"/>
      <c r="L92" s="4"/>
      <c r="M92" s="4"/>
    </row>
    <row r="93" spans="9:13" ht="13.5" customHeight="1" x14ac:dyDescent="0.25">
      <c r="I93" s="137"/>
      <c r="J93" s="137"/>
      <c r="L93" s="4"/>
      <c r="M93" s="4"/>
    </row>
    <row r="94" spans="9:13" ht="13.5" customHeight="1" x14ac:dyDescent="0.25">
      <c r="I94" s="137"/>
      <c r="J94" s="137"/>
      <c r="L94" s="4"/>
      <c r="M94" s="4"/>
    </row>
    <row r="95" spans="9:13" ht="13.5" customHeight="1" x14ac:dyDescent="0.25">
      <c r="I95" s="137"/>
      <c r="J95" s="137"/>
      <c r="L95" s="4"/>
      <c r="M95" s="4"/>
    </row>
    <row r="96" spans="9:13" ht="13.5" customHeight="1" x14ac:dyDescent="0.25">
      <c r="I96" s="137"/>
      <c r="J96" s="137"/>
      <c r="L96" s="4"/>
      <c r="M96" s="4"/>
    </row>
    <row r="97" spans="6:10" ht="13.5" customHeight="1" x14ac:dyDescent="0.25">
      <c r="F97" s="144"/>
      <c r="G97" s="148"/>
      <c r="I97" s="137"/>
      <c r="J97" s="137"/>
    </row>
    <row r="98" spans="6:10" ht="13.5" customHeight="1" x14ac:dyDescent="0.25">
      <c r="F98" s="144"/>
      <c r="G98" s="148"/>
      <c r="I98" s="137"/>
      <c r="J98" s="137"/>
    </row>
    <row r="99" spans="6:10" ht="13.5" customHeight="1" x14ac:dyDescent="0.25">
      <c r="F99" s="144"/>
      <c r="G99" s="148"/>
      <c r="I99" s="137"/>
      <c r="J99" s="137"/>
    </row>
    <row r="100" spans="6:10" ht="13.5" customHeight="1" x14ac:dyDescent="0.25">
      <c r="F100" s="144"/>
      <c r="G100" s="148"/>
      <c r="I100" s="137"/>
      <c r="J100" s="137"/>
    </row>
    <row r="101" spans="6:10" ht="13.5" customHeight="1" x14ac:dyDescent="0.25">
      <c r="F101" s="143"/>
      <c r="G101" s="137"/>
      <c r="I101" s="137"/>
      <c r="J101" s="137"/>
    </row>
    <row r="102" spans="6:10" ht="13.5" customHeight="1" x14ac:dyDescent="0.25">
      <c r="F102" s="144"/>
      <c r="G102" s="137"/>
      <c r="I102" s="137"/>
      <c r="J102" s="137"/>
    </row>
    <row r="103" spans="6:10" ht="13.5" customHeight="1" x14ac:dyDescent="0.25">
      <c r="F103" s="132"/>
      <c r="I103" s="137"/>
      <c r="J103" s="137"/>
    </row>
    <row r="104" spans="6:10" ht="13.5" customHeight="1" x14ac:dyDescent="0.25">
      <c r="I104" s="137"/>
      <c r="J104" s="137"/>
    </row>
    <row r="105" spans="6:10" ht="13.5" customHeight="1" x14ac:dyDescent="0.25">
      <c r="I105" s="137"/>
      <c r="J105" s="137"/>
    </row>
  </sheetData>
  <sheetProtection password="DE55" sheet="1" objects="1" scenarios="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10">
      <formula1>$C$59:$C$62</formula1>
    </dataValidation>
    <dataValidation type="list" allowBlank="1" showInputMessage="1" showErrorMessage="1" sqref="F16 F30">
      <formula1>$Y$2:$Y$47</formula1>
    </dataValidation>
  </dataValidations>
  <hyperlinks>
    <hyperlink ref="I52"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5"/>
  <sheetViews>
    <sheetView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5"/>
      <c r="C2" s="16"/>
      <c r="D2" s="16"/>
      <c r="E2" s="16"/>
      <c r="F2" s="16"/>
      <c r="G2" s="16"/>
      <c r="H2" s="16"/>
      <c r="I2" s="16"/>
      <c r="J2" s="19"/>
    </row>
    <row r="3" spans="2:15" ht="13.5" customHeight="1" x14ac:dyDescent="0.25">
      <c r="B3" s="20"/>
      <c r="C3" s="21"/>
      <c r="D3" s="21"/>
      <c r="E3" s="21"/>
      <c r="F3" s="21"/>
      <c r="G3" s="21"/>
      <c r="H3" s="21"/>
      <c r="I3" s="21"/>
      <c r="J3" s="24"/>
    </row>
    <row r="4" spans="2:15" s="8" customFormat="1" ht="18" customHeight="1" x14ac:dyDescent="0.3">
      <c r="B4" s="38"/>
      <c r="C4" s="103" t="s">
        <v>263</v>
      </c>
      <c r="D4" s="118"/>
      <c r="E4" s="118"/>
      <c r="F4" s="105" t="str">
        <f>tabellen!B3</f>
        <v>2015/2016</v>
      </c>
      <c r="G4" s="103"/>
      <c r="H4" s="118"/>
      <c r="I4" s="118"/>
      <c r="J4" s="44"/>
    </row>
    <row r="5" spans="2:15" ht="13.5" customHeight="1" x14ac:dyDescent="0.25">
      <c r="B5" s="20"/>
      <c r="C5" s="21"/>
      <c r="D5" s="37"/>
      <c r="E5" s="21"/>
      <c r="F5" s="21"/>
      <c r="G5" s="21"/>
      <c r="H5" s="21"/>
      <c r="I5" s="21"/>
      <c r="J5" s="24"/>
    </row>
    <row r="6" spans="2:15" ht="13.5" customHeight="1" x14ac:dyDescent="0.25">
      <c r="B6" s="20"/>
      <c r="C6" s="21"/>
      <c r="D6" s="37"/>
      <c r="E6" s="21"/>
      <c r="F6" s="21"/>
      <c r="G6" s="21"/>
      <c r="H6" s="21"/>
      <c r="I6" s="21"/>
      <c r="J6" s="24"/>
    </row>
    <row r="7" spans="2:15" ht="13.5" customHeight="1" x14ac:dyDescent="0.25">
      <c r="B7" s="20"/>
      <c r="C7" s="172"/>
      <c r="D7" s="264"/>
      <c r="E7" s="173"/>
      <c r="F7" s="173"/>
      <c r="G7" s="173"/>
      <c r="H7" s="173"/>
      <c r="I7" s="178"/>
      <c r="J7" s="24"/>
    </row>
    <row r="8" spans="2:15" ht="13.5" customHeight="1" x14ac:dyDescent="0.25">
      <c r="B8" s="20"/>
      <c r="C8" s="187"/>
      <c r="D8" s="180" t="s">
        <v>170</v>
      </c>
      <c r="E8" s="184"/>
      <c r="F8" s="184"/>
      <c r="G8" s="184"/>
      <c r="H8" s="184"/>
      <c r="I8" s="186"/>
      <c r="J8" s="24"/>
    </row>
    <row r="9" spans="2:15" ht="13.5" customHeight="1" x14ac:dyDescent="0.25">
      <c r="B9" s="20"/>
      <c r="C9" s="187"/>
      <c r="D9" s="195"/>
      <c r="E9" s="184"/>
      <c r="F9" s="184"/>
      <c r="G9" s="184"/>
      <c r="H9" s="184"/>
      <c r="I9" s="186"/>
      <c r="J9" s="24"/>
    </row>
    <row r="10" spans="2:15" ht="13.5" customHeight="1" x14ac:dyDescent="0.25">
      <c r="B10" s="20"/>
      <c r="C10" s="179"/>
      <c r="D10" s="184" t="s">
        <v>127</v>
      </c>
      <c r="E10" s="184"/>
      <c r="F10" s="497" t="s">
        <v>32</v>
      </c>
      <c r="G10" s="497"/>
      <c r="H10" s="184"/>
      <c r="I10" s="186"/>
      <c r="J10" s="24"/>
      <c r="O10" s="5"/>
    </row>
    <row r="11" spans="2:15" ht="13.5" customHeight="1" x14ac:dyDescent="0.25">
      <c r="B11" s="20"/>
      <c r="C11" s="179"/>
      <c r="D11" s="195"/>
      <c r="E11" s="184"/>
      <c r="F11" s="302"/>
      <c r="G11" s="302"/>
      <c r="H11" s="184"/>
      <c r="I11" s="186"/>
      <c r="J11" s="24"/>
      <c r="O11" s="5"/>
    </row>
    <row r="12" spans="2:15" ht="13.5" customHeight="1" x14ac:dyDescent="0.25">
      <c r="B12" s="20"/>
      <c r="C12" s="179"/>
      <c r="D12" s="195" t="s">
        <v>23</v>
      </c>
      <c r="E12" s="184"/>
      <c r="F12" s="184"/>
      <c r="G12" s="184"/>
      <c r="H12" s="184"/>
      <c r="I12" s="186"/>
      <c r="J12" s="24"/>
      <c r="O12" s="5"/>
    </row>
    <row r="13" spans="2:15" ht="13.5" customHeight="1" x14ac:dyDescent="0.25">
      <c r="B13" s="20"/>
      <c r="C13" s="179"/>
      <c r="D13" s="184" t="s">
        <v>21</v>
      </c>
      <c r="E13" s="184"/>
      <c r="F13" s="191" t="s">
        <v>0</v>
      </c>
      <c r="G13" s="184"/>
      <c r="H13" s="184"/>
      <c r="I13" s="186"/>
      <c r="J13" s="24"/>
    </row>
    <row r="14" spans="2:15" ht="13.5" customHeight="1" x14ac:dyDescent="0.25">
      <c r="B14" s="20"/>
      <c r="C14" s="179"/>
      <c r="D14" s="184" t="s">
        <v>22</v>
      </c>
      <c r="E14" s="184"/>
      <c r="F14" s="191">
        <v>7</v>
      </c>
      <c r="G14" s="368" t="s">
        <v>158</v>
      </c>
      <c r="H14" s="369">
        <f>VLOOKUP(F13,salaristabellen,22,FALSE)</f>
        <v>15</v>
      </c>
      <c r="I14" s="186"/>
      <c r="J14" s="24"/>
    </row>
    <row r="15" spans="2:15" ht="13.5" customHeight="1" x14ac:dyDescent="0.25">
      <c r="B15" s="20"/>
      <c r="C15" s="179"/>
      <c r="D15" s="184" t="s">
        <v>24</v>
      </c>
      <c r="E15" s="184"/>
      <c r="F15" s="432">
        <f>VLOOKUP(F13,salaristabellen,F14+1,FALSE)</f>
        <v>2641</v>
      </c>
      <c r="G15" s="184"/>
      <c r="H15" s="184"/>
      <c r="I15" s="186"/>
      <c r="J15" s="24"/>
    </row>
    <row r="16" spans="2:15" ht="13.5" customHeight="1" x14ac:dyDescent="0.25">
      <c r="B16" s="20"/>
      <c r="C16" s="179"/>
      <c r="D16" s="195" t="s">
        <v>25</v>
      </c>
      <c r="E16" s="184"/>
      <c r="F16" s="370">
        <v>1</v>
      </c>
      <c r="G16" s="184"/>
      <c r="H16" s="184"/>
      <c r="I16" s="186"/>
      <c r="J16" s="24"/>
    </row>
    <row r="17" spans="2:13" ht="13.5" customHeight="1" x14ac:dyDescent="0.25">
      <c r="B17" s="20"/>
      <c r="C17" s="179"/>
      <c r="D17" s="184" t="s">
        <v>26</v>
      </c>
      <c r="E17" s="184"/>
      <c r="F17" s="431">
        <f>+F15*F16</f>
        <v>2641</v>
      </c>
      <c r="G17" s="184"/>
      <c r="H17" s="184"/>
      <c r="I17" s="186"/>
      <c r="J17" s="24"/>
    </row>
    <row r="18" spans="2:13" ht="13.5" customHeight="1" x14ac:dyDescent="0.25">
      <c r="B18" s="20"/>
      <c r="C18" s="179"/>
      <c r="D18" s="184"/>
      <c r="E18" s="184"/>
      <c r="F18" s="183"/>
      <c r="G18" s="184"/>
      <c r="H18" s="184"/>
      <c r="I18" s="186"/>
      <c r="J18" s="24"/>
    </row>
    <row r="19" spans="2:13" ht="13.5" customHeight="1" x14ac:dyDescent="0.25">
      <c r="B19" s="20"/>
      <c r="C19" s="179"/>
      <c r="D19" s="195" t="s">
        <v>171</v>
      </c>
      <c r="E19" s="184"/>
      <c r="F19" s="183"/>
      <c r="G19" s="184"/>
      <c r="H19" s="184"/>
      <c r="I19" s="186"/>
      <c r="J19" s="24"/>
    </row>
    <row r="20" spans="2:13" ht="13.5" customHeight="1" x14ac:dyDescent="0.25">
      <c r="B20" s="20"/>
      <c r="C20" s="179"/>
      <c r="D20" s="184" t="s">
        <v>172</v>
      </c>
      <c r="E20" s="184"/>
      <c r="F20" s="191" t="s">
        <v>129</v>
      </c>
      <c r="G20" s="184"/>
      <c r="H20" s="184"/>
      <c r="I20" s="186"/>
      <c r="J20" s="24"/>
    </row>
    <row r="21" spans="2:13" ht="13.5" customHeight="1" x14ac:dyDescent="0.25">
      <c r="B21" s="20"/>
      <c r="C21" s="179"/>
      <c r="D21" s="184" t="s">
        <v>173</v>
      </c>
      <c r="E21" s="184"/>
      <c r="F21" s="191" t="s">
        <v>129</v>
      </c>
      <c r="G21" s="184"/>
      <c r="H21" s="184"/>
      <c r="I21" s="186"/>
      <c r="J21" s="24"/>
    </row>
    <row r="22" spans="2:13" ht="13.5" customHeight="1" x14ac:dyDescent="0.25">
      <c r="B22" s="20"/>
      <c r="C22" s="179"/>
      <c r="D22" s="184" t="s">
        <v>174</v>
      </c>
      <c r="E22" s="184"/>
      <c r="F22" s="191" t="s">
        <v>126</v>
      </c>
      <c r="G22" s="185"/>
      <c r="H22" s="185"/>
      <c r="I22" s="371"/>
      <c r="J22" s="36"/>
      <c r="K22" s="3"/>
      <c r="L22" s="3"/>
      <c r="M22" s="3"/>
    </row>
    <row r="23" spans="2:13" ht="13.5" customHeight="1" x14ac:dyDescent="0.25">
      <c r="B23" s="20"/>
      <c r="C23" s="179"/>
      <c r="D23" s="184" t="s">
        <v>175</v>
      </c>
      <c r="E23" s="184"/>
      <c r="F23" s="191">
        <v>1</v>
      </c>
      <c r="G23" s="185"/>
      <c r="H23" s="185"/>
      <c r="I23" s="371"/>
      <c r="J23" s="36"/>
      <c r="K23" s="3"/>
      <c r="L23" s="3"/>
      <c r="M23" s="3"/>
    </row>
    <row r="24" spans="2:13" ht="13.5" customHeight="1" x14ac:dyDescent="0.25">
      <c r="B24" s="20"/>
      <c r="C24" s="179"/>
      <c r="D24" s="184"/>
      <c r="E24" s="184"/>
      <c r="F24" s="183"/>
      <c r="G24" s="185"/>
      <c r="H24" s="185"/>
      <c r="I24" s="371"/>
      <c r="J24" s="36"/>
      <c r="K24" s="3"/>
      <c r="L24" s="3"/>
      <c r="M24" s="3"/>
    </row>
    <row r="25" spans="2:13" ht="13.5" customHeight="1" x14ac:dyDescent="0.25">
      <c r="B25" s="20"/>
      <c r="C25" s="179"/>
      <c r="D25" s="184" t="s">
        <v>176</v>
      </c>
      <c r="E25" s="184"/>
      <c r="F25" s="330">
        <f>IF(F14+F23&gt;H14,"verkeerde invoer",(VLOOKUP(F13,salaristabellen,F14+F23+1,FALSE)-VLOOKUP(F13,salaristabellen,F14+1,FALSE))*F16)</f>
        <v>68</v>
      </c>
      <c r="G25" s="185"/>
      <c r="H25" s="185"/>
      <c r="I25" s="371"/>
      <c r="J25" s="36"/>
      <c r="K25" s="3"/>
      <c r="L25" s="3"/>
      <c r="M25" s="3"/>
    </row>
    <row r="26" spans="2:13" ht="13.5" customHeight="1" x14ac:dyDescent="0.25">
      <c r="B26" s="20"/>
      <c r="C26" s="179"/>
      <c r="D26" s="184" t="s">
        <v>164</v>
      </c>
      <c r="E26" s="184"/>
      <c r="F26" s="356">
        <f>+tabellen!B72</f>
        <v>0.6</v>
      </c>
      <c r="G26" s="185"/>
      <c r="H26" s="185"/>
      <c r="I26" s="371"/>
      <c r="J26" s="36"/>
      <c r="K26" s="3"/>
      <c r="L26" s="3"/>
      <c r="M26" s="3"/>
    </row>
    <row r="27" spans="2:13" ht="13.5" customHeight="1" x14ac:dyDescent="0.25">
      <c r="B27" s="20"/>
      <c r="C27" s="179"/>
      <c r="D27" s="184" t="s">
        <v>165</v>
      </c>
      <c r="E27" s="184"/>
      <c r="F27" s="431">
        <f>+F25*12*(1+F26)</f>
        <v>1305.6000000000001</v>
      </c>
      <c r="G27" s="185"/>
      <c r="H27" s="185"/>
      <c r="I27" s="371"/>
      <c r="J27" s="36"/>
      <c r="K27" s="3"/>
      <c r="L27" s="3"/>
      <c r="M27" s="3"/>
    </row>
    <row r="28" spans="2:13" ht="13.5" customHeight="1" x14ac:dyDescent="0.25">
      <c r="B28" s="20"/>
      <c r="C28" s="179"/>
      <c r="D28" s="184" t="s">
        <v>177</v>
      </c>
      <c r="E28" s="184"/>
      <c r="F28" s="374">
        <f>IF(F23=0,0,+(H14-F14))</f>
        <v>8</v>
      </c>
      <c r="G28" s="185"/>
      <c r="H28" s="185"/>
      <c r="I28" s="371"/>
      <c r="J28" s="36"/>
      <c r="K28" s="3"/>
      <c r="L28" s="3"/>
      <c r="M28" s="3"/>
    </row>
    <row r="29" spans="2:13" ht="13.5" customHeight="1" x14ac:dyDescent="0.25">
      <c r="B29" s="20"/>
      <c r="C29" s="179"/>
      <c r="D29" s="184" t="s">
        <v>167</v>
      </c>
      <c r="E29" s="184"/>
      <c r="F29" s="375">
        <f>+U78*F16</f>
        <v>1612.8000000000002</v>
      </c>
      <c r="G29" s="216"/>
      <c r="H29" s="185"/>
      <c r="I29" s="371"/>
      <c r="J29" s="24"/>
    </row>
    <row r="30" spans="2:13" ht="13.5" customHeight="1" x14ac:dyDescent="0.25">
      <c r="B30" s="20"/>
      <c r="C30" s="179"/>
      <c r="D30" s="195" t="s">
        <v>178</v>
      </c>
      <c r="E30" s="184"/>
      <c r="F30" s="376">
        <f>+U77*F16</f>
        <v>12902.400000000001</v>
      </c>
      <c r="G30" s="184"/>
      <c r="H30" s="185"/>
      <c r="I30" s="371"/>
      <c r="J30" s="24"/>
    </row>
    <row r="31" spans="2:13" ht="13.5" customHeight="1" x14ac:dyDescent="0.25">
      <c r="B31" s="20"/>
      <c r="C31" s="229"/>
      <c r="D31" s="230"/>
      <c r="E31" s="230"/>
      <c r="F31" s="230"/>
      <c r="G31" s="230"/>
      <c r="H31" s="313"/>
      <c r="I31" s="372"/>
      <c r="J31" s="24"/>
    </row>
    <row r="32" spans="2:13" ht="13.5" customHeight="1" x14ac:dyDescent="0.25">
      <c r="B32" s="20"/>
      <c r="C32" s="21"/>
      <c r="D32" s="21"/>
      <c r="E32" s="21"/>
      <c r="F32" s="21"/>
      <c r="G32" s="21"/>
      <c r="H32" s="25"/>
      <c r="I32" s="25"/>
      <c r="J32" s="24"/>
    </row>
    <row r="33" spans="2:10" ht="13.5" customHeight="1" x14ac:dyDescent="0.25">
      <c r="B33" s="20"/>
      <c r="C33" s="172"/>
      <c r="D33" s="173"/>
      <c r="E33" s="173"/>
      <c r="F33" s="173"/>
      <c r="G33" s="173"/>
      <c r="H33" s="177"/>
      <c r="I33" s="373"/>
      <c r="J33" s="24"/>
    </row>
    <row r="34" spans="2:10" ht="13.5" customHeight="1" x14ac:dyDescent="0.25">
      <c r="B34" s="20"/>
      <c r="C34" s="179"/>
      <c r="D34" s="299" t="s">
        <v>179</v>
      </c>
      <c r="E34" s="185"/>
      <c r="F34" s="185"/>
      <c r="G34" s="185"/>
      <c r="H34" s="185"/>
      <c r="I34" s="371"/>
      <c r="J34" s="24"/>
    </row>
    <row r="35" spans="2:10" ht="13.5" customHeight="1" x14ac:dyDescent="0.25">
      <c r="B35" s="20"/>
      <c r="C35" s="179"/>
      <c r="D35" s="299"/>
      <c r="E35" s="185"/>
      <c r="F35" s="185"/>
      <c r="G35" s="185"/>
      <c r="H35" s="185"/>
      <c r="I35" s="371"/>
      <c r="J35" s="24"/>
    </row>
    <row r="36" spans="2:10" ht="13.5" customHeight="1" x14ac:dyDescent="0.25">
      <c r="B36" s="20"/>
      <c r="C36" s="179"/>
      <c r="D36" s="185" t="s">
        <v>189</v>
      </c>
      <c r="E36" s="184"/>
      <c r="F36" s="301" t="s">
        <v>180</v>
      </c>
      <c r="G36" s="301"/>
      <c r="H36" s="302"/>
      <c r="I36" s="371"/>
      <c r="J36" s="24"/>
    </row>
    <row r="37" spans="2:10" ht="13.5" customHeight="1" x14ac:dyDescent="0.25">
      <c r="B37" s="20"/>
      <c r="C37" s="179"/>
      <c r="D37" s="185"/>
      <c r="E37" s="184"/>
      <c r="F37" s="377"/>
      <c r="G37" s="302"/>
      <c r="H37" s="302"/>
      <c r="I37" s="371"/>
      <c r="J37" s="24"/>
    </row>
    <row r="38" spans="2:10" ht="13.5" customHeight="1" x14ac:dyDescent="0.25">
      <c r="B38" s="20"/>
      <c r="C38" s="179"/>
      <c r="D38" s="337" t="s">
        <v>142</v>
      </c>
      <c r="E38" s="185"/>
      <c r="F38" s="185"/>
      <c r="G38" s="185"/>
      <c r="H38" s="185"/>
      <c r="I38" s="371"/>
      <c r="J38" s="24"/>
    </row>
    <row r="39" spans="2:10" ht="13.5" customHeight="1" x14ac:dyDescent="0.25">
      <c r="B39" s="20"/>
      <c r="C39" s="179"/>
      <c r="D39" s="185" t="s">
        <v>143</v>
      </c>
      <c r="E39" s="185"/>
      <c r="F39" s="352">
        <v>500</v>
      </c>
      <c r="G39" s="185"/>
      <c r="H39" s="185"/>
      <c r="I39" s="371"/>
      <c r="J39" s="24"/>
    </row>
    <row r="40" spans="2:10" ht="13.5" customHeight="1" x14ac:dyDescent="0.25">
      <c r="B40" s="20"/>
      <c r="C40" s="179"/>
      <c r="D40" s="185" t="s">
        <v>145</v>
      </c>
      <c r="E40" s="185"/>
      <c r="F40" s="356">
        <v>0.73899999999999999</v>
      </c>
      <c r="G40" s="185"/>
      <c r="H40" s="185"/>
      <c r="I40" s="371"/>
      <c r="J40" s="24"/>
    </row>
    <row r="41" spans="2:10" ht="13.5" customHeight="1" x14ac:dyDescent="0.25">
      <c r="B41" s="20"/>
      <c r="C41" s="179"/>
      <c r="D41" s="185" t="s">
        <v>181</v>
      </c>
      <c r="E41" s="185"/>
      <c r="F41" s="378">
        <f>ROUND(+F39*F40,0)</f>
        <v>370</v>
      </c>
      <c r="G41" s="185"/>
      <c r="H41" s="185"/>
      <c r="I41" s="371"/>
      <c r="J41" s="24"/>
    </row>
    <row r="42" spans="2:10" ht="13.5" customHeight="1" x14ac:dyDescent="0.25">
      <c r="B42" s="20"/>
      <c r="C42" s="179"/>
      <c r="D42" s="185"/>
      <c r="E42" s="185"/>
      <c r="F42" s="218"/>
      <c r="G42" s="185"/>
      <c r="H42" s="185"/>
      <c r="I42" s="371"/>
      <c r="J42" s="24"/>
    </row>
    <row r="43" spans="2:10" ht="13.5" customHeight="1" x14ac:dyDescent="0.25">
      <c r="B43" s="20"/>
      <c r="C43" s="179"/>
      <c r="D43" s="185" t="s">
        <v>182</v>
      </c>
      <c r="E43" s="185"/>
      <c r="F43" s="379">
        <v>0.02</v>
      </c>
      <c r="G43" s="185"/>
      <c r="H43" s="185"/>
      <c r="I43" s="380"/>
      <c r="J43" s="134"/>
    </row>
    <row r="44" spans="2:10" ht="13.5" customHeight="1" x14ac:dyDescent="0.25">
      <c r="B44" s="20"/>
      <c r="C44" s="179"/>
      <c r="D44" s="185" t="s">
        <v>181</v>
      </c>
      <c r="E44" s="185"/>
      <c r="F44" s="360">
        <f>ROUND(+F41*F43,0)</f>
        <v>7</v>
      </c>
      <c r="G44" s="185"/>
      <c r="H44" s="185"/>
      <c r="I44" s="380"/>
      <c r="J44" s="134"/>
    </row>
    <row r="45" spans="2:10" ht="13.5" customHeight="1" x14ac:dyDescent="0.25">
      <c r="B45" s="20"/>
      <c r="C45" s="179"/>
      <c r="D45" s="185" t="s">
        <v>183</v>
      </c>
      <c r="E45" s="185"/>
      <c r="F45" s="381">
        <v>2400</v>
      </c>
      <c r="G45" s="185"/>
      <c r="H45" s="185"/>
      <c r="I45" s="380"/>
      <c r="J45" s="134"/>
    </row>
    <row r="46" spans="2:10" ht="13.5" customHeight="1" x14ac:dyDescent="0.25">
      <c r="B46" s="20"/>
      <c r="C46" s="179"/>
      <c r="D46" s="185"/>
      <c r="E46" s="185"/>
      <c r="F46" s="382"/>
      <c r="G46" s="185"/>
      <c r="H46" s="185"/>
      <c r="I46" s="380"/>
      <c r="J46" s="134"/>
    </row>
    <row r="47" spans="2:10" s="2" customFormat="1" ht="13.5" customHeight="1" x14ac:dyDescent="0.25">
      <c r="B47" s="29"/>
      <c r="C47" s="187"/>
      <c r="D47" s="305" t="s">
        <v>184</v>
      </c>
      <c r="E47" s="305"/>
      <c r="F47" s="364">
        <f>+F44*F45</f>
        <v>16800</v>
      </c>
      <c r="G47" s="305"/>
      <c r="H47" s="305"/>
      <c r="I47" s="383"/>
      <c r="J47" s="135"/>
    </row>
    <row r="48" spans="2:10" ht="13.5" customHeight="1" x14ac:dyDescent="0.25">
      <c r="B48" s="20"/>
      <c r="C48" s="229"/>
      <c r="D48" s="384"/>
      <c r="E48" s="313"/>
      <c r="F48" s="313"/>
      <c r="G48" s="313"/>
      <c r="H48" s="313"/>
      <c r="I48" s="385"/>
      <c r="J48" s="134"/>
    </row>
    <row r="49" spans="2:23" ht="13.5" customHeight="1" x14ac:dyDescent="0.25">
      <c r="B49" s="20"/>
      <c r="C49" s="21"/>
      <c r="D49" s="21"/>
      <c r="E49" s="21"/>
      <c r="F49" s="21"/>
      <c r="G49" s="21"/>
      <c r="H49" s="21"/>
      <c r="I49" s="47"/>
      <c r="J49" s="134"/>
    </row>
    <row r="50" spans="2:23" ht="13.5" customHeight="1" x14ac:dyDescent="0.25">
      <c r="B50" s="20"/>
      <c r="C50" s="21"/>
      <c r="D50" s="21"/>
      <c r="E50" s="21"/>
      <c r="F50" s="21"/>
      <c r="G50" s="21"/>
      <c r="H50" s="21"/>
      <c r="I50" s="47"/>
      <c r="J50" s="134"/>
    </row>
    <row r="51" spans="2:23" ht="13.5" customHeight="1" x14ac:dyDescent="0.25">
      <c r="B51" s="100"/>
      <c r="C51" s="101"/>
      <c r="D51" s="101"/>
      <c r="E51" s="101"/>
      <c r="F51" s="101"/>
      <c r="G51" s="101"/>
      <c r="H51" s="101"/>
      <c r="I51" s="478" t="s">
        <v>320</v>
      </c>
      <c r="J51" s="136"/>
    </row>
    <row r="52" spans="2:23" ht="13.5" customHeight="1" x14ac:dyDescent="0.25">
      <c r="B52" s="167"/>
      <c r="C52" s="167"/>
      <c r="D52" s="167"/>
      <c r="E52" s="167"/>
      <c r="F52" s="167"/>
      <c r="G52" s="167"/>
      <c r="H52" s="167"/>
      <c r="I52" s="169"/>
      <c r="J52" s="168"/>
    </row>
    <row r="53" spans="2:23" ht="13.5" customHeight="1" x14ac:dyDescent="0.25">
      <c r="B53" s="167"/>
      <c r="C53" s="167"/>
      <c r="D53" s="167"/>
      <c r="E53" s="167"/>
      <c r="F53" s="167"/>
      <c r="G53" s="167"/>
      <c r="H53" s="167"/>
      <c r="I53" s="169"/>
      <c r="J53" s="168"/>
    </row>
    <row r="54" spans="2:23" ht="13.5" customHeight="1" x14ac:dyDescent="0.25">
      <c r="I54" s="137"/>
      <c r="J54" s="137"/>
      <c r="N54" s="1" t="s">
        <v>185</v>
      </c>
    </row>
    <row r="55" spans="2:23" ht="13.5" customHeight="1" x14ac:dyDescent="0.25">
      <c r="I55" s="137"/>
      <c r="J55" s="137"/>
      <c r="K55" s="4" t="s">
        <v>93</v>
      </c>
      <c r="L55" s="4"/>
      <c r="M55" s="4"/>
      <c r="N55" s="1" t="s">
        <v>21</v>
      </c>
      <c r="O55" s="1" t="s">
        <v>29</v>
      </c>
      <c r="P55" s="1" t="s">
        <v>28</v>
      </c>
      <c r="U55" s="1" t="s">
        <v>30</v>
      </c>
    </row>
    <row r="56" spans="2:23" ht="13.5" customHeight="1" x14ac:dyDescent="0.25">
      <c r="I56" s="137"/>
      <c r="J56" s="137"/>
      <c r="K56" s="4" t="s">
        <v>86</v>
      </c>
      <c r="L56" s="4"/>
      <c r="M56" s="4"/>
      <c r="N56" s="1" t="str">
        <f t="shared" ref="N56:N75" si="0">+$F$13</f>
        <v>LA</v>
      </c>
      <c r="O56" s="1">
        <f t="shared" ref="O56:O75" si="1">+$F$14+$F$23+W56</f>
        <v>8</v>
      </c>
      <c r="P56" s="1">
        <f t="shared" ref="P56:P75" si="2">+$F$14+W56</f>
        <v>7</v>
      </c>
      <c r="R56" s="6">
        <f t="shared" ref="R56:R75" si="3">IF(O56&gt;$H$14,VLOOKUP($N56,salaristabellen,$H$14+1,FALSE),VLOOKUP($N56,salaristabellen,O56+1,FALSE))*12*(1+F$26)</f>
        <v>52012.800000000003</v>
      </c>
      <c r="S56" s="6">
        <f t="shared" ref="S56:S75" si="4">IF(P56&gt;$H$14,VLOOKUP($N56,salaristabellen,$H$14+1,FALSE),VLOOKUP($N56,salaristabellen,P56+1,FALSE))*12*(1+F$26)</f>
        <v>50707.200000000004</v>
      </c>
      <c r="U56" s="6">
        <f>+R56-S56</f>
        <v>1305.5999999999985</v>
      </c>
      <c r="W56" s="1">
        <v>0</v>
      </c>
    </row>
    <row r="57" spans="2:23" ht="13.5" customHeight="1" x14ac:dyDescent="0.25">
      <c r="I57" s="137"/>
      <c r="J57" s="137"/>
      <c r="K57" s="4" t="s">
        <v>87</v>
      </c>
      <c r="L57" s="4"/>
      <c r="M57" s="4"/>
      <c r="N57" s="1" t="str">
        <f t="shared" si="0"/>
        <v>LA</v>
      </c>
      <c r="O57" s="1">
        <f t="shared" si="1"/>
        <v>9</v>
      </c>
      <c r="P57" s="1">
        <f t="shared" si="2"/>
        <v>8</v>
      </c>
      <c r="R57" s="6">
        <f t="shared" si="3"/>
        <v>53472</v>
      </c>
      <c r="S57" s="6">
        <f t="shared" si="4"/>
        <v>52012.800000000003</v>
      </c>
      <c r="U57" s="6">
        <f t="shared" ref="U57:U75" si="5">+R57-S57</f>
        <v>1459.1999999999971</v>
      </c>
      <c r="W57" s="1">
        <v>1</v>
      </c>
    </row>
    <row r="58" spans="2:23" ht="13.5" customHeight="1" x14ac:dyDescent="0.25">
      <c r="I58" s="137"/>
      <c r="J58" s="137"/>
      <c r="K58" s="4" t="s">
        <v>88</v>
      </c>
      <c r="L58" s="4"/>
      <c r="M58" s="4"/>
      <c r="N58" s="1" t="str">
        <f t="shared" si="0"/>
        <v>LA</v>
      </c>
      <c r="O58" s="1">
        <f t="shared" si="1"/>
        <v>10</v>
      </c>
      <c r="P58" s="1">
        <f t="shared" si="2"/>
        <v>9</v>
      </c>
      <c r="R58" s="6">
        <f t="shared" si="3"/>
        <v>54969.600000000006</v>
      </c>
      <c r="S58" s="6">
        <f t="shared" si="4"/>
        <v>53472</v>
      </c>
      <c r="U58" s="6">
        <f t="shared" si="5"/>
        <v>1497.6000000000058</v>
      </c>
      <c r="W58" s="1">
        <v>2</v>
      </c>
    </row>
    <row r="59" spans="2:23" ht="13.5" customHeight="1" x14ac:dyDescent="0.25">
      <c r="I59" s="137"/>
      <c r="J59" s="137"/>
      <c r="K59" s="4" t="s">
        <v>89</v>
      </c>
      <c r="L59" s="4"/>
      <c r="M59" s="4"/>
      <c r="N59" s="1" t="str">
        <f t="shared" si="0"/>
        <v>LA</v>
      </c>
      <c r="O59" s="1">
        <f t="shared" si="1"/>
        <v>11</v>
      </c>
      <c r="P59" s="1">
        <f t="shared" si="2"/>
        <v>10</v>
      </c>
      <c r="R59" s="6">
        <f t="shared" si="3"/>
        <v>56620.800000000003</v>
      </c>
      <c r="S59" s="6">
        <f t="shared" si="4"/>
        <v>54969.600000000006</v>
      </c>
      <c r="U59" s="6">
        <f t="shared" si="5"/>
        <v>1651.1999999999971</v>
      </c>
      <c r="W59" s="1">
        <v>3</v>
      </c>
    </row>
    <row r="60" spans="2:23" ht="13.5" customHeight="1" x14ac:dyDescent="0.25">
      <c r="I60" s="137"/>
      <c r="J60" s="137"/>
      <c r="K60" s="4" t="s">
        <v>90</v>
      </c>
      <c r="L60" s="4"/>
      <c r="M60" s="4"/>
      <c r="N60" s="1" t="str">
        <f t="shared" si="0"/>
        <v>LA</v>
      </c>
      <c r="O60" s="1">
        <f t="shared" si="1"/>
        <v>12</v>
      </c>
      <c r="P60" s="1">
        <f t="shared" si="2"/>
        <v>11</v>
      </c>
      <c r="R60" s="6">
        <f t="shared" si="3"/>
        <v>58348.800000000003</v>
      </c>
      <c r="S60" s="6">
        <f t="shared" si="4"/>
        <v>56620.800000000003</v>
      </c>
      <c r="U60" s="6">
        <f t="shared" si="5"/>
        <v>1728</v>
      </c>
      <c r="W60" s="1">
        <v>4</v>
      </c>
    </row>
    <row r="61" spans="2:23" ht="13.5" customHeight="1" x14ac:dyDescent="0.25">
      <c r="I61" s="137"/>
      <c r="J61" s="137"/>
      <c r="K61" s="4" t="s">
        <v>91</v>
      </c>
      <c r="L61" s="4"/>
      <c r="M61" s="4"/>
      <c r="N61" s="1" t="str">
        <f t="shared" si="0"/>
        <v>LA</v>
      </c>
      <c r="O61" s="1">
        <f t="shared" si="1"/>
        <v>13</v>
      </c>
      <c r="P61" s="1">
        <f t="shared" si="2"/>
        <v>12</v>
      </c>
      <c r="R61" s="6">
        <f t="shared" si="3"/>
        <v>60211.200000000004</v>
      </c>
      <c r="S61" s="6">
        <f t="shared" si="4"/>
        <v>58348.800000000003</v>
      </c>
      <c r="U61" s="6">
        <f t="shared" si="5"/>
        <v>1862.4000000000015</v>
      </c>
      <c r="W61" s="1">
        <v>5</v>
      </c>
    </row>
    <row r="62" spans="2:23" ht="13.5" customHeight="1" x14ac:dyDescent="0.25">
      <c r="I62" s="137"/>
      <c r="J62" s="137"/>
      <c r="K62" s="4" t="s">
        <v>92</v>
      </c>
      <c r="L62" s="130"/>
      <c r="M62" s="130"/>
      <c r="N62" s="1" t="str">
        <f t="shared" si="0"/>
        <v>LA</v>
      </c>
      <c r="O62" s="1">
        <f t="shared" si="1"/>
        <v>14</v>
      </c>
      <c r="P62" s="1">
        <f t="shared" si="2"/>
        <v>13</v>
      </c>
      <c r="R62" s="6">
        <f t="shared" si="3"/>
        <v>62131.200000000004</v>
      </c>
      <c r="S62" s="6">
        <f t="shared" si="4"/>
        <v>60211.200000000004</v>
      </c>
      <c r="U62" s="6">
        <f t="shared" si="5"/>
        <v>1920</v>
      </c>
      <c r="W62" s="1">
        <v>6</v>
      </c>
    </row>
    <row r="63" spans="2:23" ht="13.5" customHeight="1" x14ac:dyDescent="0.25">
      <c r="I63" s="137"/>
      <c r="J63" s="137"/>
      <c r="K63" s="4" t="s">
        <v>3</v>
      </c>
      <c r="L63" s="130"/>
      <c r="M63" s="130"/>
      <c r="N63" s="1" t="str">
        <f t="shared" si="0"/>
        <v>LA</v>
      </c>
      <c r="O63" s="1">
        <f t="shared" si="1"/>
        <v>15</v>
      </c>
      <c r="P63" s="1">
        <f t="shared" si="2"/>
        <v>14</v>
      </c>
      <c r="R63" s="6">
        <f t="shared" si="3"/>
        <v>63609.600000000006</v>
      </c>
      <c r="S63" s="6">
        <f t="shared" si="4"/>
        <v>62131.200000000004</v>
      </c>
      <c r="U63" s="6">
        <f t="shared" si="5"/>
        <v>1478.4000000000015</v>
      </c>
      <c r="W63" s="1">
        <v>7</v>
      </c>
    </row>
    <row r="64" spans="2:23" ht="13.5" customHeight="1" x14ac:dyDescent="0.25">
      <c r="I64" s="137"/>
      <c r="J64" s="137"/>
      <c r="K64" s="4" t="s">
        <v>4</v>
      </c>
      <c r="L64" s="4"/>
      <c r="M64" s="4"/>
      <c r="N64" s="1" t="str">
        <f t="shared" si="0"/>
        <v>LA</v>
      </c>
      <c r="O64" s="1">
        <f t="shared" si="1"/>
        <v>16</v>
      </c>
      <c r="P64" s="1">
        <f t="shared" si="2"/>
        <v>15</v>
      </c>
      <c r="R64" s="6">
        <f t="shared" si="3"/>
        <v>63609.600000000006</v>
      </c>
      <c r="S64" s="6">
        <f t="shared" si="4"/>
        <v>63609.600000000006</v>
      </c>
      <c r="U64" s="6">
        <f t="shared" si="5"/>
        <v>0</v>
      </c>
      <c r="W64" s="1">
        <v>8</v>
      </c>
    </row>
    <row r="65" spans="9:23" ht="13.5" customHeight="1" x14ac:dyDescent="0.25">
      <c r="I65" s="137"/>
      <c r="J65" s="137"/>
      <c r="K65" s="4" t="s">
        <v>5</v>
      </c>
      <c r="L65" s="4"/>
      <c r="M65" s="4"/>
      <c r="N65" s="1" t="str">
        <f t="shared" si="0"/>
        <v>LA</v>
      </c>
      <c r="O65" s="1">
        <f t="shared" si="1"/>
        <v>17</v>
      </c>
      <c r="P65" s="1">
        <f t="shared" si="2"/>
        <v>16</v>
      </c>
      <c r="R65" s="6">
        <f t="shared" si="3"/>
        <v>63609.600000000006</v>
      </c>
      <c r="S65" s="6">
        <f t="shared" si="4"/>
        <v>63609.600000000006</v>
      </c>
      <c r="U65" s="6">
        <f t="shared" si="5"/>
        <v>0</v>
      </c>
      <c r="W65" s="1">
        <v>9</v>
      </c>
    </row>
    <row r="66" spans="9:23" ht="13.5" customHeight="1" x14ac:dyDescent="0.25">
      <c r="I66" s="137"/>
      <c r="J66" s="137"/>
      <c r="K66" s="4" t="s">
        <v>6</v>
      </c>
      <c r="L66" s="4"/>
      <c r="M66" s="4"/>
      <c r="N66" s="1" t="str">
        <f t="shared" si="0"/>
        <v>LA</v>
      </c>
      <c r="O66" s="1">
        <f t="shared" si="1"/>
        <v>18</v>
      </c>
      <c r="P66" s="1">
        <f t="shared" si="2"/>
        <v>17</v>
      </c>
      <c r="R66" s="6">
        <f t="shared" si="3"/>
        <v>63609.600000000006</v>
      </c>
      <c r="S66" s="6">
        <f t="shared" si="4"/>
        <v>63609.600000000006</v>
      </c>
      <c r="U66" s="6">
        <f t="shared" si="5"/>
        <v>0</v>
      </c>
      <c r="W66" s="1">
        <v>10</v>
      </c>
    </row>
    <row r="67" spans="9:23" ht="13.5" customHeight="1" x14ac:dyDescent="0.25">
      <c r="I67" s="137"/>
      <c r="J67" s="137"/>
      <c r="K67" s="4" t="s">
        <v>7</v>
      </c>
      <c r="L67" s="4"/>
      <c r="M67" s="4"/>
      <c r="N67" s="1" t="str">
        <f t="shared" si="0"/>
        <v>LA</v>
      </c>
      <c r="O67" s="1">
        <f t="shared" si="1"/>
        <v>19</v>
      </c>
      <c r="P67" s="1">
        <f t="shared" si="2"/>
        <v>18</v>
      </c>
      <c r="R67" s="6">
        <f t="shared" si="3"/>
        <v>63609.600000000006</v>
      </c>
      <c r="S67" s="6">
        <f t="shared" si="4"/>
        <v>63609.600000000006</v>
      </c>
      <c r="U67" s="6">
        <f t="shared" si="5"/>
        <v>0</v>
      </c>
      <c r="W67" s="1">
        <v>11</v>
      </c>
    </row>
    <row r="68" spans="9:23" ht="13.5" customHeight="1" x14ac:dyDescent="0.25">
      <c r="I68" s="137"/>
      <c r="J68" s="137"/>
      <c r="K68" s="4" t="s">
        <v>8</v>
      </c>
      <c r="L68" s="4"/>
      <c r="M68" s="4"/>
      <c r="N68" s="1" t="str">
        <f t="shared" si="0"/>
        <v>LA</v>
      </c>
      <c r="O68" s="1">
        <f t="shared" si="1"/>
        <v>20</v>
      </c>
      <c r="P68" s="1">
        <f t="shared" si="2"/>
        <v>19</v>
      </c>
      <c r="R68" s="6">
        <f t="shared" si="3"/>
        <v>63609.600000000006</v>
      </c>
      <c r="S68" s="6">
        <f t="shared" si="4"/>
        <v>63609.600000000006</v>
      </c>
      <c r="U68" s="6">
        <f t="shared" si="5"/>
        <v>0</v>
      </c>
      <c r="W68" s="1">
        <v>12</v>
      </c>
    </row>
    <row r="69" spans="9:23" ht="13.5" customHeight="1" x14ac:dyDescent="0.25">
      <c r="I69" s="137"/>
      <c r="J69" s="137"/>
      <c r="K69" s="4" t="s">
        <v>9</v>
      </c>
      <c r="L69" s="4"/>
      <c r="M69" s="4"/>
      <c r="N69" s="1" t="str">
        <f t="shared" si="0"/>
        <v>LA</v>
      </c>
      <c r="O69" s="1">
        <f t="shared" si="1"/>
        <v>21</v>
      </c>
      <c r="P69" s="1">
        <f t="shared" si="2"/>
        <v>20</v>
      </c>
      <c r="R69" s="6">
        <f t="shared" si="3"/>
        <v>63609.600000000006</v>
      </c>
      <c r="S69" s="6">
        <f t="shared" si="4"/>
        <v>63609.600000000006</v>
      </c>
      <c r="U69" s="6">
        <f t="shared" si="5"/>
        <v>0</v>
      </c>
      <c r="W69" s="1">
        <v>13</v>
      </c>
    </row>
    <row r="70" spans="9:23" ht="13.5" customHeight="1" x14ac:dyDescent="0.25">
      <c r="I70" s="137"/>
      <c r="J70" s="137"/>
      <c r="K70" s="4" t="s">
        <v>10</v>
      </c>
      <c r="L70" s="4"/>
      <c r="M70" s="4"/>
      <c r="N70" s="1" t="str">
        <f t="shared" si="0"/>
        <v>LA</v>
      </c>
      <c r="O70" s="1">
        <f t="shared" si="1"/>
        <v>22</v>
      </c>
      <c r="P70" s="1">
        <f t="shared" si="2"/>
        <v>21</v>
      </c>
      <c r="R70" s="6">
        <f t="shared" si="3"/>
        <v>63609.600000000006</v>
      </c>
      <c r="S70" s="6">
        <f t="shared" si="4"/>
        <v>63609.600000000006</v>
      </c>
      <c r="U70" s="6">
        <f t="shared" si="5"/>
        <v>0</v>
      </c>
      <c r="W70" s="1">
        <v>14</v>
      </c>
    </row>
    <row r="71" spans="9:23" ht="13.5" customHeight="1" x14ac:dyDescent="0.25">
      <c r="I71" s="137"/>
      <c r="J71" s="137"/>
      <c r="K71" s="4" t="s">
        <v>11</v>
      </c>
      <c r="L71" s="4"/>
      <c r="M71" s="4"/>
      <c r="N71" s="1" t="str">
        <f t="shared" si="0"/>
        <v>LA</v>
      </c>
      <c r="O71" s="1">
        <f t="shared" si="1"/>
        <v>23</v>
      </c>
      <c r="P71" s="1">
        <f t="shared" si="2"/>
        <v>22</v>
      </c>
      <c r="R71" s="6">
        <f t="shared" si="3"/>
        <v>63609.600000000006</v>
      </c>
      <c r="S71" s="6">
        <f t="shared" si="4"/>
        <v>63609.600000000006</v>
      </c>
      <c r="U71" s="6">
        <f t="shared" si="5"/>
        <v>0</v>
      </c>
      <c r="W71" s="1">
        <v>15</v>
      </c>
    </row>
    <row r="72" spans="9:23" ht="13.5" customHeight="1" x14ac:dyDescent="0.25">
      <c r="I72" s="137"/>
      <c r="J72" s="137"/>
      <c r="K72" s="4" t="s">
        <v>12</v>
      </c>
      <c r="L72" s="4"/>
      <c r="M72" s="4"/>
      <c r="N72" s="1" t="str">
        <f t="shared" si="0"/>
        <v>LA</v>
      </c>
      <c r="O72" s="1">
        <f t="shared" si="1"/>
        <v>24</v>
      </c>
      <c r="P72" s="1">
        <f t="shared" si="2"/>
        <v>23</v>
      </c>
      <c r="R72" s="6">
        <f t="shared" si="3"/>
        <v>63609.600000000006</v>
      </c>
      <c r="S72" s="6">
        <f t="shared" si="4"/>
        <v>63609.600000000006</v>
      </c>
      <c r="U72" s="6">
        <f t="shared" si="5"/>
        <v>0</v>
      </c>
      <c r="W72" s="1">
        <v>16</v>
      </c>
    </row>
    <row r="73" spans="9:23" ht="13.5" customHeight="1" x14ac:dyDescent="0.25">
      <c r="I73" s="137"/>
      <c r="J73" s="137"/>
      <c r="K73" s="4" t="s">
        <v>13</v>
      </c>
      <c r="L73" s="4"/>
      <c r="M73" s="4"/>
      <c r="N73" s="1" t="str">
        <f t="shared" si="0"/>
        <v>LA</v>
      </c>
      <c r="O73" s="1">
        <f t="shared" si="1"/>
        <v>25</v>
      </c>
      <c r="P73" s="1">
        <f t="shared" si="2"/>
        <v>24</v>
      </c>
      <c r="R73" s="6">
        <f t="shared" si="3"/>
        <v>63609.600000000006</v>
      </c>
      <c r="S73" s="6">
        <f t="shared" si="4"/>
        <v>63609.600000000006</v>
      </c>
      <c r="U73" s="6">
        <f t="shared" si="5"/>
        <v>0</v>
      </c>
      <c r="W73" s="1">
        <v>17</v>
      </c>
    </row>
    <row r="74" spans="9:23" ht="13.5" customHeight="1" x14ac:dyDescent="0.25">
      <c r="I74" s="137"/>
      <c r="J74" s="137"/>
      <c r="K74" s="4" t="s">
        <v>14</v>
      </c>
      <c r="L74" s="4"/>
      <c r="M74" s="4"/>
      <c r="N74" s="1" t="str">
        <f t="shared" si="0"/>
        <v>LA</v>
      </c>
      <c r="O74" s="1">
        <f t="shared" si="1"/>
        <v>26</v>
      </c>
      <c r="P74" s="1">
        <f t="shared" si="2"/>
        <v>25</v>
      </c>
      <c r="R74" s="6">
        <f t="shared" si="3"/>
        <v>63609.600000000006</v>
      </c>
      <c r="S74" s="6">
        <f t="shared" si="4"/>
        <v>63609.600000000006</v>
      </c>
      <c r="U74" s="6">
        <f t="shared" si="5"/>
        <v>0</v>
      </c>
      <c r="W74" s="1">
        <v>18</v>
      </c>
    </row>
    <row r="75" spans="9:23" ht="13.5" customHeight="1" x14ac:dyDescent="0.25">
      <c r="I75" s="137"/>
      <c r="J75" s="137"/>
      <c r="K75" s="4" t="s">
        <v>0</v>
      </c>
      <c r="L75" s="4"/>
      <c r="M75" s="4"/>
      <c r="N75" s="1" t="str">
        <f t="shared" si="0"/>
        <v>LA</v>
      </c>
      <c r="O75" s="1">
        <f t="shared" si="1"/>
        <v>27</v>
      </c>
      <c r="P75" s="1">
        <f t="shared" si="2"/>
        <v>26</v>
      </c>
      <c r="R75" s="6">
        <f t="shared" si="3"/>
        <v>63609.600000000006</v>
      </c>
      <c r="S75" s="6">
        <f t="shared" si="4"/>
        <v>63609.600000000006</v>
      </c>
      <c r="U75" s="6">
        <f t="shared" si="5"/>
        <v>0</v>
      </c>
      <c r="W75" s="1">
        <v>19</v>
      </c>
    </row>
    <row r="76" spans="9:23" ht="13.5" customHeight="1" x14ac:dyDescent="0.25">
      <c r="I76" s="137"/>
      <c r="J76" s="137"/>
      <c r="K76" s="4" t="s">
        <v>15</v>
      </c>
      <c r="L76" s="4"/>
      <c r="M76" s="4"/>
    </row>
    <row r="77" spans="9:23" ht="13.5" customHeight="1" x14ac:dyDescent="0.25">
      <c r="I77" s="137"/>
      <c r="J77" s="137"/>
      <c r="K77" s="4" t="s">
        <v>16</v>
      </c>
      <c r="L77" s="4"/>
      <c r="M77" s="4"/>
      <c r="U77" s="6">
        <f>SUM(U56:U75)</f>
        <v>12902.400000000001</v>
      </c>
    </row>
    <row r="78" spans="9:23" ht="13.5" customHeight="1" x14ac:dyDescent="0.25">
      <c r="I78" s="137"/>
      <c r="J78" s="137"/>
      <c r="K78" s="4" t="s">
        <v>17</v>
      </c>
      <c r="L78" s="4"/>
      <c r="M78" s="4"/>
      <c r="S78" s="1" t="s">
        <v>31</v>
      </c>
      <c r="U78" s="6">
        <f>IF(F28=0,0,+U77/F28)</f>
        <v>1612.8000000000002</v>
      </c>
    </row>
    <row r="79" spans="9:23" ht="13.5" customHeight="1" x14ac:dyDescent="0.25">
      <c r="I79" s="137"/>
      <c r="J79" s="137"/>
      <c r="K79" s="4" t="s">
        <v>18</v>
      </c>
      <c r="L79" s="4"/>
      <c r="M79" s="4"/>
    </row>
    <row r="80" spans="9:23" ht="13.5" customHeight="1" x14ac:dyDescent="0.25">
      <c r="I80" s="137"/>
      <c r="J80" s="137"/>
      <c r="K80" s="4" t="s">
        <v>19</v>
      </c>
      <c r="L80" s="4"/>
      <c r="M80" s="4"/>
    </row>
    <row r="81" spans="6:13" ht="13.5" customHeight="1" x14ac:dyDescent="0.25">
      <c r="I81" s="137"/>
      <c r="J81" s="137"/>
      <c r="K81" s="4" t="s">
        <v>20</v>
      </c>
      <c r="L81" s="4"/>
      <c r="M81" s="4"/>
    </row>
    <row r="82" spans="6:13" ht="13.5" customHeight="1" x14ac:dyDescent="0.25">
      <c r="I82" s="137"/>
      <c r="J82" s="137"/>
      <c r="K82" s="4">
        <v>1</v>
      </c>
      <c r="L82" s="4"/>
      <c r="M82" s="4"/>
    </row>
    <row r="83" spans="6:13" ht="13.5" customHeight="1" x14ac:dyDescent="0.25">
      <c r="I83" s="137"/>
      <c r="J83" s="137"/>
      <c r="K83" s="4">
        <v>2</v>
      </c>
      <c r="L83" s="4"/>
      <c r="M83" s="4"/>
    </row>
    <row r="84" spans="6:13" ht="13.5" customHeight="1" x14ac:dyDescent="0.25">
      <c r="I84" s="137"/>
      <c r="J84" s="137"/>
      <c r="K84" s="4">
        <v>3</v>
      </c>
      <c r="L84" s="4"/>
      <c r="M84" s="4"/>
    </row>
    <row r="85" spans="6:13" ht="13.5" customHeight="1" x14ac:dyDescent="0.25">
      <c r="I85" s="137"/>
      <c r="J85" s="137"/>
      <c r="K85" s="4">
        <v>4</v>
      </c>
      <c r="L85" s="4"/>
      <c r="M85" s="4"/>
    </row>
    <row r="86" spans="6:13" ht="13.5" customHeight="1" x14ac:dyDescent="0.25">
      <c r="F86" s="6"/>
      <c r="G86" s="6"/>
      <c r="I86" s="137"/>
      <c r="J86" s="137"/>
      <c r="K86" s="4">
        <v>5</v>
      </c>
      <c r="L86" s="4"/>
      <c r="M86" s="4"/>
    </row>
    <row r="87" spans="6:13" ht="13.5" customHeight="1" x14ac:dyDescent="0.25">
      <c r="F87" s="6"/>
      <c r="G87" s="6"/>
      <c r="I87" s="137"/>
      <c r="J87" s="137"/>
      <c r="K87" s="4">
        <v>6</v>
      </c>
      <c r="L87" s="4"/>
      <c r="M87" s="4"/>
    </row>
    <row r="88" spans="6:13" ht="13.5" customHeight="1" x14ac:dyDescent="0.25">
      <c r="F88" s="6"/>
      <c r="G88" s="6"/>
      <c r="I88" s="137"/>
      <c r="J88" s="137"/>
      <c r="K88" s="4">
        <v>7</v>
      </c>
      <c r="L88" s="4"/>
      <c r="M88" s="4"/>
    </row>
    <row r="89" spans="6:13" ht="13.5" customHeight="1" x14ac:dyDescent="0.25">
      <c r="F89" s="6"/>
      <c r="G89" s="6"/>
      <c r="I89" s="137"/>
      <c r="J89" s="137"/>
      <c r="K89" s="4">
        <v>8</v>
      </c>
      <c r="L89" s="4"/>
      <c r="M89" s="4"/>
    </row>
    <row r="90" spans="6:13" ht="13.5" customHeight="1" x14ac:dyDescent="0.25">
      <c r="F90" s="6"/>
      <c r="G90" s="6"/>
      <c r="I90" s="137"/>
      <c r="J90" s="137"/>
      <c r="K90" s="4">
        <v>9</v>
      </c>
      <c r="L90" s="4"/>
      <c r="M90" s="4"/>
    </row>
    <row r="91" spans="6:13" ht="13.5" customHeight="1" x14ac:dyDescent="0.25">
      <c r="F91" s="6"/>
      <c r="G91" s="6"/>
      <c r="I91" s="137"/>
      <c r="J91" s="137"/>
      <c r="K91" s="4">
        <v>10</v>
      </c>
      <c r="L91" s="4"/>
      <c r="M91" s="4"/>
    </row>
    <row r="92" spans="6:13" ht="13.5" customHeight="1" x14ac:dyDescent="0.25">
      <c r="F92" s="6"/>
      <c r="G92" s="6"/>
      <c r="I92" s="137"/>
      <c r="J92" s="137"/>
      <c r="K92" s="4">
        <v>11</v>
      </c>
      <c r="L92" s="4"/>
      <c r="M92" s="4"/>
    </row>
    <row r="93" spans="6:13" ht="13.5" customHeight="1" x14ac:dyDescent="0.25">
      <c r="F93" s="6"/>
      <c r="G93" s="6"/>
      <c r="I93" s="137"/>
      <c r="J93" s="137"/>
      <c r="K93" s="4">
        <v>12</v>
      </c>
      <c r="L93" s="4"/>
      <c r="M93" s="4"/>
    </row>
    <row r="94" spans="6:13" ht="13.5" customHeight="1" x14ac:dyDescent="0.25">
      <c r="F94" s="6"/>
      <c r="G94" s="6"/>
      <c r="I94" s="137"/>
      <c r="J94" s="137"/>
      <c r="K94" s="4">
        <v>13</v>
      </c>
      <c r="L94" s="4"/>
      <c r="M94" s="4"/>
    </row>
    <row r="95" spans="6:13" ht="13.5" customHeight="1" x14ac:dyDescent="0.25">
      <c r="F95" s="142"/>
      <c r="G95" s="148"/>
      <c r="I95" s="137"/>
      <c r="J95" s="137"/>
      <c r="K95" s="4">
        <v>14</v>
      </c>
      <c r="L95" s="4"/>
      <c r="M95" s="4"/>
    </row>
    <row r="96" spans="6:13" ht="13.5" customHeight="1" x14ac:dyDescent="0.25">
      <c r="F96" s="142"/>
      <c r="G96" s="148"/>
      <c r="I96" s="137"/>
      <c r="J96" s="137"/>
      <c r="K96" s="4">
        <v>15</v>
      </c>
      <c r="L96" s="4"/>
      <c r="M96" s="4"/>
    </row>
    <row r="97" spans="6:13" ht="13.5" customHeight="1" x14ac:dyDescent="0.25">
      <c r="F97" s="142"/>
      <c r="G97" s="148"/>
      <c r="I97" s="137"/>
      <c r="J97" s="137"/>
      <c r="K97" s="4">
        <v>16</v>
      </c>
      <c r="L97" s="4"/>
      <c r="M97" s="4"/>
    </row>
    <row r="98" spans="6:13" ht="13.5" customHeight="1" x14ac:dyDescent="0.25">
      <c r="F98" s="142"/>
      <c r="G98" s="148"/>
      <c r="I98" s="137"/>
      <c r="J98" s="137"/>
      <c r="K98" s="4" t="s">
        <v>94</v>
      </c>
      <c r="L98" s="4"/>
      <c r="M98" s="4"/>
    </row>
    <row r="99" spans="6:13" ht="13.5" customHeight="1" x14ac:dyDescent="0.25">
      <c r="F99" s="141"/>
      <c r="G99" s="137"/>
      <c r="I99" s="137"/>
      <c r="J99" s="137"/>
      <c r="K99" s="4" t="s">
        <v>95</v>
      </c>
    </row>
    <row r="100" spans="6:13" ht="13.5" customHeight="1" x14ac:dyDescent="0.25">
      <c r="F100" s="142"/>
      <c r="G100" s="137"/>
      <c r="I100" s="137"/>
      <c r="J100" s="137"/>
      <c r="K100" s="4" t="s">
        <v>96</v>
      </c>
    </row>
    <row r="101" spans="6:13" ht="13.5" customHeight="1" x14ac:dyDescent="0.25">
      <c r="F101" s="131"/>
      <c r="G101" s="6"/>
      <c r="I101" s="137"/>
      <c r="J101" s="137"/>
    </row>
    <row r="102" spans="6:13" ht="13.5" customHeight="1" x14ac:dyDescent="0.25">
      <c r="F102" s="6"/>
      <c r="G102" s="6"/>
      <c r="I102" s="137"/>
      <c r="J102" s="137"/>
    </row>
    <row r="103" spans="6:13" ht="13.5" customHeight="1" x14ac:dyDescent="0.25">
      <c r="F103" s="6"/>
      <c r="G103" s="6"/>
      <c r="I103" s="137"/>
      <c r="J103" s="137"/>
    </row>
    <row r="104" spans="6:13" ht="13.5" customHeight="1" x14ac:dyDescent="0.25">
      <c r="F104" s="6"/>
      <c r="G104" s="6"/>
    </row>
    <row r="105" spans="6:13" ht="13.5" customHeight="1" x14ac:dyDescent="0.25">
      <c r="F105" s="6"/>
      <c r="G105" s="6"/>
    </row>
    <row r="116" spans="6:7" ht="13.5" customHeight="1" x14ac:dyDescent="0.25">
      <c r="F116" s="6"/>
      <c r="G11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sheetData>
  <sheetProtection password="DE55" sheet="1" objects="1" scenarios="1"/>
  <mergeCells count="1">
    <mergeCell ref="F10:G10"/>
  </mergeCells>
  <phoneticPr fontId="0" type="noConversion"/>
  <dataValidations count="2">
    <dataValidation type="list" allowBlank="1" showInputMessage="1" showErrorMessage="1" sqref="F20:F22">
      <formula1>"ja, nee"</formula1>
    </dataValidation>
    <dataValidation type="list" allowBlank="1" showInputMessage="1" showErrorMessage="1" sqref="F13">
      <formula1>$K$55:$K$100</formula1>
    </dataValidation>
  </dataValidations>
  <hyperlinks>
    <hyperlink ref="I51"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29"/>
  <sheetViews>
    <sheetView zoomScale="85" zoomScaleNormal="85" workbookViewId="0">
      <selection activeCell="D98" sqref="D98:D99"/>
    </sheetView>
  </sheetViews>
  <sheetFormatPr defaultRowHeight="12.75" x14ac:dyDescent="0.2"/>
  <cols>
    <col min="1" max="1" width="30.85546875" style="56" customWidth="1"/>
    <col min="2" max="22" width="10.7109375" style="56" customWidth="1"/>
    <col min="23" max="16384" width="9.140625" style="56"/>
  </cols>
  <sheetData>
    <row r="2" spans="1:22" x14ac:dyDescent="0.2">
      <c r="A2" s="56" t="s">
        <v>268</v>
      </c>
      <c r="B2" s="404">
        <v>2015</v>
      </c>
      <c r="C2" s="486" t="s">
        <v>361</v>
      </c>
    </row>
    <row r="3" spans="1:22" x14ac:dyDescent="0.2">
      <c r="A3" s="56" t="s">
        <v>269</v>
      </c>
      <c r="B3" s="461" t="s">
        <v>364</v>
      </c>
    </row>
    <row r="5" spans="1:22" x14ac:dyDescent="0.2">
      <c r="A5" s="53" t="s">
        <v>1</v>
      </c>
      <c r="B5" s="54">
        <v>41883</v>
      </c>
      <c r="C5" s="51"/>
      <c r="D5" s="51"/>
      <c r="E5" s="55"/>
      <c r="F5" s="51"/>
      <c r="J5" s="51"/>
      <c r="K5" s="51"/>
      <c r="L5" s="51"/>
      <c r="M5" s="51"/>
      <c r="N5" s="51"/>
      <c r="O5" s="57"/>
      <c r="P5" s="57"/>
      <c r="Q5" s="57"/>
      <c r="R5" s="57"/>
      <c r="S5" s="57"/>
      <c r="T5" s="57"/>
      <c r="U5" s="57"/>
    </row>
    <row r="6" spans="1:22" x14ac:dyDescent="0.2">
      <c r="A6" s="51" t="s">
        <v>2</v>
      </c>
      <c r="B6" s="58">
        <v>1</v>
      </c>
      <c r="C6" s="58">
        <v>2</v>
      </c>
      <c r="D6" s="58">
        <v>3</v>
      </c>
      <c r="E6" s="58">
        <v>4</v>
      </c>
      <c r="F6" s="58">
        <v>5</v>
      </c>
      <c r="G6" s="58">
        <v>6</v>
      </c>
      <c r="H6" s="58">
        <v>7</v>
      </c>
      <c r="I6" s="58">
        <v>8</v>
      </c>
      <c r="J6" s="58">
        <v>9</v>
      </c>
      <c r="K6" s="58">
        <v>10</v>
      </c>
      <c r="L6" s="58">
        <v>11</v>
      </c>
      <c r="M6" s="58">
        <v>12</v>
      </c>
      <c r="N6" s="58">
        <v>13</v>
      </c>
      <c r="O6" s="58">
        <v>14</v>
      </c>
      <c r="P6" s="58">
        <v>15</v>
      </c>
      <c r="Q6" s="58">
        <v>16</v>
      </c>
      <c r="R6" s="58">
        <v>17</v>
      </c>
      <c r="S6" s="58">
        <v>18</v>
      </c>
      <c r="T6" s="58">
        <v>19</v>
      </c>
      <c r="U6" s="58">
        <v>20</v>
      </c>
      <c r="V6" s="58" t="s">
        <v>27</v>
      </c>
    </row>
    <row r="7" spans="1:22" x14ac:dyDescent="0.2">
      <c r="A7" s="51" t="s">
        <v>93</v>
      </c>
      <c r="B7" s="49">
        <v>2636</v>
      </c>
      <c r="C7" s="49">
        <v>2739</v>
      </c>
      <c r="D7" s="49">
        <v>2845</v>
      </c>
      <c r="E7" s="49">
        <v>2947</v>
      </c>
      <c r="F7" s="49">
        <v>3050</v>
      </c>
      <c r="G7" s="49">
        <v>3155</v>
      </c>
      <c r="H7" s="49">
        <v>3259</v>
      </c>
      <c r="I7" s="49">
        <v>3363</v>
      </c>
      <c r="J7" s="49">
        <v>3465</v>
      </c>
      <c r="K7" s="49">
        <v>3569</v>
      </c>
      <c r="L7" s="49">
        <v>3675</v>
      </c>
      <c r="M7" s="49"/>
      <c r="N7" s="49"/>
      <c r="O7" s="49"/>
      <c r="P7" s="49"/>
      <c r="Q7" s="49"/>
      <c r="R7" s="49"/>
      <c r="S7" s="49"/>
      <c r="T7" s="49"/>
      <c r="U7" s="49"/>
      <c r="V7" s="59">
        <f>COUNTA(B7:U7)</f>
        <v>11</v>
      </c>
    </row>
    <row r="8" spans="1:22" x14ac:dyDescent="0.2">
      <c r="A8" s="51" t="s">
        <v>86</v>
      </c>
      <c r="B8" s="49">
        <v>2636</v>
      </c>
      <c r="C8" s="49">
        <v>2739</v>
      </c>
      <c r="D8" s="49">
        <v>2845</v>
      </c>
      <c r="E8" s="49">
        <v>2947</v>
      </c>
      <c r="F8" s="49">
        <v>3050</v>
      </c>
      <c r="G8" s="49">
        <v>3155</v>
      </c>
      <c r="H8" s="49">
        <v>3259</v>
      </c>
      <c r="I8" s="49">
        <v>3363</v>
      </c>
      <c r="J8" s="49">
        <v>3465</v>
      </c>
      <c r="K8" s="49">
        <v>3569</v>
      </c>
      <c r="L8" s="49">
        <v>3675</v>
      </c>
      <c r="M8" s="49">
        <v>3778</v>
      </c>
      <c r="N8" s="49">
        <v>3883</v>
      </c>
      <c r="O8" s="49"/>
      <c r="P8" s="49"/>
      <c r="Q8" s="49"/>
      <c r="R8" s="49"/>
      <c r="S8" s="49"/>
      <c r="T8" s="49"/>
      <c r="U8" s="49"/>
      <c r="V8" s="59">
        <f t="shared" ref="V8:V52" si="0">COUNTA(B8:U8)</f>
        <v>13</v>
      </c>
    </row>
    <row r="9" spans="1:22" x14ac:dyDescent="0.2">
      <c r="A9" s="51" t="s">
        <v>87</v>
      </c>
      <c r="B9" s="49">
        <v>2739</v>
      </c>
      <c r="C9" s="49">
        <v>2947</v>
      </c>
      <c r="D9" s="49">
        <v>3155</v>
      </c>
      <c r="E9" s="49">
        <v>3259</v>
      </c>
      <c r="F9" s="49">
        <v>3363</v>
      </c>
      <c r="G9" s="49">
        <v>3465</v>
      </c>
      <c r="H9" s="49">
        <v>3569</v>
      </c>
      <c r="I9" s="49">
        <v>3675</v>
      </c>
      <c r="J9" s="49">
        <v>3778</v>
      </c>
      <c r="K9" s="49">
        <v>3883</v>
      </c>
      <c r="L9" s="49">
        <v>3987</v>
      </c>
      <c r="M9" s="49">
        <v>4089</v>
      </c>
      <c r="N9" s="49">
        <v>4194</v>
      </c>
      <c r="O9" s="49">
        <v>4296</v>
      </c>
      <c r="P9" s="49">
        <v>4402</v>
      </c>
      <c r="Q9" s="49"/>
      <c r="R9" s="49"/>
      <c r="S9" s="49"/>
      <c r="T9" s="49"/>
      <c r="U9" s="49"/>
      <c r="V9" s="59">
        <f t="shared" si="0"/>
        <v>15</v>
      </c>
    </row>
    <row r="10" spans="1:22" x14ac:dyDescent="0.2">
      <c r="A10" s="51" t="s">
        <v>88</v>
      </c>
      <c r="B10" s="49">
        <v>2739</v>
      </c>
      <c r="C10" s="49">
        <v>2947</v>
      </c>
      <c r="D10" s="49">
        <v>3155</v>
      </c>
      <c r="E10" s="49">
        <v>3259</v>
      </c>
      <c r="F10" s="49">
        <v>3363</v>
      </c>
      <c r="G10" s="49">
        <v>3465</v>
      </c>
      <c r="H10" s="49">
        <v>3569</v>
      </c>
      <c r="I10" s="49">
        <v>3675</v>
      </c>
      <c r="J10" s="49">
        <v>3778</v>
      </c>
      <c r="K10" s="49">
        <v>3883</v>
      </c>
      <c r="L10" s="49">
        <v>3987</v>
      </c>
      <c r="M10" s="49">
        <v>4089</v>
      </c>
      <c r="N10" s="49">
        <v>4194</v>
      </c>
      <c r="O10" s="49">
        <v>4296</v>
      </c>
      <c r="P10" s="49">
        <v>4402</v>
      </c>
      <c r="Q10" s="49">
        <v>4505</v>
      </c>
      <c r="R10" s="49">
        <v>4610</v>
      </c>
      <c r="S10" s="49"/>
      <c r="T10" s="49"/>
      <c r="U10" s="49"/>
      <c r="V10" s="59">
        <f t="shared" si="0"/>
        <v>17</v>
      </c>
    </row>
    <row r="11" spans="1:22" x14ac:dyDescent="0.2">
      <c r="A11" s="51" t="s">
        <v>89</v>
      </c>
      <c r="B11" s="49">
        <v>2739</v>
      </c>
      <c r="C11" s="49">
        <v>2947</v>
      </c>
      <c r="D11" s="49">
        <v>3155</v>
      </c>
      <c r="E11" s="49">
        <v>3259</v>
      </c>
      <c r="F11" s="49">
        <v>3363</v>
      </c>
      <c r="G11" s="49">
        <v>3465</v>
      </c>
      <c r="H11" s="49">
        <v>3569</v>
      </c>
      <c r="I11" s="49">
        <v>3675</v>
      </c>
      <c r="J11" s="49">
        <v>3778</v>
      </c>
      <c r="K11" s="49">
        <v>3883</v>
      </c>
      <c r="L11" s="49"/>
      <c r="M11" s="49"/>
      <c r="N11" s="49"/>
      <c r="O11" s="49"/>
      <c r="P11" s="49"/>
      <c r="Q11" s="49"/>
      <c r="R11" s="49"/>
      <c r="S11" s="49"/>
      <c r="T11" s="49"/>
      <c r="U11" s="49"/>
      <c r="V11" s="59">
        <f t="shared" si="0"/>
        <v>10</v>
      </c>
    </row>
    <row r="12" spans="1:22" x14ac:dyDescent="0.2">
      <c r="A12" s="51" t="s">
        <v>90</v>
      </c>
      <c r="B12" s="49">
        <v>2739</v>
      </c>
      <c r="C12" s="49">
        <v>2947</v>
      </c>
      <c r="D12" s="49">
        <v>3155</v>
      </c>
      <c r="E12" s="49">
        <v>3259</v>
      </c>
      <c r="F12" s="49">
        <v>3363</v>
      </c>
      <c r="G12" s="49">
        <v>3465</v>
      </c>
      <c r="H12" s="49">
        <v>3569</v>
      </c>
      <c r="I12" s="49">
        <v>3675</v>
      </c>
      <c r="J12" s="49">
        <v>3778</v>
      </c>
      <c r="K12" s="49">
        <v>3883</v>
      </c>
      <c r="L12" s="49">
        <v>3987</v>
      </c>
      <c r="M12" s="49"/>
      <c r="N12" s="49"/>
      <c r="O12" s="49"/>
      <c r="P12" s="49"/>
      <c r="Q12" s="49"/>
      <c r="R12" s="49"/>
      <c r="S12" s="49"/>
      <c r="T12" s="49"/>
      <c r="U12" s="49"/>
      <c r="V12" s="59">
        <f t="shared" si="0"/>
        <v>11</v>
      </c>
    </row>
    <row r="13" spans="1:22" x14ac:dyDescent="0.2">
      <c r="A13" s="51" t="s">
        <v>91</v>
      </c>
      <c r="B13" s="49">
        <v>2845</v>
      </c>
      <c r="C13" s="49">
        <v>3155</v>
      </c>
      <c r="D13" s="49">
        <v>3363</v>
      </c>
      <c r="E13" s="49">
        <v>3569</v>
      </c>
      <c r="F13" s="49">
        <v>3778</v>
      </c>
      <c r="G13" s="49">
        <v>3883</v>
      </c>
      <c r="H13" s="49">
        <v>3987</v>
      </c>
      <c r="I13" s="49">
        <v>4089</v>
      </c>
      <c r="J13" s="49">
        <v>4194</v>
      </c>
      <c r="K13" s="49">
        <v>4296</v>
      </c>
      <c r="L13" s="49">
        <v>4402</v>
      </c>
      <c r="M13" s="49">
        <v>4505</v>
      </c>
      <c r="N13" s="49">
        <v>4610</v>
      </c>
      <c r="O13" s="49"/>
      <c r="P13" s="49"/>
      <c r="Q13" s="49"/>
      <c r="R13" s="49"/>
      <c r="S13" s="49"/>
      <c r="T13" s="49"/>
      <c r="U13" s="49"/>
      <c r="V13" s="59">
        <f t="shared" si="0"/>
        <v>13</v>
      </c>
    </row>
    <row r="14" spans="1:22" x14ac:dyDescent="0.2">
      <c r="A14" s="51" t="s">
        <v>92</v>
      </c>
      <c r="B14" s="49">
        <v>2845</v>
      </c>
      <c r="C14" s="49">
        <v>3155</v>
      </c>
      <c r="D14" s="49">
        <v>3363</v>
      </c>
      <c r="E14" s="49">
        <v>3569</v>
      </c>
      <c r="F14" s="49">
        <v>3778</v>
      </c>
      <c r="G14" s="49">
        <v>3883</v>
      </c>
      <c r="H14" s="49">
        <v>3987</v>
      </c>
      <c r="I14" s="49">
        <v>4089</v>
      </c>
      <c r="J14" s="49">
        <v>4194</v>
      </c>
      <c r="K14" s="49">
        <v>4296</v>
      </c>
      <c r="L14" s="49">
        <v>4402</v>
      </c>
      <c r="M14" s="49">
        <v>4505</v>
      </c>
      <c r="N14" s="49">
        <v>4610</v>
      </c>
      <c r="O14" s="49">
        <v>4712</v>
      </c>
      <c r="P14" s="49">
        <v>4816</v>
      </c>
      <c r="Q14" s="49"/>
      <c r="R14" s="49"/>
      <c r="S14" s="49"/>
      <c r="T14" s="49"/>
      <c r="U14" s="49"/>
      <c r="V14" s="59">
        <f t="shared" si="0"/>
        <v>15</v>
      </c>
    </row>
    <row r="15" spans="1:22" x14ac:dyDescent="0.2">
      <c r="A15" s="60" t="s">
        <v>3</v>
      </c>
      <c r="B15" s="49">
        <v>2636</v>
      </c>
      <c r="C15" s="49">
        <v>2739</v>
      </c>
      <c r="D15" s="49">
        <v>2845</v>
      </c>
      <c r="E15" s="49">
        <v>2947</v>
      </c>
      <c r="F15" s="49">
        <v>3050</v>
      </c>
      <c r="G15" s="49">
        <v>3155</v>
      </c>
      <c r="H15" s="49">
        <v>3259</v>
      </c>
      <c r="I15" s="49">
        <v>3363</v>
      </c>
      <c r="J15" s="49">
        <v>3465</v>
      </c>
      <c r="K15" s="49">
        <v>3569</v>
      </c>
      <c r="L15" s="49">
        <v>3675</v>
      </c>
      <c r="M15" s="49">
        <v>3778</v>
      </c>
      <c r="N15" s="49">
        <v>3883</v>
      </c>
      <c r="O15" s="49"/>
      <c r="P15" s="49"/>
      <c r="Q15" s="49"/>
      <c r="R15" s="49"/>
      <c r="S15" s="49"/>
      <c r="T15" s="49"/>
      <c r="U15" s="49"/>
      <c r="V15" s="59">
        <f t="shared" si="0"/>
        <v>13</v>
      </c>
    </row>
    <row r="16" spans="1:22" x14ac:dyDescent="0.2">
      <c r="A16" s="60" t="s">
        <v>4</v>
      </c>
      <c r="B16" s="49">
        <v>2739</v>
      </c>
      <c r="C16" s="49">
        <v>2947</v>
      </c>
      <c r="D16" s="49">
        <v>3155</v>
      </c>
      <c r="E16" s="49">
        <v>3259</v>
      </c>
      <c r="F16" s="49">
        <v>3363</v>
      </c>
      <c r="G16" s="49">
        <v>3465</v>
      </c>
      <c r="H16" s="49">
        <v>3569</v>
      </c>
      <c r="I16" s="49">
        <v>3675</v>
      </c>
      <c r="J16" s="49">
        <v>3778</v>
      </c>
      <c r="K16" s="49">
        <v>3883</v>
      </c>
      <c r="L16" s="49">
        <v>3987</v>
      </c>
      <c r="M16" s="49">
        <v>4089</v>
      </c>
      <c r="N16" s="49">
        <v>4194</v>
      </c>
      <c r="O16" s="49">
        <v>4296</v>
      </c>
      <c r="P16" s="49">
        <v>4402</v>
      </c>
      <c r="Q16" s="49"/>
      <c r="R16" s="49"/>
      <c r="S16" s="49"/>
      <c r="T16" s="49"/>
      <c r="U16" s="49"/>
      <c r="V16" s="59">
        <f t="shared" si="0"/>
        <v>15</v>
      </c>
    </row>
    <row r="17" spans="1:22" x14ac:dyDescent="0.2">
      <c r="A17" s="60" t="s">
        <v>5</v>
      </c>
      <c r="B17" s="49">
        <v>2739</v>
      </c>
      <c r="C17" s="49">
        <v>2947</v>
      </c>
      <c r="D17" s="49">
        <v>3155</v>
      </c>
      <c r="E17" s="49">
        <v>3259</v>
      </c>
      <c r="F17" s="49">
        <v>3363</v>
      </c>
      <c r="G17" s="49">
        <v>3465</v>
      </c>
      <c r="H17" s="49">
        <v>3569</v>
      </c>
      <c r="I17" s="49">
        <v>3675</v>
      </c>
      <c r="J17" s="49">
        <v>3778</v>
      </c>
      <c r="K17" s="49">
        <v>3883</v>
      </c>
      <c r="L17" s="49">
        <v>3987</v>
      </c>
      <c r="M17" s="49">
        <v>4089</v>
      </c>
      <c r="N17" s="49">
        <v>4194</v>
      </c>
      <c r="O17" s="49">
        <v>4296</v>
      </c>
      <c r="P17" s="49">
        <v>4402</v>
      </c>
      <c r="Q17" s="49">
        <v>4505</v>
      </c>
      <c r="R17" s="49">
        <v>4610</v>
      </c>
      <c r="S17" s="49"/>
      <c r="T17" s="49"/>
      <c r="U17" s="49"/>
      <c r="V17" s="59">
        <f t="shared" si="0"/>
        <v>17</v>
      </c>
    </row>
    <row r="18" spans="1:22" x14ac:dyDescent="0.2">
      <c r="A18" s="60" t="s">
        <v>6</v>
      </c>
      <c r="B18" s="49">
        <v>2845</v>
      </c>
      <c r="C18" s="49">
        <v>3155</v>
      </c>
      <c r="D18" s="49">
        <v>3363</v>
      </c>
      <c r="E18" s="49">
        <v>3569</v>
      </c>
      <c r="F18" s="49">
        <v>3778</v>
      </c>
      <c r="G18" s="49">
        <v>3883</v>
      </c>
      <c r="H18" s="49">
        <v>3987</v>
      </c>
      <c r="I18" s="49">
        <v>4089</v>
      </c>
      <c r="J18" s="49">
        <v>4194</v>
      </c>
      <c r="K18" s="49">
        <v>4296</v>
      </c>
      <c r="L18" s="49">
        <v>4402</v>
      </c>
      <c r="M18" s="49">
        <v>4505</v>
      </c>
      <c r="N18" s="49">
        <v>4610</v>
      </c>
      <c r="O18" s="49">
        <v>4712</v>
      </c>
      <c r="P18" s="49">
        <v>4816</v>
      </c>
      <c r="Q18" s="49">
        <v>4921</v>
      </c>
      <c r="R18" s="49"/>
      <c r="S18" s="49"/>
      <c r="T18" s="49"/>
      <c r="U18" s="49"/>
      <c r="V18" s="59">
        <f t="shared" si="0"/>
        <v>16</v>
      </c>
    </row>
    <row r="19" spans="1:22" x14ac:dyDescent="0.2">
      <c r="A19" s="60" t="s">
        <v>7</v>
      </c>
      <c r="B19" s="49">
        <v>2845</v>
      </c>
      <c r="C19" s="49">
        <v>3155</v>
      </c>
      <c r="D19" s="49">
        <v>3363</v>
      </c>
      <c r="E19" s="49">
        <v>3569</v>
      </c>
      <c r="F19" s="49">
        <v>3778</v>
      </c>
      <c r="G19" s="49">
        <v>3883</v>
      </c>
      <c r="H19" s="49">
        <v>3987</v>
      </c>
      <c r="I19" s="49">
        <v>4089</v>
      </c>
      <c r="J19" s="49">
        <v>4194</v>
      </c>
      <c r="K19" s="49">
        <v>4296</v>
      </c>
      <c r="L19" s="49">
        <v>4402</v>
      </c>
      <c r="M19" s="49">
        <v>4505</v>
      </c>
      <c r="N19" s="49">
        <v>4610</v>
      </c>
      <c r="O19" s="49">
        <v>4712</v>
      </c>
      <c r="P19" s="49">
        <v>4816</v>
      </c>
      <c r="Q19" s="49">
        <v>4921</v>
      </c>
      <c r="R19" s="49">
        <v>5025</v>
      </c>
      <c r="S19" s="49">
        <v>5128</v>
      </c>
      <c r="T19" s="49"/>
      <c r="U19" s="49"/>
      <c r="V19" s="59">
        <f t="shared" si="0"/>
        <v>18</v>
      </c>
    </row>
    <row r="20" spans="1:22" x14ac:dyDescent="0.2">
      <c r="A20" s="60" t="s">
        <v>8</v>
      </c>
      <c r="B20" s="49">
        <v>2888</v>
      </c>
      <c r="C20" s="49">
        <v>3104</v>
      </c>
      <c r="D20" s="49">
        <v>3324</v>
      </c>
      <c r="E20" s="49">
        <v>3536</v>
      </c>
      <c r="F20" s="49">
        <v>3770</v>
      </c>
      <c r="G20" s="49">
        <v>3883</v>
      </c>
      <c r="H20" s="49">
        <v>3991</v>
      </c>
      <c r="I20" s="49">
        <v>4102</v>
      </c>
      <c r="J20" s="49">
        <v>4207</v>
      </c>
      <c r="K20" s="49">
        <v>4320</v>
      </c>
      <c r="L20" s="49">
        <v>4430</v>
      </c>
      <c r="M20" s="49">
        <v>4536</v>
      </c>
      <c r="N20" s="49">
        <v>4645</v>
      </c>
      <c r="O20" s="49">
        <v>4783</v>
      </c>
      <c r="P20" s="49">
        <v>4920</v>
      </c>
      <c r="Q20" s="49">
        <v>5057</v>
      </c>
      <c r="R20" s="49">
        <v>5195</v>
      </c>
      <c r="S20" s="49">
        <v>5260</v>
      </c>
      <c r="T20" s="49"/>
      <c r="U20" s="49"/>
      <c r="V20" s="59">
        <f t="shared" si="0"/>
        <v>18</v>
      </c>
    </row>
    <row r="21" spans="1:22" x14ac:dyDescent="0.2">
      <c r="A21" s="60" t="s">
        <v>9</v>
      </c>
      <c r="B21" s="49">
        <v>2997</v>
      </c>
      <c r="C21" s="49">
        <v>3220</v>
      </c>
      <c r="D21" s="49">
        <v>3431</v>
      </c>
      <c r="E21" s="49">
        <v>3652</v>
      </c>
      <c r="F21" s="49">
        <v>3883</v>
      </c>
      <c r="G21" s="49">
        <v>4102</v>
      </c>
      <c r="H21" s="49">
        <v>4320</v>
      </c>
      <c r="I21" s="49">
        <v>4430</v>
      </c>
      <c r="J21" s="49">
        <v>4536</v>
      </c>
      <c r="K21" s="49">
        <v>4645</v>
      </c>
      <c r="L21" s="49">
        <v>4783</v>
      </c>
      <c r="M21" s="49">
        <v>4920</v>
      </c>
      <c r="N21" s="49">
        <v>5057</v>
      </c>
      <c r="O21" s="49">
        <v>5195</v>
      </c>
      <c r="P21" s="49">
        <v>5333</v>
      </c>
      <c r="Q21" s="49">
        <v>5479</v>
      </c>
      <c r="R21" s="49">
        <v>5628</v>
      </c>
      <c r="S21" s="49">
        <v>5782</v>
      </c>
      <c r="T21" s="49"/>
      <c r="U21" s="49"/>
      <c r="V21" s="59">
        <f t="shared" si="0"/>
        <v>18</v>
      </c>
    </row>
    <row r="22" spans="1:22" x14ac:dyDescent="0.2">
      <c r="A22" s="60" t="s">
        <v>10</v>
      </c>
      <c r="B22" s="49">
        <v>2360</v>
      </c>
      <c r="C22" s="49">
        <v>2468</v>
      </c>
      <c r="D22" s="49">
        <v>2580</v>
      </c>
      <c r="E22" s="49">
        <v>2698</v>
      </c>
      <c r="F22" s="49">
        <v>2831</v>
      </c>
      <c r="G22" s="49">
        <v>2943</v>
      </c>
      <c r="H22" s="49">
        <v>3058</v>
      </c>
      <c r="I22" s="49">
        <v>3167</v>
      </c>
      <c r="J22" s="49">
        <v>3274</v>
      </c>
      <c r="K22" s="49">
        <v>3393</v>
      </c>
      <c r="L22" s="49">
        <v>3497</v>
      </c>
      <c r="M22" s="49"/>
      <c r="N22" s="49"/>
      <c r="O22" s="49"/>
      <c r="P22" s="49"/>
      <c r="Q22" s="49"/>
      <c r="R22" s="49"/>
      <c r="S22" s="49"/>
      <c r="T22" s="49"/>
      <c r="U22" s="49"/>
      <c r="V22" s="59">
        <f t="shared" si="0"/>
        <v>11</v>
      </c>
    </row>
    <row r="23" spans="1:22" x14ac:dyDescent="0.2">
      <c r="A23" s="60" t="s">
        <v>11</v>
      </c>
      <c r="B23" s="49">
        <v>2414</v>
      </c>
      <c r="C23" s="49">
        <v>2523</v>
      </c>
      <c r="D23" s="49">
        <v>2642</v>
      </c>
      <c r="E23" s="49">
        <v>2774</v>
      </c>
      <c r="F23" s="49">
        <v>2886</v>
      </c>
      <c r="G23" s="49">
        <v>3002</v>
      </c>
      <c r="H23" s="49">
        <v>3109</v>
      </c>
      <c r="I23" s="49">
        <v>3217</v>
      </c>
      <c r="J23" s="49">
        <v>3334</v>
      </c>
      <c r="K23" s="49">
        <v>3441</v>
      </c>
      <c r="L23" s="49">
        <v>3545</v>
      </c>
      <c r="M23" s="49">
        <v>3651</v>
      </c>
      <c r="N23" s="49">
        <v>3831</v>
      </c>
      <c r="O23" s="49"/>
      <c r="P23" s="49"/>
      <c r="Q23" s="49"/>
      <c r="R23" s="49"/>
      <c r="S23" s="49"/>
      <c r="T23" s="49"/>
      <c r="U23" s="49"/>
      <c r="V23" s="59">
        <f t="shared" si="0"/>
        <v>13</v>
      </c>
    </row>
    <row r="24" spans="1:22" x14ac:dyDescent="0.2">
      <c r="A24" s="60" t="s">
        <v>12</v>
      </c>
      <c r="B24" s="49">
        <v>2465</v>
      </c>
      <c r="C24" s="49">
        <v>2587</v>
      </c>
      <c r="D24" s="49">
        <v>2715</v>
      </c>
      <c r="E24" s="49">
        <v>2831</v>
      </c>
      <c r="F24" s="49">
        <v>2944</v>
      </c>
      <c r="G24" s="49">
        <v>3054</v>
      </c>
      <c r="H24" s="49">
        <v>3160</v>
      </c>
      <c r="I24" s="49">
        <v>3279</v>
      </c>
      <c r="J24" s="49">
        <v>3384</v>
      </c>
      <c r="K24" s="49">
        <v>3490</v>
      </c>
      <c r="L24" s="49">
        <v>3597</v>
      </c>
      <c r="M24" s="49">
        <v>3713</v>
      </c>
      <c r="N24" s="49">
        <v>3831</v>
      </c>
      <c r="O24" s="49">
        <v>3944</v>
      </c>
      <c r="P24" s="49">
        <v>4054</v>
      </c>
      <c r="Q24" s="49">
        <v>4163</v>
      </c>
      <c r="R24" s="49">
        <v>4271</v>
      </c>
      <c r="S24" s="49">
        <v>4326</v>
      </c>
      <c r="T24" s="49"/>
      <c r="U24" s="49"/>
      <c r="V24" s="59">
        <f t="shared" si="0"/>
        <v>18</v>
      </c>
    </row>
    <row r="25" spans="1:22" x14ac:dyDescent="0.2">
      <c r="A25" s="60" t="s">
        <v>13</v>
      </c>
      <c r="B25" s="49">
        <v>2587</v>
      </c>
      <c r="C25" s="49">
        <v>2715</v>
      </c>
      <c r="D25" s="49">
        <v>2944</v>
      </c>
      <c r="E25" s="49">
        <v>3160</v>
      </c>
      <c r="F25" s="49">
        <v>3279</v>
      </c>
      <c r="G25" s="49">
        <v>3384</v>
      </c>
      <c r="H25" s="49">
        <v>3490</v>
      </c>
      <c r="I25" s="49">
        <v>3597</v>
      </c>
      <c r="J25" s="49">
        <v>3713</v>
      </c>
      <c r="K25" s="49">
        <v>3831</v>
      </c>
      <c r="L25" s="49">
        <v>3944</v>
      </c>
      <c r="M25" s="49">
        <v>4054</v>
      </c>
      <c r="N25" s="49">
        <v>4163</v>
      </c>
      <c r="O25" s="49">
        <v>4271</v>
      </c>
      <c r="P25" s="49">
        <v>4383</v>
      </c>
      <c r="Q25" s="49">
        <v>4494</v>
      </c>
      <c r="R25" s="49">
        <v>4600</v>
      </c>
      <c r="S25" s="49">
        <v>4711</v>
      </c>
      <c r="T25" s="49">
        <v>4850</v>
      </c>
      <c r="U25" s="49">
        <v>4917</v>
      </c>
      <c r="V25" s="59">
        <f t="shared" si="0"/>
        <v>20</v>
      </c>
    </row>
    <row r="26" spans="1:22" x14ac:dyDescent="0.2">
      <c r="A26" s="60" t="s">
        <v>14</v>
      </c>
      <c r="B26" s="49">
        <v>2715</v>
      </c>
      <c r="C26" s="49">
        <v>2944</v>
      </c>
      <c r="D26" s="49">
        <v>3160</v>
      </c>
      <c r="E26" s="49">
        <v>3384</v>
      </c>
      <c r="F26" s="49">
        <v>3597</v>
      </c>
      <c r="G26" s="49">
        <v>2647</v>
      </c>
      <c r="H26" s="49">
        <v>3944</v>
      </c>
      <c r="I26" s="49">
        <v>4054</v>
      </c>
      <c r="J26" s="49">
        <v>4163</v>
      </c>
      <c r="K26" s="49">
        <v>4271</v>
      </c>
      <c r="L26" s="49">
        <v>4383</v>
      </c>
      <c r="M26" s="49">
        <v>4494</v>
      </c>
      <c r="N26" s="49">
        <v>4600</v>
      </c>
      <c r="O26" s="49">
        <v>4711</v>
      </c>
      <c r="P26" s="49">
        <v>4850</v>
      </c>
      <c r="Q26" s="49">
        <v>4986</v>
      </c>
      <c r="R26" s="49">
        <v>5125</v>
      </c>
      <c r="S26" s="49">
        <v>5263</v>
      </c>
      <c r="T26" s="49">
        <v>5329</v>
      </c>
      <c r="U26" s="49"/>
      <c r="V26" s="59">
        <f t="shared" si="0"/>
        <v>19</v>
      </c>
    </row>
    <row r="27" spans="1:22" x14ac:dyDescent="0.2">
      <c r="A27" s="60" t="s">
        <v>0</v>
      </c>
      <c r="B27" s="448">
        <v>2317</v>
      </c>
      <c r="C27" s="448">
        <v>2364</v>
      </c>
      <c r="D27" s="448">
        <v>2416</v>
      </c>
      <c r="E27" s="448">
        <v>2467</v>
      </c>
      <c r="F27" s="448">
        <v>2519</v>
      </c>
      <c r="G27" s="448">
        <v>2579</v>
      </c>
      <c r="H27" s="448">
        <v>2641</v>
      </c>
      <c r="I27" s="448">
        <v>2709</v>
      </c>
      <c r="J27" s="448">
        <v>2785</v>
      </c>
      <c r="K27" s="448">
        <v>2863</v>
      </c>
      <c r="L27" s="448">
        <v>2949</v>
      </c>
      <c r="M27" s="448">
        <v>3039</v>
      </c>
      <c r="N27" s="448">
        <v>3136</v>
      </c>
      <c r="O27" s="448">
        <v>3236</v>
      </c>
      <c r="P27" s="448">
        <v>3313</v>
      </c>
      <c r="Q27" s="49"/>
      <c r="R27" s="49"/>
      <c r="S27" s="49"/>
      <c r="T27" s="49"/>
      <c r="U27" s="49"/>
      <c r="V27" s="59">
        <f t="shared" si="0"/>
        <v>15</v>
      </c>
    </row>
    <row r="28" spans="1:22" x14ac:dyDescent="0.2">
      <c r="A28" s="60" t="s">
        <v>15</v>
      </c>
      <c r="B28" s="448">
        <v>2402</v>
      </c>
      <c r="C28" s="448">
        <v>2460</v>
      </c>
      <c r="D28" s="448">
        <v>2526</v>
      </c>
      <c r="E28" s="448">
        <v>2590</v>
      </c>
      <c r="F28" s="448">
        <v>2653</v>
      </c>
      <c r="G28" s="448">
        <v>2726</v>
      </c>
      <c r="H28" s="448">
        <v>2804</v>
      </c>
      <c r="I28" s="448">
        <v>2889</v>
      </c>
      <c r="J28" s="448">
        <v>2988</v>
      </c>
      <c r="K28" s="448">
        <v>3089</v>
      </c>
      <c r="L28" s="448">
        <v>3197</v>
      </c>
      <c r="M28" s="448">
        <v>3308</v>
      </c>
      <c r="N28" s="448">
        <v>3425</v>
      </c>
      <c r="O28" s="448">
        <v>3546</v>
      </c>
      <c r="P28" s="448">
        <v>3640</v>
      </c>
      <c r="Q28" s="49"/>
      <c r="R28" s="49"/>
      <c r="S28" s="49"/>
      <c r="T28" s="49"/>
      <c r="U28" s="49"/>
      <c r="V28" s="59">
        <f t="shared" si="0"/>
        <v>15</v>
      </c>
    </row>
    <row r="29" spans="1:22" x14ac:dyDescent="0.2">
      <c r="A29" s="60" t="s">
        <v>16</v>
      </c>
      <c r="B29" s="448">
        <v>2416</v>
      </c>
      <c r="C29" s="448">
        <v>2533</v>
      </c>
      <c r="D29" s="448">
        <v>2652</v>
      </c>
      <c r="E29" s="448">
        <v>2774</v>
      </c>
      <c r="F29" s="448">
        <v>2893</v>
      </c>
      <c r="G29" s="448">
        <v>3017</v>
      </c>
      <c r="H29" s="448">
        <v>3143</v>
      </c>
      <c r="I29" s="448">
        <v>3273</v>
      </c>
      <c r="J29" s="448">
        <v>3408</v>
      </c>
      <c r="K29" s="448">
        <v>3547</v>
      </c>
      <c r="L29" s="448">
        <v>3686</v>
      </c>
      <c r="M29" s="448">
        <v>3831</v>
      </c>
      <c r="N29" s="448">
        <v>3980</v>
      </c>
      <c r="O29" s="448">
        <v>4131</v>
      </c>
      <c r="P29" s="448">
        <v>4247</v>
      </c>
      <c r="Q29" s="49"/>
      <c r="R29" s="49"/>
      <c r="S29" s="49"/>
      <c r="T29" s="49"/>
      <c r="U29" s="49"/>
      <c r="V29" s="59">
        <f t="shared" si="0"/>
        <v>15</v>
      </c>
    </row>
    <row r="30" spans="1:22" x14ac:dyDescent="0.2">
      <c r="A30" s="485" t="s">
        <v>17</v>
      </c>
      <c r="B30" s="481">
        <v>2425</v>
      </c>
      <c r="C30" s="481">
        <v>2570</v>
      </c>
      <c r="D30" s="481">
        <v>2720</v>
      </c>
      <c r="E30" s="481">
        <v>2872</v>
      </c>
      <c r="F30" s="481">
        <v>3024</v>
      </c>
      <c r="G30" s="481">
        <v>3183</v>
      </c>
      <c r="H30" s="481">
        <v>3348</v>
      </c>
      <c r="I30" s="481">
        <v>3515</v>
      </c>
      <c r="J30" s="481">
        <v>3691</v>
      </c>
      <c r="K30" s="481">
        <v>3874</v>
      </c>
      <c r="L30" s="481">
        <v>4062</v>
      </c>
      <c r="M30" s="481">
        <v>4256</v>
      </c>
      <c r="N30" s="481">
        <v>4458</v>
      </c>
      <c r="O30" s="481">
        <v>4664</v>
      </c>
      <c r="P30" s="481">
        <v>4832</v>
      </c>
      <c r="Q30" s="481"/>
      <c r="R30" s="481"/>
      <c r="S30" s="481"/>
      <c r="T30" s="481"/>
      <c r="U30" s="481"/>
      <c r="V30" s="59">
        <f t="shared" si="0"/>
        <v>15</v>
      </c>
    </row>
    <row r="31" spans="1:22" x14ac:dyDescent="0.2">
      <c r="A31" s="60" t="s">
        <v>18</v>
      </c>
      <c r="B31" s="448">
        <v>3120</v>
      </c>
      <c r="C31" s="448">
        <v>3238</v>
      </c>
      <c r="D31" s="448">
        <v>3344</v>
      </c>
      <c r="E31" s="448">
        <v>3556</v>
      </c>
      <c r="F31" s="448">
        <v>3791</v>
      </c>
      <c r="G31" s="448">
        <v>3939</v>
      </c>
      <c r="H31" s="448">
        <v>4088</v>
      </c>
      <c r="I31" s="448">
        <v>4238</v>
      </c>
      <c r="J31" s="448">
        <v>4388</v>
      </c>
      <c r="K31" s="448">
        <v>4537</v>
      </c>
      <c r="L31" s="448">
        <v>4688</v>
      </c>
      <c r="M31" s="448">
        <v>4838</v>
      </c>
      <c r="N31" s="448">
        <v>4989</v>
      </c>
      <c r="O31" s="448">
        <v>5138</v>
      </c>
      <c r="P31" s="448">
        <v>5240</v>
      </c>
      <c r="Q31" s="49"/>
      <c r="R31" s="49"/>
      <c r="S31" s="49"/>
      <c r="T31" s="49"/>
      <c r="U31" s="49"/>
      <c r="V31" s="59">
        <f t="shared" si="0"/>
        <v>15</v>
      </c>
    </row>
    <row r="32" spans="1:22" x14ac:dyDescent="0.2">
      <c r="A32" s="51">
        <v>1</v>
      </c>
      <c r="B32" s="49">
        <v>1507.8</v>
      </c>
      <c r="C32" s="49">
        <v>1507.8</v>
      </c>
      <c r="D32" s="49">
        <v>1556</v>
      </c>
      <c r="E32" s="49">
        <v>1585</v>
      </c>
      <c r="F32" s="49">
        <v>1617</v>
      </c>
      <c r="G32" s="49">
        <v>1651</v>
      </c>
      <c r="H32" s="49">
        <v>1694</v>
      </c>
      <c r="I32" s="49"/>
      <c r="J32" s="49"/>
      <c r="K32" s="49"/>
      <c r="L32" s="49"/>
      <c r="M32" s="49"/>
      <c r="N32" s="49"/>
      <c r="O32" s="49"/>
      <c r="P32" s="49"/>
      <c r="Q32" s="49"/>
      <c r="R32" s="49"/>
      <c r="S32" s="49"/>
      <c r="T32" s="49"/>
      <c r="U32" s="49"/>
      <c r="V32" s="59">
        <f t="shared" si="0"/>
        <v>7</v>
      </c>
    </row>
    <row r="33" spans="1:22" x14ac:dyDescent="0.2">
      <c r="A33" s="51">
        <v>2</v>
      </c>
      <c r="B33" s="49">
        <v>1507.8</v>
      </c>
      <c r="C33" s="49">
        <v>1526</v>
      </c>
      <c r="D33" s="49">
        <v>1585</v>
      </c>
      <c r="E33" s="49">
        <v>1651</v>
      </c>
      <c r="F33" s="49">
        <v>1694</v>
      </c>
      <c r="G33" s="49">
        <v>1744</v>
      </c>
      <c r="H33" s="49">
        <v>1804</v>
      </c>
      <c r="I33" s="49">
        <v>1862</v>
      </c>
      <c r="J33" s="49"/>
      <c r="K33" s="49"/>
      <c r="L33" s="49"/>
      <c r="M33" s="49"/>
      <c r="N33" s="49"/>
      <c r="O33" s="49"/>
      <c r="P33" s="49"/>
      <c r="Q33" s="49"/>
      <c r="R33" s="49"/>
      <c r="S33" s="49"/>
      <c r="T33" s="49"/>
      <c r="U33" s="49"/>
      <c r="V33" s="59">
        <f t="shared" si="0"/>
        <v>8</v>
      </c>
    </row>
    <row r="34" spans="1:22" x14ac:dyDescent="0.2">
      <c r="A34" s="51">
        <v>3</v>
      </c>
      <c r="B34" s="49">
        <v>1507.8</v>
      </c>
      <c r="C34" s="49">
        <v>1585</v>
      </c>
      <c r="D34" s="49">
        <v>1651</v>
      </c>
      <c r="E34" s="49">
        <v>1744</v>
      </c>
      <c r="F34" s="49">
        <v>1804</v>
      </c>
      <c r="G34" s="49">
        <v>1862</v>
      </c>
      <c r="H34" s="49">
        <v>1919</v>
      </c>
      <c r="I34" s="49">
        <v>1973</v>
      </c>
      <c r="J34" s="49">
        <v>2028</v>
      </c>
      <c r="K34" s="49"/>
      <c r="L34" s="49"/>
      <c r="M34" s="49"/>
      <c r="N34" s="49"/>
      <c r="O34" s="49"/>
      <c r="P34" s="49"/>
      <c r="Q34" s="49"/>
      <c r="R34" s="49"/>
      <c r="S34" s="49"/>
      <c r="T34" s="49"/>
      <c r="U34" s="49"/>
      <c r="V34" s="59">
        <f t="shared" si="0"/>
        <v>9</v>
      </c>
    </row>
    <row r="35" spans="1:22" x14ac:dyDescent="0.2">
      <c r="A35" s="51">
        <v>4</v>
      </c>
      <c r="B35" s="49">
        <v>1507.8</v>
      </c>
      <c r="C35" s="49">
        <v>1556</v>
      </c>
      <c r="D35" s="49">
        <v>1617</v>
      </c>
      <c r="E35" s="49">
        <v>1694</v>
      </c>
      <c r="F35" s="49">
        <v>1804</v>
      </c>
      <c r="G35" s="49">
        <v>1862</v>
      </c>
      <c r="H35" s="49">
        <v>1919</v>
      </c>
      <c r="I35" s="49">
        <v>1973</v>
      </c>
      <c r="J35" s="49">
        <v>2028</v>
      </c>
      <c r="K35" s="49">
        <v>2081</v>
      </c>
      <c r="L35" s="49">
        <v>2133</v>
      </c>
      <c r="M35" s="49"/>
      <c r="N35" s="49"/>
      <c r="O35" s="49"/>
      <c r="P35" s="49"/>
      <c r="Q35" s="49"/>
      <c r="R35" s="49"/>
      <c r="S35" s="49"/>
      <c r="T35" s="49"/>
      <c r="U35" s="49"/>
      <c r="V35" s="59">
        <f t="shared" si="0"/>
        <v>11</v>
      </c>
    </row>
    <row r="36" spans="1:22" x14ac:dyDescent="0.2">
      <c r="A36" s="51">
        <v>5</v>
      </c>
      <c r="B36" s="49">
        <v>1526</v>
      </c>
      <c r="C36" s="49">
        <v>1556</v>
      </c>
      <c r="D36" s="49">
        <v>1651</v>
      </c>
      <c r="E36" s="49">
        <v>1744</v>
      </c>
      <c r="F36" s="49">
        <v>1862</v>
      </c>
      <c r="G36" s="49">
        <v>1919</v>
      </c>
      <c r="H36" s="49">
        <v>1973</v>
      </c>
      <c r="I36" s="49">
        <v>2028</v>
      </c>
      <c r="J36" s="49">
        <v>2081</v>
      </c>
      <c r="K36" s="49">
        <v>2133</v>
      </c>
      <c r="L36" s="49">
        <v>2184</v>
      </c>
      <c r="M36" s="49">
        <v>2243</v>
      </c>
      <c r="N36" s="49"/>
      <c r="O36" s="49"/>
      <c r="P36" s="49"/>
      <c r="Q36" s="49"/>
      <c r="R36" s="49"/>
      <c r="S36" s="49"/>
      <c r="T36" s="49"/>
      <c r="U36" s="49"/>
      <c r="V36" s="59">
        <f t="shared" si="0"/>
        <v>12</v>
      </c>
    </row>
    <row r="37" spans="1:22" x14ac:dyDescent="0.2">
      <c r="A37" s="51">
        <v>6</v>
      </c>
      <c r="B37" s="49">
        <v>1585</v>
      </c>
      <c r="C37" s="49">
        <v>1651</v>
      </c>
      <c r="D37" s="49">
        <v>1862</v>
      </c>
      <c r="E37" s="49">
        <v>1973</v>
      </c>
      <c r="F37" s="49">
        <v>2028</v>
      </c>
      <c r="G37" s="49">
        <v>2081</v>
      </c>
      <c r="H37" s="49">
        <v>2133</v>
      </c>
      <c r="I37" s="49">
        <v>2184</v>
      </c>
      <c r="J37" s="49">
        <v>2243</v>
      </c>
      <c r="K37" s="49">
        <v>2297</v>
      </c>
      <c r="L37" s="49">
        <v>2350</v>
      </c>
      <c r="M37" s="49"/>
      <c r="N37" s="49"/>
      <c r="O37" s="49"/>
      <c r="P37" s="49"/>
      <c r="Q37" s="49"/>
      <c r="R37" s="49"/>
      <c r="S37" s="49"/>
      <c r="T37" s="49"/>
      <c r="U37" s="49"/>
      <c r="V37" s="59">
        <f t="shared" si="0"/>
        <v>11</v>
      </c>
    </row>
    <row r="38" spans="1:22" x14ac:dyDescent="0.2">
      <c r="A38" s="51">
        <v>7</v>
      </c>
      <c r="B38" s="49">
        <v>1694</v>
      </c>
      <c r="C38" s="49">
        <v>1744</v>
      </c>
      <c r="D38" s="49">
        <v>1862</v>
      </c>
      <c r="E38" s="49">
        <v>2081</v>
      </c>
      <c r="F38" s="49">
        <v>2184</v>
      </c>
      <c r="G38" s="49">
        <v>2243</v>
      </c>
      <c r="H38" s="49">
        <v>2297</v>
      </c>
      <c r="I38" s="49">
        <v>2350</v>
      </c>
      <c r="J38" s="49">
        <v>2405</v>
      </c>
      <c r="K38" s="49">
        <v>2463</v>
      </c>
      <c r="L38" s="49">
        <v>2524</v>
      </c>
      <c r="M38" s="49">
        <v>2591</v>
      </c>
      <c r="N38" s="49"/>
      <c r="O38" s="49"/>
      <c r="P38" s="49"/>
      <c r="Q38" s="49"/>
      <c r="R38" s="49"/>
      <c r="S38" s="49"/>
      <c r="T38" s="49"/>
      <c r="U38" s="49"/>
      <c r="V38" s="59">
        <f t="shared" si="0"/>
        <v>12</v>
      </c>
    </row>
    <row r="39" spans="1:22" x14ac:dyDescent="0.2">
      <c r="A39" s="51">
        <v>8</v>
      </c>
      <c r="B39" s="49">
        <v>1919</v>
      </c>
      <c r="C39" s="49">
        <v>1973</v>
      </c>
      <c r="D39" s="49">
        <v>2081</v>
      </c>
      <c r="E39" s="49">
        <v>2297</v>
      </c>
      <c r="F39" s="49">
        <v>2405</v>
      </c>
      <c r="G39" s="49">
        <v>2524</v>
      </c>
      <c r="H39" s="49">
        <v>2591</v>
      </c>
      <c r="I39" s="49">
        <v>2652</v>
      </c>
      <c r="J39" s="49">
        <v>2707</v>
      </c>
      <c r="K39" s="49">
        <v>2766</v>
      </c>
      <c r="L39" s="49">
        <v>2824</v>
      </c>
      <c r="M39" s="49">
        <v>2879</v>
      </c>
      <c r="N39" s="49">
        <v>2931</v>
      </c>
      <c r="O39" s="49"/>
      <c r="P39" s="49"/>
      <c r="Q39" s="49"/>
      <c r="R39" s="49"/>
      <c r="S39" s="49"/>
      <c r="T39" s="49"/>
      <c r="U39" s="49"/>
      <c r="V39" s="59">
        <f t="shared" si="0"/>
        <v>13</v>
      </c>
    </row>
    <row r="40" spans="1:22" x14ac:dyDescent="0.2">
      <c r="A40" s="51">
        <v>9</v>
      </c>
      <c r="B40" s="49">
        <v>2206</v>
      </c>
      <c r="C40" s="49">
        <v>2320</v>
      </c>
      <c r="D40" s="49">
        <v>2548</v>
      </c>
      <c r="E40" s="49">
        <v>2679</v>
      </c>
      <c r="F40" s="49">
        <v>2792</v>
      </c>
      <c r="G40" s="49">
        <v>2907</v>
      </c>
      <c r="H40" s="49">
        <v>3016</v>
      </c>
      <c r="I40" s="49">
        <v>3124</v>
      </c>
      <c r="J40" s="49">
        <v>3242</v>
      </c>
      <c r="K40" s="49">
        <v>3346</v>
      </c>
      <c r="L40" s="49"/>
      <c r="M40" s="49"/>
      <c r="N40" s="49"/>
      <c r="O40" s="49"/>
      <c r="P40" s="49"/>
      <c r="Q40" s="49"/>
      <c r="R40" s="49"/>
      <c r="S40" s="49"/>
      <c r="T40" s="49"/>
      <c r="U40" s="49"/>
      <c r="V40" s="59">
        <f t="shared" si="0"/>
        <v>10</v>
      </c>
    </row>
    <row r="41" spans="1:22" x14ac:dyDescent="0.2">
      <c r="A41" s="51">
        <v>10</v>
      </c>
      <c r="B41" s="49">
        <v>2206</v>
      </c>
      <c r="C41" s="49">
        <v>2429</v>
      </c>
      <c r="D41" s="49">
        <v>2548</v>
      </c>
      <c r="E41" s="49">
        <v>2679</v>
      </c>
      <c r="F41" s="49">
        <v>2792</v>
      </c>
      <c r="G41" s="49">
        <v>2907</v>
      </c>
      <c r="H41" s="49">
        <v>3016</v>
      </c>
      <c r="I41" s="49">
        <v>3094</v>
      </c>
      <c r="J41" s="49">
        <v>3242</v>
      </c>
      <c r="K41" s="49">
        <v>3346</v>
      </c>
      <c r="L41" s="49">
        <v>3454</v>
      </c>
      <c r="M41" s="49">
        <v>3558</v>
      </c>
      <c r="N41" s="49">
        <v>3677</v>
      </c>
      <c r="O41" s="49"/>
      <c r="P41" s="49"/>
      <c r="Q41" s="49"/>
      <c r="R41" s="49"/>
      <c r="S41" s="49"/>
      <c r="T41" s="49"/>
      <c r="U41" s="49"/>
      <c r="V41" s="59">
        <f t="shared" si="0"/>
        <v>13</v>
      </c>
    </row>
    <row r="42" spans="1:22" x14ac:dyDescent="0.2">
      <c r="A42" s="51">
        <v>11</v>
      </c>
      <c r="B42" s="49">
        <v>2320</v>
      </c>
      <c r="C42" s="49">
        <v>2429</v>
      </c>
      <c r="D42" s="49">
        <v>2548</v>
      </c>
      <c r="E42" s="49">
        <v>2679</v>
      </c>
      <c r="F42" s="49">
        <v>2792</v>
      </c>
      <c r="G42" s="49">
        <v>2907</v>
      </c>
      <c r="H42" s="49">
        <v>3016</v>
      </c>
      <c r="I42" s="49">
        <v>3242</v>
      </c>
      <c r="J42" s="49">
        <v>3346</v>
      </c>
      <c r="K42" s="49">
        <v>3454</v>
      </c>
      <c r="L42" s="49">
        <v>3558</v>
      </c>
      <c r="M42" s="49">
        <v>3677</v>
      </c>
      <c r="N42" s="49">
        <v>3793</v>
      </c>
      <c r="O42" s="49">
        <v>3907</v>
      </c>
      <c r="P42" s="49">
        <v>4016</v>
      </c>
      <c r="Q42" s="49">
        <v>4127</v>
      </c>
      <c r="R42" s="49">
        <v>4232</v>
      </c>
      <c r="S42" s="49">
        <v>4290</v>
      </c>
      <c r="T42" s="49"/>
      <c r="U42" s="49"/>
      <c r="V42" s="59">
        <f t="shared" si="0"/>
        <v>18</v>
      </c>
    </row>
    <row r="43" spans="1:22" x14ac:dyDescent="0.2">
      <c r="A43" s="51">
        <v>12</v>
      </c>
      <c r="B43" s="49">
        <v>3124</v>
      </c>
      <c r="C43" s="49">
        <v>3242</v>
      </c>
      <c r="D43" s="49">
        <v>3346</v>
      </c>
      <c r="E43" s="49">
        <v>3454</v>
      </c>
      <c r="F43" s="49">
        <v>3558</v>
      </c>
      <c r="G43" s="49">
        <v>3677</v>
      </c>
      <c r="H43" s="49">
        <v>3907</v>
      </c>
      <c r="I43" s="49">
        <v>4016</v>
      </c>
      <c r="J43" s="49">
        <v>4127</v>
      </c>
      <c r="K43" s="49">
        <v>4232</v>
      </c>
      <c r="L43" s="49">
        <v>4347</v>
      </c>
      <c r="M43" s="49">
        <v>4458</v>
      </c>
      <c r="N43" s="49">
        <v>4563</v>
      </c>
      <c r="O43" s="49">
        <v>4674</v>
      </c>
      <c r="P43" s="49">
        <v>4811</v>
      </c>
      <c r="Q43" s="49">
        <v>4881</v>
      </c>
      <c r="R43" s="49"/>
      <c r="S43" s="49"/>
      <c r="T43" s="49"/>
      <c r="U43" s="49"/>
      <c r="V43" s="59">
        <f t="shared" si="0"/>
        <v>16</v>
      </c>
    </row>
    <row r="44" spans="1:22" x14ac:dyDescent="0.2">
      <c r="A44" s="51">
        <v>13</v>
      </c>
      <c r="B44" s="49">
        <v>3793</v>
      </c>
      <c r="C44" s="49">
        <v>3907</v>
      </c>
      <c r="D44" s="49">
        <v>4016</v>
      </c>
      <c r="E44" s="49">
        <v>4127</v>
      </c>
      <c r="F44" s="49">
        <v>4232</v>
      </c>
      <c r="G44" s="49">
        <v>4458</v>
      </c>
      <c r="H44" s="49">
        <v>4563</v>
      </c>
      <c r="I44" s="49">
        <v>4674</v>
      </c>
      <c r="J44" s="49">
        <v>4811</v>
      </c>
      <c r="K44" s="49">
        <v>4950</v>
      </c>
      <c r="L44" s="49">
        <v>5088</v>
      </c>
      <c r="M44" s="49">
        <v>5225</v>
      </c>
      <c r="N44" s="49">
        <v>5293</v>
      </c>
      <c r="O44" s="49"/>
      <c r="P44" s="49"/>
      <c r="Q44" s="49"/>
      <c r="R44" s="49"/>
      <c r="S44" s="49"/>
      <c r="T44" s="49"/>
      <c r="U44" s="49"/>
      <c r="V44" s="59">
        <f t="shared" si="0"/>
        <v>13</v>
      </c>
    </row>
    <row r="45" spans="1:22" x14ac:dyDescent="0.2">
      <c r="A45" s="51">
        <v>14</v>
      </c>
      <c r="B45" s="49">
        <v>4347</v>
      </c>
      <c r="C45" s="49">
        <v>4458</v>
      </c>
      <c r="D45" s="49">
        <v>4674</v>
      </c>
      <c r="E45" s="49">
        <v>4811</v>
      </c>
      <c r="F45" s="49">
        <v>4950</v>
      </c>
      <c r="G45" s="49">
        <v>5088</v>
      </c>
      <c r="H45" s="49">
        <v>5225</v>
      </c>
      <c r="I45" s="49">
        <v>5365</v>
      </c>
      <c r="J45" s="49">
        <v>5512</v>
      </c>
      <c r="K45" s="49">
        <v>5660</v>
      </c>
      <c r="L45" s="49">
        <v>5815</v>
      </c>
      <c r="M45" s="49"/>
      <c r="N45" s="49"/>
      <c r="O45" s="49"/>
      <c r="P45" s="49"/>
      <c r="Q45" s="49"/>
      <c r="R45" s="49"/>
      <c r="S45" s="49"/>
      <c r="T45" s="49"/>
      <c r="U45" s="49"/>
      <c r="V45" s="59">
        <f t="shared" si="0"/>
        <v>11</v>
      </c>
    </row>
    <row r="46" spans="1:22" x14ac:dyDescent="0.2">
      <c r="A46" s="51">
        <v>15</v>
      </c>
      <c r="B46" s="481">
        <v>4563</v>
      </c>
      <c r="C46" s="481">
        <v>4674</v>
      </c>
      <c r="D46" s="481">
        <v>4811</v>
      </c>
      <c r="E46" s="481">
        <v>5088</v>
      </c>
      <c r="F46" s="481">
        <v>5225</v>
      </c>
      <c r="G46" s="481">
        <v>5365</v>
      </c>
      <c r="H46" s="481">
        <v>5512</v>
      </c>
      <c r="I46" s="481">
        <v>5660</v>
      </c>
      <c r="J46" s="481">
        <v>5815</v>
      </c>
      <c r="K46" s="481">
        <v>5999</v>
      </c>
      <c r="L46" s="481">
        <v>6192</v>
      </c>
      <c r="M46" s="481">
        <v>6390</v>
      </c>
      <c r="N46" s="481"/>
      <c r="O46" s="481"/>
      <c r="P46" s="481"/>
      <c r="Q46" s="481"/>
      <c r="R46" s="481"/>
      <c r="S46" s="481"/>
      <c r="T46" s="481"/>
      <c r="U46" s="481"/>
      <c r="V46" s="482">
        <f t="shared" si="0"/>
        <v>12</v>
      </c>
    </row>
    <row r="47" spans="1:22" x14ac:dyDescent="0.2">
      <c r="A47" s="51">
        <v>16</v>
      </c>
      <c r="B47" s="481">
        <v>4950</v>
      </c>
      <c r="C47" s="481">
        <v>5088</v>
      </c>
      <c r="D47" s="481">
        <v>5225</v>
      </c>
      <c r="E47" s="481">
        <v>5512</v>
      </c>
      <c r="F47" s="481">
        <v>5660</v>
      </c>
      <c r="G47" s="481">
        <v>5815</v>
      </c>
      <c r="H47" s="481">
        <v>5999</v>
      </c>
      <c r="I47" s="481">
        <v>6192</v>
      </c>
      <c r="J47" s="481">
        <v>6390</v>
      </c>
      <c r="K47" s="481">
        <v>6594</v>
      </c>
      <c r="L47" s="481">
        <v>6802</v>
      </c>
      <c r="M47" s="481">
        <v>7019</v>
      </c>
      <c r="N47" s="481"/>
      <c r="O47" s="481"/>
      <c r="P47" s="481"/>
      <c r="Q47" s="481"/>
      <c r="R47" s="481"/>
      <c r="S47" s="481"/>
      <c r="T47" s="481"/>
      <c r="U47" s="481"/>
      <c r="V47" s="482">
        <f t="shared" si="0"/>
        <v>12</v>
      </c>
    </row>
    <row r="48" spans="1:22" x14ac:dyDescent="0.2">
      <c r="A48" s="51" t="s">
        <v>19</v>
      </c>
      <c r="B48" s="50">
        <v>1158.5</v>
      </c>
      <c r="C48" s="49"/>
      <c r="D48" s="49"/>
      <c r="E48" s="49"/>
      <c r="F48" s="49"/>
      <c r="G48" s="49"/>
      <c r="H48" s="49"/>
      <c r="I48" s="49"/>
      <c r="J48" s="49"/>
      <c r="K48" s="49"/>
      <c r="L48" s="49"/>
      <c r="M48" s="49"/>
      <c r="N48" s="49"/>
      <c r="O48" s="49"/>
      <c r="P48" s="49"/>
      <c r="Q48" s="49"/>
      <c r="R48" s="49"/>
      <c r="S48" s="49"/>
      <c r="T48" s="49"/>
      <c r="U48" s="49"/>
      <c r="V48" s="59">
        <f t="shared" si="0"/>
        <v>1</v>
      </c>
    </row>
    <row r="49" spans="1:22" x14ac:dyDescent="0.2">
      <c r="A49" s="51" t="s">
        <v>20</v>
      </c>
      <c r="B49" s="50">
        <v>1201</v>
      </c>
      <c r="C49" s="49"/>
      <c r="D49" s="49"/>
      <c r="E49" s="49"/>
      <c r="F49" s="49"/>
      <c r="G49" s="49"/>
      <c r="H49" s="49"/>
      <c r="I49" s="49"/>
      <c r="J49" s="49"/>
      <c r="K49" s="49"/>
      <c r="L49" s="49"/>
      <c r="M49" s="49"/>
      <c r="N49" s="49"/>
      <c r="O49" s="49"/>
      <c r="P49" s="49"/>
      <c r="Q49" s="49"/>
      <c r="R49" s="49"/>
      <c r="S49" s="49"/>
      <c r="T49" s="49"/>
      <c r="U49" s="49"/>
      <c r="V49" s="59">
        <f t="shared" si="0"/>
        <v>1</v>
      </c>
    </row>
    <row r="50" spans="1:22" x14ac:dyDescent="0.2">
      <c r="A50" s="51" t="s">
        <v>94</v>
      </c>
      <c r="B50" s="50">
        <f>+B32</f>
        <v>1507.8</v>
      </c>
      <c r="C50" s="50">
        <f>+C32</f>
        <v>1507.8</v>
      </c>
      <c r="D50" s="50">
        <v>1556</v>
      </c>
      <c r="E50" s="50">
        <v>1585</v>
      </c>
      <c r="F50" s="50">
        <v>1617</v>
      </c>
      <c r="G50" s="50">
        <v>1651</v>
      </c>
      <c r="H50" s="50">
        <v>1694</v>
      </c>
      <c r="I50" s="49"/>
      <c r="J50" s="49"/>
      <c r="K50" s="49"/>
      <c r="L50" s="49"/>
      <c r="M50" s="49"/>
      <c r="N50" s="49"/>
      <c r="O50" s="49"/>
      <c r="P50" s="49"/>
      <c r="Q50" s="49"/>
      <c r="R50" s="49"/>
      <c r="S50" s="49"/>
      <c r="T50" s="49"/>
      <c r="U50" s="49"/>
      <c r="V50" s="59">
        <f t="shared" si="0"/>
        <v>7</v>
      </c>
    </row>
    <row r="51" spans="1:22" x14ac:dyDescent="0.2">
      <c r="A51" s="51" t="s">
        <v>95</v>
      </c>
      <c r="B51" s="50">
        <f>+B32</f>
        <v>1507.8</v>
      </c>
      <c r="C51" s="50">
        <v>1526</v>
      </c>
      <c r="D51" s="50">
        <v>1585</v>
      </c>
      <c r="E51" s="50">
        <v>1651</v>
      </c>
      <c r="F51" s="50">
        <v>1694</v>
      </c>
      <c r="G51" s="50">
        <v>1744</v>
      </c>
      <c r="H51" s="50">
        <v>1804</v>
      </c>
      <c r="I51" s="50">
        <v>1862</v>
      </c>
      <c r="J51" s="49"/>
      <c r="K51" s="49"/>
      <c r="L51" s="49"/>
      <c r="M51" s="49"/>
      <c r="N51" s="49"/>
      <c r="O51" s="49"/>
      <c r="P51" s="49"/>
      <c r="Q51" s="49"/>
      <c r="R51" s="49"/>
      <c r="S51" s="49"/>
      <c r="T51" s="49"/>
      <c r="U51" s="49"/>
      <c r="V51" s="59">
        <f t="shared" si="0"/>
        <v>8</v>
      </c>
    </row>
    <row r="52" spans="1:22" x14ac:dyDescent="0.2">
      <c r="A52" s="51" t="s">
        <v>96</v>
      </c>
      <c r="B52" s="50">
        <f>+B32</f>
        <v>1507.8</v>
      </c>
      <c r="C52" s="50">
        <v>1585</v>
      </c>
      <c r="D52" s="50">
        <v>1651</v>
      </c>
      <c r="E52" s="50">
        <v>1744</v>
      </c>
      <c r="F52" s="50">
        <v>1804</v>
      </c>
      <c r="G52" s="50">
        <v>1862</v>
      </c>
      <c r="H52" s="50">
        <v>1919</v>
      </c>
      <c r="I52" s="49"/>
      <c r="J52" s="49"/>
      <c r="K52" s="49"/>
      <c r="L52" s="49"/>
      <c r="M52" s="49"/>
      <c r="N52" s="49"/>
      <c r="O52" s="49"/>
      <c r="P52" s="49"/>
      <c r="Q52" s="49"/>
      <c r="R52" s="49"/>
      <c r="S52" s="49"/>
      <c r="T52" s="49"/>
      <c r="U52" s="49"/>
      <c r="V52" s="59">
        <f t="shared" si="0"/>
        <v>7</v>
      </c>
    </row>
    <row r="55" spans="1:22" s="51" customFormat="1" x14ac:dyDescent="0.2">
      <c r="A55" s="53" t="s">
        <v>44</v>
      </c>
    </row>
    <row r="56" spans="1:22" s="51" customFormat="1" x14ac:dyDescent="0.2">
      <c r="A56" s="53"/>
      <c r="B56" s="53"/>
      <c r="C56" s="51" t="s">
        <v>41</v>
      </c>
      <c r="D56" s="51" t="s">
        <v>42</v>
      </c>
      <c r="E56" s="51" t="s">
        <v>102</v>
      </c>
      <c r="F56" s="51" t="s">
        <v>103</v>
      </c>
      <c r="G56" s="51" t="s">
        <v>46</v>
      </c>
      <c r="H56" s="51" t="s">
        <v>49</v>
      </c>
      <c r="K56" s="65"/>
    </row>
    <row r="57" spans="1:22" s="51" customFormat="1" x14ac:dyDescent="0.2">
      <c r="A57" s="51" t="s">
        <v>40</v>
      </c>
      <c r="B57" s="55">
        <v>1</v>
      </c>
      <c r="C57" s="61">
        <v>0.13405</v>
      </c>
      <c r="D57" s="61">
        <v>6.4949999999999994E-2</v>
      </c>
      <c r="E57" s="49">
        <v>12650</v>
      </c>
      <c r="F57" s="62">
        <f>+E57/12</f>
        <v>1054.1666666666667</v>
      </c>
      <c r="J57" s="75"/>
      <c r="L57" s="75"/>
      <c r="M57" s="75"/>
      <c r="N57" s="75"/>
    </row>
    <row r="58" spans="1:22" s="51" customFormat="1" x14ac:dyDescent="0.2">
      <c r="A58" s="462" t="s">
        <v>227</v>
      </c>
      <c r="B58" s="55">
        <v>2</v>
      </c>
      <c r="C58" s="61">
        <v>3.7499999999999999E-3</v>
      </c>
      <c r="D58" s="61">
        <v>1.25E-3</v>
      </c>
      <c r="E58" s="49">
        <v>19450</v>
      </c>
      <c r="F58" s="62">
        <f>+E58/12</f>
        <v>1620.8333333333333</v>
      </c>
    </row>
    <row r="59" spans="1:22" s="51" customFormat="1" x14ac:dyDescent="0.2">
      <c r="A59" s="51" t="s">
        <v>304</v>
      </c>
      <c r="B59" s="55">
        <v>3</v>
      </c>
      <c r="C59" s="63">
        <v>0.03</v>
      </c>
      <c r="D59" s="63">
        <v>0</v>
      </c>
      <c r="E59" s="64"/>
      <c r="F59" s="64"/>
    </row>
    <row r="60" spans="1:22" s="51" customFormat="1" x14ac:dyDescent="0.2">
      <c r="A60" s="470" t="s">
        <v>328</v>
      </c>
      <c r="B60" s="51">
        <v>4</v>
      </c>
      <c r="C60" s="63">
        <v>5.7500000000000002E-2</v>
      </c>
      <c r="D60" s="65"/>
      <c r="E60" s="65"/>
      <c r="F60" s="65"/>
      <c r="G60" s="62">
        <v>51976</v>
      </c>
      <c r="H60" s="62">
        <f t="shared" ref="H60:H64" si="1">+G60/12</f>
        <v>4331.333333333333</v>
      </c>
    </row>
    <row r="61" spans="1:22" s="51" customFormat="1" x14ac:dyDescent="0.2">
      <c r="A61" s="470" t="s">
        <v>347</v>
      </c>
      <c r="B61" s="51">
        <v>5</v>
      </c>
      <c r="C61" s="63">
        <v>9.1000000000000004E-3</v>
      </c>
      <c r="D61" s="65"/>
      <c r="E61" s="65"/>
      <c r="F61" s="65"/>
      <c r="G61" s="62">
        <f>+G60</f>
        <v>51976</v>
      </c>
      <c r="H61" s="62">
        <f t="shared" si="1"/>
        <v>4331.333333333333</v>
      </c>
    </row>
    <row r="62" spans="1:22" s="51" customFormat="1" x14ac:dyDescent="0.2">
      <c r="A62" s="55" t="s">
        <v>97</v>
      </c>
      <c r="B62" s="51">
        <v>7</v>
      </c>
      <c r="C62" s="65"/>
      <c r="D62" s="63">
        <v>0</v>
      </c>
      <c r="E62" s="49">
        <v>0</v>
      </c>
      <c r="F62" s="62">
        <v>0</v>
      </c>
      <c r="G62" s="62">
        <v>0</v>
      </c>
      <c r="H62" s="62">
        <v>0</v>
      </c>
    </row>
    <row r="63" spans="1:22" s="51" customFormat="1" x14ac:dyDescent="0.2">
      <c r="A63" s="55" t="s">
        <v>98</v>
      </c>
      <c r="B63" s="51">
        <v>8</v>
      </c>
      <c r="C63" s="66">
        <v>6.9500000000000006E-2</v>
      </c>
      <c r="D63" s="56"/>
      <c r="E63" s="64"/>
      <c r="F63" s="64"/>
      <c r="G63" s="62">
        <f>+G60</f>
        <v>51976</v>
      </c>
      <c r="H63" s="62">
        <f>+G63/12</f>
        <v>4331.333333333333</v>
      </c>
    </row>
    <row r="64" spans="1:22" s="51" customFormat="1" x14ac:dyDescent="0.2">
      <c r="A64" s="470" t="s">
        <v>329</v>
      </c>
      <c r="B64" s="51">
        <v>9</v>
      </c>
      <c r="C64" s="63">
        <v>7.7999999999999996E-3</v>
      </c>
      <c r="D64" s="65"/>
      <c r="E64" s="65"/>
      <c r="F64" s="65"/>
      <c r="G64" s="62">
        <f>+G60</f>
        <v>51976</v>
      </c>
      <c r="H64" s="62">
        <f t="shared" si="1"/>
        <v>4331.333333333333</v>
      </c>
    </row>
    <row r="65" spans="1:12" s="51" customFormat="1" x14ac:dyDescent="0.2">
      <c r="A65" s="462" t="s">
        <v>228</v>
      </c>
      <c r="B65" s="462">
        <v>10</v>
      </c>
      <c r="C65" s="467">
        <v>0.06</v>
      </c>
      <c r="D65" s="459" t="s">
        <v>299</v>
      </c>
      <c r="E65" s="65"/>
      <c r="F65" s="65"/>
      <c r="G65" s="64"/>
      <c r="H65" s="64"/>
    </row>
    <row r="66" spans="1:12" s="51" customFormat="1" x14ac:dyDescent="0.2">
      <c r="A66" s="462" t="s">
        <v>229</v>
      </c>
      <c r="B66" s="462"/>
      <c r="C66" s="467">
        <v>0.06</v>
      </c>
      <c r="D66" s="459" t="s">
        <v>300</v>
      </c>
      <c r="E66" s="65"/>
      <c r="F66" s="65"/>
      <c r="G66" s="64"/>
      <c r="H66" s="64"/>
    </row>
    <row r="67" spans="1:12" s="51" customFormat="1" x14ac:dyDescent="0.2">
      <c r="A67" s="462" t="s">
        <v>325</v>
      </c>
      <c r="B67" s="462"/>
      <c r="C67" s="467">
        <v>2.0999999999999999E-3</v>
      </c>
      <c r="D67" s="459" t="s">
        <v>301</v>
      </c>
      <c r="E67" s="65"/>
      <c r="F67" s="65"/>
      <c r="G67" s="64"/>
      <c r="H67" s="64"/>
    </row>
    <row r="68" spans="1:12" s="51" customFormat="1" x14ac:dyDescent="0.2">
      <c r="A68" s="462" t="s">
        <v>295</v>
      </c>
      <c r="B68" s="462"/>
      <c r="C68" s="467">
        <v>0</v>
      </c>
      <c r="D68" s="459" t="s">
        <v>302</v>
      </c>
      <c r="E68" s="65"/>
      <c r="F68" s="65"/>
      <c r="G68" s="64"/>
      <c r="H68" s="64"/>
      <c r="L68" s="462"/>
    </row>
    <row r="69" spans="1:12" s="51" customFormat="1" x14ac:dyDescent="0.2">
      <c r="A69" s="462" t="s">
        <v>82</v>
      </c>
      <c r="B69" s="462">
        <v>11</v>
      </c>
      <c r="C69" s="467">
        <v>0.05</v>
      </c>
      <c r="D69" s="468"/>
      <c r="E69" s="65"/>
      <c r="F69" s="65"/>
      <c r="G69" s="64"/>
      <c r="H69" s="64"/>
    </row>
    <row r="70" spans="1:12" s="51" customFormat="1" x14ac:dyDescent="0.2">
      <c r="B70" s="51" t="s">
        <v>221</v>
      </c>
      <c r="C70" s="67">
        <f>SUM(C57:C65)+C69</f>
        <v>0.42169999999999996</v>
      </c>
      <c r="D70" s="67">
        <f>SUM(D57:D69)</f>
        <v>6.6199999999999995E-2</v>
      </c>
      <c r="E70" s="67">
        <f>SUM(C70:D70)</f>
        <v>0.48789999999999994</v>
      </c>
    </row>
    <row r="71" spans="1:12" s="51" customFormat="1" x14ac:dyDescent="0.2"/>
    <row r="72" spans="1:12" s="51" customFormat="1" x14ac:dyDescent="0.2">
      <c r="A72" s="470" t="s">
        <v>315</v>
      </c>
      <c r="B72" s="471">
        <v>0.6</v>
      </c>
      <c r="C72" s="68"/>
    </row>
    <row r="73" spans="1:12" s="51" customFormat="1" x14ac:dyDescent="0.2"/>
    <row r="74" spans="1:12" s="51" customFormat="1" x14ac:dyDescent="0.2">
      <c r="A74" s="53" t="s">
        <v>75</v>
      </c>
      <c r="B74" s="51" t="s">
        <v>0</v>
      </c>
      <c r="C74" s="69">
        <v>29.59</v>
      </c>
      <c r="G74" s="455"/>
    </row>
    <row r="75" spans="1:12" s="51" customFormat="1" x14ac:dyDescent="0.2">
      <c r="B75" s="51" t="s">
        <v>15</v>
      </c>
      <c r="C75" s="69">
        <v>25.96</v>
      </c>
    </row>
    <row r="76" spans="1:12" s="51" customFormat="1" x14ac:dyDescent="0.2">
      <c r="B76" s="51" t="s">
        <v>16</v>
      </c>
      <c r="C76" s="69">
        <v>47.27</v>
      </c>
    </row>
    <row r="77" spans="1:12" s="51" customFormat="1" x14ac:dyDescent="0.2">
      <c r="B77" s="51" t="s">
        <v>17</v>
      </c>
      <c r="C77" s="69">
        <v>23.38</v>
      </c>
    </row>
    <row r="78" spans="1:12" s="51" customFormat="1" x14ac:dyDescent="0.2">
      <c r="C78" s="52"/>
    </row>
    <row r="79" spans="1:12" s="51" customFormat="1" x14ac:dyDescent="0.2">
      <c r="A79" s="53" t="s">
        <v>239</v>
      </c>
      <c r="B79" s="51" t="s">
        <v>240</v>
      </c>
      <c r="C79" s="69">
        <v>61.73</v>
      </c>
    </row>
    <row r="80" spans="1:12" s="51" customFormat="1" x14ac:dyDescent="0.2">
      <c r="C80" s="52"/>
    </row>
    <row r="81" spans="1:8" s="51" customFormat="1" x14ac:dyDescent="0.2">
      <c r="D81" s="456" t="s">
        <v>49</v>
      </c>
    </row>
    <row r="82" spans="1:8" s="51" customFormat="1" x14ac:dyDescent="0.2">
      <c r="A82" s="53" t="s">
        <v>76</v>
      </c>
      <c r="B82" s="51" t="s">
        <v>77</v>
      </c>
      <c r="C82" s="69">
        <v>723.79</v>
      </c>
      <c r="D82" s="457">
        <f>ROUND(+C82/13.717,2)</f>
        <v>52.77</v>
      </c>
    </row>
    <row r="83" spans="1:8" s="51" customFormat="1" x14ac:dyDescent="0.2">
      <c r="B83" s="51" t="s">
        <v>78</v>
      </c>
      <c r="C83" s="69">
        <v>221.61</v>
      </c>
      <c r="D83" s="457">
        <f>ROUND(+C83/13.717,2)</f>
        <v>16.16</v>
      </c>
    </row>
    <row r="84" spans="1:8" s="51" customFormat="1" x14ac:dyDescent="0.2">
      <c r="B84" s="51" t="s">
        <v>79</v>
      </c>
      <c r="C84" s="69">
        <f>+C83</f>
        <v>221.61</v>
      </c>
      <c r="D84" s="457">
        <f>ROUND(+C84/13.717,2)</f>
        <v>16.16</v>
      </c>
    </row>
    <row r="85" spans="1:8" s="51" customFormat="1" x14ac:dyDescent="0.2">
      <c r="B85" s="51" t="s">
        <v>293</v>
      </c>
      <c r="C85" s="69">
        <v>0</v>
      </c>
      <c r="D85" s="457">
        <f>ROUND(+C85/13.717,2)</f>
        <v>0</v>
      </c>
    </row>
    <row r="86" spans="1:8" s="51" customFormat="1" x14ac:dyDescent="0.2"/>
    <row r="87" spans="1:8" s="51" customFormat="1" x14ac:dyDescent="0.2">
      <c r="A87" s="53" t="s">
        <v>117</v>
      </c>
      <c r="C87" s="70">
        <v>32.799999999999997</v>
      </c>
      <c r="D87" s="71"/>
    </row>
    <row r="88" spans="1:8" s="51" customFormat="1" x14ac:dyDescent="0.2"/>
    <row r="89" spans="1:8" s="51" customFormat="1" x14ac:dyDescent="0.2">
      <c r="A89" s="53" t="s">
        <v>230</v>
      </c>
      <c r="C89" s="63">
        <v>8.0000000000000002E-3</v>
      </c>
      <c r="D89" s="67"/>
    </row>
    <row r="90" spans="1:8" s="51" customFormat="1" x14ac:dyDescent="0.2"/>
    <row r="91" spans="1:8" s="51" customFormat="1" x14ac:dyDescent="0.2">
      <c r="A91" s="53" t="s">
        <v>85</v>
      </c>
      <c r="B91" s="53"/>
      <c r="D91" s="69">
        <v>142.18</v>
      </c>
      <c r="E91" s="51" t="s">
        <v>246</v>
      </c>
    </row>
    <row r="92" spans="1:8" s="51" customFormat="1" x14ac:dyDescent="0.2">
      <c r="A92" s="53" t="s">
        <v>83</v>
      </c>
      <c r="B92" s="53"/>
      <c r="D92" s="63">
        <v>6.3E-2</v>
      </c>
    </row>
    <row r="93" spans="1:8" s="51" customFormat="1" x14ac:dyDescent="0.2">
      <c r="A93" s="51" t="s">
        <v>119</v>
      </c>
      <c r="B93" s="53"/>
      <c r="C93" s="51">
        <v>0</v>
      </c>
      <c r="D93" s="69">
        <v>0</v>
      </c>
      <c r="G93" s="56"/>
      <c r="H93" s="56"/>
    </row>
    <row r="94" spans="1:8" s="51" customFormat="1" x14ac:dyDescent="0.2">
      <c r="B94" s="53"/>
      <c r="C94" s="51">
        <v>1</v>
      </c>
      <c r="D94" s="69">
        <v>1083.1199999999999</v>
      </c>
      <c r="G94" s="56"/>
      <c r="H94" s="56"/>
    </row>
    <row r="95" spans="1:8" s="51" customFormat="1" x14ac:dyDescent="0.2">
      <c r="B95" s="53"/>
      <c r="C95" s="51">
        <v>6</v>
      </c>
      <c r="D95" s="69">
        <v>1037.58</v>
      </c>
      <c r="G95" s="56"/>
      <c r="H95" s="56"/>
    </row>
    <row r="96" spans="1:8" s="51" customFormat="1" x14ac:dyDescent="0.2">
      <c r="B96" s="53"/>
      <c r="C96" s="51">
        <v>9</v>
      </c>
      <c r="D96" s="69">
        <v>0</v>
      </c>
      <c r="G96" s="56"/>
      <c r="H96" s="56"/>
    </row>
    <row r="97" spans="1:8" s="51" customFormat="1" x14ac:dyDescent="0.2">
      <c r="B97" s="53"/>
      <c r="D97" s="52"/>
      <c r="G97" s="56"/>
      <c r="H97" s="56"/>
    </row>
    <row r="98" spans="1:8" s="51" customFormat="1" x14ac:dyDescent="0.2">
      <c r="A98" s="513" t="s">
        <v>226</v>
      </c>
      <c r="B98" s="498"/>
      <c r="C98" s="501"/>
      <c r="D98" s="499">
        <v>328</v>
      </c>
      <c r="E98" s="56"/>
      <c r="F98" s="56"/>
    </row>
    <row r="99" spans="1:8" s="51" customFormat="1" x14ac:dyDescent="0.2">
      <c r="A99" s="514" t="s">
        <v>362</v>
      </c>
      <c r="B99" s="500"/>
      <c r="C99" s="501"/>
      <c r="D99" s="69">
        <v>500</v>
      </c>
      <c r="E99" s="56"/>
      <c r="F99" s="56"/>
    </row>
    <row r="100" spans="1:8" s="51" customFormat="1" x14ac:dyDescent="0.2"/>
    <row r="101" spans="1:8" s="51" customFormat="1" x14ac:dyDescent="0.2">
      <c r="A101" s="53" t="s">
        <v>242</v>
      </c>
      <c r="D101" s="69">
        <v>301.58</v>
      </c>
    </row>
    <row r="102" spans="1:8" s="51" customFormat="1" x14ac:dyDescent="0.2"/>
    <row r="103" spans="1:8" s="51" customFormat="1" x14ac:dyDescent="0.2">
      <c r="A103" s="490" t="s">
        <v>359</v>
      </c>
    </row>
    <row r="104" spans="1:8" s="51" customFormat="1" x14ac:dyDescent="0.2">
      <c r="A104" s="490" t="s">
        <v>360</v>
      </c>
    </row>
    <row r="105" spans="1:8" s="51" customFormat="1" x14ac:dyDescent="0.2">
      <c r="A105" s="72" t="s">
        <v>104</v>
      </c>
    </row>
    <row r="106" spans="1:8" s="51" customFormat="1" x14ac:dyDescent="0.2">
      <c r="A106" s="72"/>
    </row>
    <row r="107" spans="1:8" s="51" customFormat="1" x14ac:dyDescent="0.2">
      <c r="A107" s="53" t="s">
        <v>219</v>
      </c>
      <c r="G107" s="73"/>
    </row>
    <row r="108" spans="1:8" s="51" customFormat="1" x14ac:dyDescent="0.2">
      <c r="A108" s="53" t="s">
        <v>105</v>
      </c>
      <c r="B108" s="51" t="s">
        <v>220</v>
      </c>
      <c r="C108" s="51" t="s">
        <v>106</v>
      </c>
    </row>
    <row r="109" spans="1:8" s="51" customFormat="1" x14ac:dyDescent="0.2">
      <c r="A109" s="51">
        <v>1</v>
      </c>
      <c r="B109" s="74">
        <v>19822</v>
      </c>
      <c r="C109" s="67">
        <v>0.36499999999999999</v>
      </c>
    </row>
    <row r="110" spans="1:8" s="51" customFormat="1" x14ac:dyDescent="0.2">
      <c r="A110" s="51">
        <v>2</v>
      </c>
      <c r="B110" s="74">
        <v>33589</v>
      </c>
      <c r="C110" s="67">
        <v>0.42</v>
      </c>
    </row>
    <row r="111" spans="1:8" s="51" customFormat="1" x14ac:dyDescent="0.2">
      <c r="A111" s="51">
        <v>3</v>
      </c>
      <c r="B111" s="74">
        <v>57585</v>
      </c>
      <c r="C111" s="67">
        <v>0.42</v>
      </c>
    </row>
    <row r="112" spans="1:8" s="51" customFormat="1" x14ac:dyDescent="0.2">
      <c r="A112" s="51">
        <v>4</v>
      </c>
      <c r="B112" s="74">
        <v>999999</v>
      </c>
      <c r="C112" s="67">
        <v>0.52</v>
      </c>
    </row>
    <row r="113" spans="1:5" s="51" customFormat="1" x14ac:dyDescent="0.2"/>
    <row r="114" spans="1:5" s="51" customFormat="1" x14ac:dyDescent="0.2">
      <c r="A114" s="53" t="s">
        <v>107</v>
      </c>
    </row>
    <row r="115" spans="1:5" s="51" customFormat="1" x14ac:dyDescent="0.2">
      <c r="A115" s="51" t="s">
        <v>108</v>
      </c>
      <c r="B115" s="74">
        <v>2203</v>
      </c>
    </row>
    <row r="116" spans="1:5" s="51" customFormat="1" x14ac:dyDescent="0.2">
      <c r="A116" s="463"/>
      <c r="B116" s="463" t="s">
        <v>110</v>
      </c>
      <c r="C116" s="463" t="s">
        <v>111</v>
      </c>
      <c r="D116" s="464" t="s">
        <v>112</v>
      </c>
      <c r="E116" s="55"/>
    </row>
    <row r="117" spans="1:5" s="51" customFormat="1" x14ac:dyDescent="0.2">
      <c r="A117" s="463" t="s">
        <v>109</v>
      </c>
      <c r="B117" s="463">
        <v>1947</v>
      </c>
      <c r="C117" s="465">
        <v>0.16114999999999999</v>
      </c>
      <c r="D117" s="466">
        <v>1723</v>
      </c>
      <c r="E117" s="55"/>
    </row>
    <row r="118" spans="1:5" s="51" customFormat="1" x14ac:dyDescent="0.2">
      <c r="A118" s="463"/>
      <c r="B118" s="463">
        <v>1949</v>
      </c>
      <c r="C118" s="465">
        <v>0.16114999999999999</v>
      </c>
      <c r="D118" s="466">
        <v>1723</v>
      </c>
      <c r="E118" s="55"/>
    </row>
    <row r="119" spans="1:5" s="51" customFormat="1" x14ac:dyDescent="0.2">
      <c r="A119" s="463"/>
      <c r="B119" s="463">
        <v>1951</v>
      </c>
      <c r="C119" s="465">
        <v>0.16114999999999999</v>
      </c>
      <c r="D119" s="466">
        <v>1723</v>
      </c>
      <c r="E119" s="55"/>
    </row>
    <row r="120" spans="1:5" s="51" customFormat="1" x14ac:dyDescent="0.2">
      <c r="A120" s="463"/>
      <c r="B120" s="463">
        <v>1954</v>
      </c>
      <c r="C120" s="465">
        <v>0.16114999999999999</v>
      </c>
      <c r="D120" s="466">
        <v>1723</v>
      </c>
      <c r="E120" s="55"/>
    </row>
    <row r="121" spans="1:5" s="51" customFormat="1" x14ac:dyDescent="0.2">
      <c r="C121" s="75"/>
    </row>
    <row r="122" spans="1:5" s="51" customFormat="1" x14ac:dyDescent="0.2"/>
    <row r="123" spans="1:5" s="51" customFormat="1" x14ac:dyDescent="0.2"/>
    <row r="124" spans="1:5" s="51" customFormat="1" x14ac:dyDescent="0.2"/>
    <row r="125" spans="1:5" s="51" customFormat="1" x14ac:dyDescent="0.2"/>
    <row r="126" spans="1:5" s="51" customFormat="1" x14ac:dyDescent="0.2"/>
    <row r="127" spans="1:5" s="51" customFormat="1" x14ac:dyDescent="0.2"/>
    <row r="128" spans="1:5" s="51" customFormat="1" x14ac:dyDescent="0.2"/>
    <row r="129" s="51" customFormat="1" x14ac:dyDescent="0.2"/>
  </sheetData>
  <sheetProtection algorithmName="SHA-512" hashValue="HMwB32MVUZlw3lZ+zCwVjjoWPfzaArOH7LGHImbjivEydFaEpFnTGiC8rTaKhbavQ+scer5Ym4aylZL1QbXrxw==" saltValue="SFNjSfe6zrmtra2Nz/9Wtw==" spinCount="100000" sheet="1" objects="1" scenarios="1"/>
  <phoneticPr fontId="0" type="noConversion"/>
  <printOptions gridLines="1"/>
  <pageMargins left="0.74803149606299213" right="0.74803149606299213" top="0.98425196850393704" bottom="0.98425196850393704" header="0.51181102362204722" footer="0.51181102362204722"/>
  <pageSetup paperSize="9" scale="64" orientation="portrait" r:id="rId1"/>
  <headerFooter alignWithMargins="0">
    <oddHeader>&amp;L&amp;"Arial,Vet"&amp;A&amp;C&amp;"Arial,Vet"&amp;D&amp;R&amp;"Arial,Vet"&amp;F</oddHeader>
    <oddFooter>&amp;L&amp;"Arial,Vet"&amp;8gemaakt door Keizer voor VOSABB&amp;R&amp;"Arial,Vet"&amp;P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12</vt:i4>
      </vt:variant>
    </vt:vector>
  </HeadingPairs>
  <TitlesOfParts>
    <vt:vector size="18"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2015-10-15T20:53:38Z</cp:lastPrinted>
  <dcterms:created xsi:type="dcterms:W3CDTF">2002-04-23T20:54:25Z</dcterms:created>
  <dcterms:modified xsi:type="dcterms:W3CDTF">2015-10-15T20:54:20Z</dcterms:modified>
</cp:coreProperties>
</file>