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bbe\Documents\Instrumenten\toolbox 2020\vo\"/>
    </mc:Choice>
  </mc:AlternateContent>
  <bookViews>
    <workbookView xWindow="480" yWindow="135" windowWidth="18195" windowHeight="11535" tabRatio="777" activeTab="1"/>
  </bookViews>
  <sheets>
    <sheet name="Toelichting" sheetId="1" r:id="rId1"/>
    <sheet name="wgl" sheetId="3" r:id="rId2"/>
    <sheet name="wgl tot" sheetId="10" r:id="rId3"/>
    <sheet name="Blad1" sheetId="9" state="hidden" r:id="rId4"/>
    <sheet name="Ouderschapsverlof" sheetId="4" r:id="rId5"/>
    <sheet name="Functiedifferentiatie" sheetId="5" r:id="rId6"/>
    <sheet name="Extra periodieken" sheetId="6" r:id="rId7"/>
    <sheet name="tabellen" sheetId="7" r:id="rId8"/>
    <sheet name="saltab" sheetId="8" r:id="rId9"/>
  </sheets>
  <externalReferences>
    <externalReference r:id="rId10"/>
  </externalReferences>
  <definedNames>
    <definedName name="_ftn1" localSheetId="3">Blad1!#REF!</definedName>
    <definedName name="_ftnref1" localSheetId="3">Blad1!$B$7</definedName>
    <definedName name="_xlnm.Print_Area" localSheetId="6">'Extra periodieken'!$B$2:$K$54</definedName>
    <definedName name="_xlnm.Print_Area" localSheetId="5">Functiedifferentiatie!$B$2:$K$50</definedName>
    <definedName name="_xlnm.Print_Area" localSheetId="4">Ouderschapsverlof!$B$2:$L$58</definedName>
    <definedName name="_xlnm.Print_Area" localSheetId="7">tabellen!$A$1:$J$51</definedName>
    <definedName name="_xlnm.Print_Area" localSheetId="0">Toelichting!$B$2:$S$162</definedName>
    <definedName name="_xlnm.Print_Area" localSheetId="1">wgl!$B$2:$T$68</definedName>
    <definedName name="_xlnm.Print_Area" localSheetId="2">'wgl tot'!$A$1:$AU$88</definedName>
    <definedName name="bindingstoelage">tabellen!$B$22:$D$25</definedName>
    <definedName name="eindejaarsuitkering_OOP">tabellen!$C$35:$D$37</definedName>
    <definedName name="saltab2018juni">saltab!$B$7:$S$31</definedName>
    <definedName name="saltab2018sept">tabellen!$A$78:$U$119</definedName>
    <definedName name="saltab2019jan">saltab!$B$35:$S$59</definedName>
    <definedName name="saltab2019juni">saltab!$B$63:$S$87</definedName>
    <definedName name="saltab2019okt">saltab!$B$91:$S$115</definedName>
    <definedName name="uitlooptoeslag">tabellen!$B$18:$C$20</definedName>
  </definedNames>
  <calcPr calcId="152511"/>
</workbook>
</file>

<file path=xl/calcChain.xml><?xml version="1.0" encoding="utf-8"?>
<calcChain xmlns="http://schemas.openxmlformats.org/spreadsheetml/2006/main">
  <c r="M13" i="10" l="1"/>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14" i="10"/>
  <c r="T13" i="10"/>
  <c r="T12" i="10"/>
  <c r="BE13" i="10"/>
  <c r="BE14" i="10"/>
  <c r="BE15" i="10"/>
  <c r="BE16" i="10"/>
  <c r="BE17" i="10"/>
  <c r="BE18" i="10"/>
  <c r="BE19" i="10"/>
  <c r="BE20" i="10"/>
  <c r="BE21" i="10"/>
  <c r="BE22" i="10"/>
  <c r="BE23" i="10"/>
  <c r="BE24" i="10"/>
  <c r="BE25" i="10"/>
  <c r="BE26" i="10"/>
  <c r="BE27" i="10"/>
  <c r="BE28" i="10"/>
  <c r="BE29" i="10"/>
  <c r="BE30" i="10"/>
  <c r="BE31" i="10"/>
  <c r="BE32" i="10"/>
  <c r="BE33" i="10"/>
  <c r="BE34" i="10"/>
  <c r="BE35" i="10"/>
  <c r="BE36" i="10"/>
  <c r="BE37" i="10"/>
  <c r="BE38" i="10"/>
  <c r="BE39" i="10"/>
  <c r="BE40" i="10"/>
  <c r="BE41" i="10"/>
  <c r="BE42" i="10"/>
  <c r="BE43" i="10"/>
  <c r="BE44" i="10"/>
  <c r="BE45" i="10"/>
  <c r="BE46" i="10"/>
  <c r="BE47" i="10"/>
  <c r="BE48" i="10"/>
  <c r="BE49" i="10"/>
  <c r="BE50" i="10"/>
  <c r="BE51" i="10"/>
  <c r="BE52" i="10"/>
  <c r="BE53" i="10"/>
  <c r="BE54" i="10"/>
  <c r="BE55" i="10"/>
  <c r="BE56" i="10"/>
  <c r="BE57" i="10"/>
  <c r="BE58" i="10"/>
  <c r="BE59" i="10"/>
  <c r="BE60" i="10"/>
  <c r="BE61" i="10"/>
  <c r="BE62" i="10"/>
  <c r="BE63" i="10"/>
  <c r="BE64" i="10"/>
  <c r="BE65" i="10"/>
  <c r="BE66" i="10"/>
  <c r="BE67" i="10"/>
  <c r="BE68" i="10"/>
  <c r="BE69" i="10"/>
  <c r="BE70" i="10"/>
  <c r="BE71" i="10"/>
  <c r="BE72" i="10"/>
  <c r="BE73" i="10"/>
  <c r="BE74" i="10"/>
  <c r="BE75" i="10"/>
  <c r="BE76" i="10"/>
  <c r="BE77" i="10"/>
  <c r="BE78" i="10"/>
  <c r="BE79" i="10"/>
  <c r="BE80" i="10"/>
  <c r="BE81" i="10"/>
  <c r="BE82" i="10"/>
  <c r="BE83" i="10"/>
  <c r="BE84" i="10"/>
  <c r="BE85" i="10"/>
  <c r="BE86" i="10"/>
  <c r="BE12"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6" i="10"/>
  <c r="AJ67" i="10"/>
  <c r="AJ68" i="10"/>
  <c r="AJ69" i="10"/>
  <c r="AJ70" i="10"/>
  <c r="AJ71" i="10"/>
  <c r="AJ72" i="10"/>
  <c r="AJ73" i="10"/>
  <c r="AJ74" i="10"/>
  <c r="AJ75" i="10"/>
  <c r="AJ76" i="10"/>
  <c r="AJ77" i="10"/>
  <c r="AJ78" i="10"/>
  <c r="AJ79" i="10"/>
  <c r="AJ80" i="10"/>
  <c r="AJ81" i="10"/>
  <c r="AJ82" i="10"/>
  <c r="AJ83" i="10"/>
  <c r="AJ84" i="10"/>
  <c r="AJ85" i="10"/>
  <c r="AJ86" i="10"/>
  <c r="AI14"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6" i="10"/>
  <c r="AI67" i="10"/>
  <c r="AI68" i="10"/>
  <c r="AI69" i="10"/>
  <c r="AI70" i="10"/>
  <c r="AI71" i="10"/>
  <c r="AI72" i="10"/>
  <c r="AI73" i="10"/>
  <c r="AI74" i="10"/>
  <c r="AI75" i="10"/>
  <c r="AI76" i="10"/>
  <c r="AI77" i="10"/>
  <c r="AI78" i="10"/>
  <c r="AI79" i="10"/>
  <c r="AI80" i="10"/>
  <c r="AI81" i="10"/>
  <c r="AI82" i="10"/>
  <c r="AI83" i="10"/>
  <c r="AI84" i="10"/>
  <c r="AI85" i="10"/>
  <c r="AI86" i="10"/>
  <c r="AG14" i="10"/>
  <c r="AG15" i="10"/>
  <c r="AG16" i="10"/>
  <c r="AG17" i="10"/>
  <c r="AG18" i="10"/>
  <c r="AG19" i="10"/>
  <c r="AG20" i="10"/>
  <c r="AG21" i="10"/>
  <c r="AG22" i="10"/>
  <c r="AG23" i="10"/>
  <c r="AG24" i="10"/>
  <c r="AG25" i="10"/>
  <c r="AG26" i="10"/>
  <c r="AG27" i="10"/>
  <c r="AG28" i="10"/>
  <c r="AG29"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6" i="10"/>
  <c r="AG67" i="10"/>
  <c r="AG68" i="10"/>
  <c r="AG69" i="10"/>
  <c r="AG70" i="10"/>
  <c r="AG71" i="10"/>
  <c r="AG72" i="10"/>
  <c r="AG73" i="10"/>
  <c r="AG74" i="10"/>
  <c r="AG75" i="10"/>
  <c r="AG76" i="10"/>
  <c r="AG77" i="10"/>
  <c r="AG78" i="10"/>
  <c r="AG79" i="10"/>
  <c r="AG80" i="10"/>
  <c r="AG81" i="10"/>
  <c r="AG82" i="10"/>
  <c r="AG83" i="10"/>
  <c r="AG84" i="10"/>
  <c r="AG85" i="10"/>
  <c r="AG86"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6" i="10"/>
  <c r="AF67" i="10"/>
  <c r="AF68" i="10"/>
  <c r="AF69" i="10"/>
  <c r="AF70" i="10"/>
  <c r="AF71" i="10"/>
  <c r="AF72" i="10"/>
  <c r="AF73" i="10"/>
  <c r="AF74" i="10"/>
  <c r="AF75" i="10"/>
  <c r="AF76" i="10"/>
  <c r="AF77" i="10"/>
  <c r="AF78" i="10"/>
  <c r="AF79" i="10"/>
  <c r="AF80" i="10"/>
  <c r="AF81" i="10"/>
  <c r="AF82" i="10"/>
  <c r="AF83" i="10"/>
  <c r="AF84" i="10"/>
  <c r="AF85" i="10"/>
  <c r="AF86"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79" i="10"/>
  <c r="AE80" i="10"/>
  <c r="AE81" i="10"/>
  <c r="AE82" i="10"/>
  <c r="AE83" i="10"/>
  <c r="AE84" i="10"/>
  <c r="AE85" i="10"/>
  <c r="AE86"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12" i="10"/>
  <c r="I16" i="3"/>
  <c r="BA13" i="10" l="1"/>
  <c r="BF13" i="10" s="1"/>
  <c r="BA14" i="10"/>
  <c r="BF14" i="10" s="1"/>
  <c r="BA15" i="10"/>
  <c r="BF15" i="10" s="1"/>
  <c r="BA16" i="10"/>
  <c r="BF16" i="10" s="1"/>
  <c r="S16" i="10" s="1"/>
  <c r="BA17" i="10"/>
  <c r="BF17" i="10" s="1"/>
  <c r="BA18" i="10"/>
  <c r="BF18" i="10" s="1"/>
  <c r="BA19" i="10"/>
  <c r="BF19" i="10" s="1"/>
  <c r="BA20" i="10"/>
  <c r="BF20" i="10" s="1"/>
  <c r="S20" i="10" s="1"/>
  <c r="BA21" i="10"/>
  <c r="BF21" i="10" s="1"/>
  <c r="BA22" i="10"/>
  <c r="BF22" i="10" s="1"/>
  <c r="BA23" i="10"/>
  <c r="BF23" i="10" s="1"/>
  <c r="BA24" i="10"/>
  <c r="BF24" i="10" s="1"/>
  <c r="S24" i="10" s="1"/>
  <c r="BA25" i="10"/>
  <c r="BF25" i="10" s="1"/>
  <c r="BA26" i="10"/>
  <c r="BF26" i="10" s="1"/>
  <c r="BA27" i="10"/>
  <c r="BF27" i="10" s="1"/>
  <c r="BA28" i="10"/>
  <c r="BF28" i="10" s="1"/>
  <c r="S28" i="10" s="1"/>
  <c r="BA29" i="10"/>
  <c r="BF29" i="10" s="1"/>
  <c r="BA30" i="10"/>
  <c r="BF30" i="10" s="1"/>
  <c r="BA31" i="10"/>
  <c r="BF31" i="10" s="1"/>
  <c r="BA32" i="10"/>
  <c r="BF32" i="10" s="1"/>
  <c r="S32" i="10" s="1"/>
  <c r="BA33" i="10"/>
  <c r="BF33" i="10" s="1"/>
  <c r="BA34" i="10"/>
  <c r="BF34" i="10" s="1"/>
  <c r="BA35" i="10"/>
  <c r="BF35" i="10" s="1"/>
  <c r="BA36" i="10"/>
  <c r="BF36" i="10" s="1"/>
  <c r="BA37" i="10"/>
  <c r="BF37" i="10" s="1"/>
  <c r="BA38" i="10"/>
  <c r="BF38" i="10" s="1"/>
  <c r="BA39" i="10"/>
  <c r="BF39" i="10" s="1"/>
  <c r="BA40" i="10"/>
  <c r="BF40" i="10" s="1"/>
  <c r="BA41" i="10"/>
  <c r="BF41" i="10" s="1"/>
  <c r="BA42" i="10"/>
  <c r="BF42" i="10" s="1"/>
  <c r="BA43" i="10"/>
  <c r="BF43" i="10" s="1"/>
  <c r="BA44" i="10"/>
  <c r="BF44" i="10" s="1"/>
  <c r="S44" i="10" s="1"/>
  <c r="BA45" i="10"/>
  <c r="BF45" i="10" s="1"/>
  <c r="BA46" i="10"/>
  <c r="BF46" i="10" s="1"/>
  <c r="BA47" i="10"/>
  <c r="BF47" i="10" s="1"/>
  <c r="BA48" i="10"/>
  <c r="BF48" i="10" s="1"/>
  <c r="S48" i="10" s="1"/>
  <c r="BA49" i="10"/>
  <c r="BF49" i="10" s="1"/>
  <c r="BA50" i="10"/>
  <c r="BF50" i="10" s="1"/>
  <c r="BA51" i="10"/>
  <c r="BF51" i="10" s="1"/>
  <c r="BA52" i="10"/>
  <c r="BF52" i="10" s="1"/>
  <c r="S52" i="10" s="1"/>
  <c r="BA53" i="10"/>
  <c r="BF53" i="10" s="1"/>
  <c r="BA54" i="10"/>
  <c r="BF54" i="10" s="1"/>
  <c r="BA55" i="10"/>
  <c r="BF55" i="10" s="1"/>
  <c r="BA56" i="10"/>
  <c r="BF56" i="10" s="1"/>
  <c r="S56" i="10" s="1"/>
  <c r="BA57" i="10"/>
  <c r="BF57" i="10" s="1"/>
  <c r="BA58" i="10"/>
  <c r="BF58" i="10" s="1"/>
  <c r="BA59" i="10"/>
  <c r="BF59" i="10" s="1"/>
  <c r="BA60" i="10"/>
  <c r="BF60" i="10" s="1"/>
  <c r="S60" i="10" s="1"/>
  <c r="BA61" i="10"/>
  <c r="BF61" i="10" s="1"/>
  <c r="BA62" i="10"/>
  <c r="BF62" i="10" s="1"/>
  <c r="BA63" i="10"/>
  <c r="BF63" i="10" s="1"/>
  <c r="BA64" i="10"/>
  <c r="BF64" i="10" s="1"/>
  <c r="BA65" i="10"/>
  <c r="BF65" i="10" s="1"/>
  <c r="BA66" i="10"/>
  <c r="BF66" i="10" s="1"/>
  <c r="BA67" i="10"/>
  <c r="BF67" i="10" s="1"/>
  <c r="BA68" i="10"/>
  <c r="BF68" i="10" s="1"/>
  <c r="S68" i="10" s="1"/>
  <c r="BA69" i="10"/>
  <c r="BF69" i="10" s="1"/>
  <c r="BA70" i="10"/>
  <c r="BF70" i="10" s="1"/>
  <c r="BA71" i="10"/>
  <c r="BF71" i="10" s="1"/>
  <c r="BA72" i="10"/>
  <c r="BF72" i="10" s="1"/>
  <c r="S72" i="10" s="1"/>
  <c r="BA73" i="10"/>
  <c r="BF73" i="10" s="1"/>
  <c r="BA74" i="10"/>
  <c r="BF74" i="10" s="1"/>
  <c r="BA75" i="10"/>
  <c r="BF75" i="10" s="1"/>
  <c r="BA76" i="10"/>
  <c r="BF76" i="10" s="1"/>
  <c r="S76" i="10" s="1"/>
  <c r="BA77" i="10"/>
  <c r="BF77" i="10" s="1"/>
  <c r="BA78" i="10"/>
  <c r="BF78" i="10" s="1"/>
  <c r="BA79" i="10"/>
  <c r="BF79" i="10" s="1"/>
  <c r="BA80" i="10"/>
  <c r="BF80" i="10" s="1"/>
  <c r="BA81" i="10"/>
  <c r="BF81" i="10" s="1"/>
  <c r="BA82" i="10"/>
  <c r="BF82" i="10" s="1"/>
  <c r="BA83" i="10"/>
  <c r="BF83" i="10" s="1"/>
  <c r="BA84" i="10"/>
  <c r="BF84" i="10" s="1"/>
  <c r="BA85" i="10"/>
  <c r="BF85" i="10" s="1"/>
  <c r="BA86" i="10"/>
  <c r="BF86" i="10" s="1"/>
  <c r="BA12" i="10"/>
  <c r="BF12" i="10" s="1"/>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BB13" i="10"/>
  <c r="S13" i="10" s="1"/>
  <c r="N13" i="10"/>
  <c r="N14" i="10"/>
  <c r="N16" i="10"/>
  <c r="N18" i="10"/>
  <c r="N22" i="10"/>
  <c r="N26" i="10"/>
  <c r="N29" i="10"/>
  <c r="N30" i="10"/>
  <c r="N31" i="10"/>
  <c r="N32" i="10"/>
  <c r="N33" i="10"/>
  <c r="N34" i="10"/>
  <c r="N35" i="10"/>
  <c r="N37" i="10"/>
  <c r="N38" i="10"/>
  <c r="N39" i="10"/>
  <c r="N40" i="10"/>
  <c r="N42" i="10"/>
  <c r="N46" i="10"/>
  <c r="N47" i="10"/>
  <c r="N48" i="10"/>
  <c r="N50" i="10"/>
  <c r="N52" i="10"/>
  <c r="N54" i="10"/>
  <c r="N58" i="10"/>
  <c r="N60" i="10"/>
  <c r="N62" i="10"/>
  <c r="N64" i="10"/>
  <c r="N65" i="10"/>
  <c r="N66" i="10"/>
  <c r="N70" i="10"/>
  <c r="N71" i="10"/>
  <c r="N72" i="10"/>
  <c r="N74" i="10"/>
  <c r="N76" i="10"/>
  <c r="N78" i="10"/>
  <c r="N80" i="10"/>
  <c r="N82" i="10"/>
  <c r="N84" i="10"/>
  <c r="N86" i="10"/>
  <c r="N12" i="10"/>
  <c r="C4" i="10"/>
  <c r="D147" i="10"/>
  <c r="BQ86" i="10"/>
  <c r="BO86" i="10"/>
  <c r="BN86" i="10"/>
  <c r="BM86" i="10"/>
  <c r="BL86" i="10"/>
  <c r="BK86" i="10"/>
  <c r="S86" i="10"/>
  <c r="BD86" i="10"/>
  <c r="BB86" i="10"/>
  <c r="BQ85" i="10"/>
  <c r="BO85" i="10"/>
  <c r="BN85" i="10"/>
  <c r="BM85" i="10"/>
  <c r="BL85" i="10"/>
  <c r="BK85" i="10"/>
  <c r="S85" i="10"/>
  <c r="BD85" i="10"/>
  <c r="BB85" i="10"/>
  <c r="BQ84" i="10"/>
  <c r="BO84" i="10"/>
  <c r="BN84" i="10"/>
  <c r="BM84" i="10"/>
  <c r="BL84" i="10"/>
  <c r="BK84" i="10"/>
  <c r="S84" i="10"/>
  <c r="BD84" i="10"/>
  <c r="BB84" i="10"/>
  <c r="BQ83" i="10"/>
  <c r="BO83" i="10"/>
  <c r="BN83" i="10"/>
  <c r="BM83" i="10"/>
  <c r="BL83" i="10"/>
  <c r="BK83" i="10"/>
  <c r="S83" i="10"/>
  <c r="BD83" i="10"/>
  <c r="BB83" i="10"/>
  <c r="BQ82" i="10"/>
  <c r="BO82" i="10"/>
  <c r="BN82" i="10"/>
  <c r="BM82" i="10"/>
  <c r="BL82" i="10"/>
  <c r="BK82" i="10"/>
  <c r="S82" i="10"/>
  <c r="BD82" i="10"/>
  <c r="BB82" i="10"/>
  <c r="BQ81" i="10"/>
  <c r="BO81" i="10"/>
  <c r="BN81" i="10"/>
  <c r="BM81" i="10"/>
  <c r="BL81" i="10"/>
  <c r="BK81" i="10"/>
  <c r="S81" i="10"/>
  <c r="BD81" i="10"/>
  <c r="BB81" i="10"/>
  <c r="BQ80" i="10"/>
  <c r="BO80" i="10"/>
  <c r="BN80" i="10"/>
  <c r="BM80" i="10"/>
  <c r="BL80" i="10"/>
  <c r="BK80" i="10"/>
  <c r="S80" i="10"/>
  <c r="BD80" i="10"/>
  <c r="BB80" i="10"/>
  <c r="BQ79" i="10"/>
  <c r="BO79" i="10"/>
  <c r="BN79" i="10"/>
  <c r="BM79" i="10"/>
  <c r="BL79" i="10"/>
  <c r="BK79" i="10"/>
  <c r="S79" i="10"/>
  <c r="BD79" i="10"/>
  <c r="BB79" i="10"/>
  <c r="N79" i="10"/>
  <c r="BQ78" i="10"/>
  <c r="BO78" i="10"/>
  <c r="BN78" i="10"/>
  <c r="BM78" i="10"/>
  <c r="BL78" i="10"/>
  <c r="BK78" i="10"/>
  <c r="S78" i="10"/>
  <c r="BD78" i="10"/>
  <c r="BB78" i="10"/>
  <c r="BQ77" i="10"/>
  <c r="BO77" i="10"/>
  <c r="BN77" i="10"/>
  <c r="BM77" i="10"/>
  <c r="BL77" i="10"/>
  <c r="BK77" i="10"/>
  <c r="S77" i="10"/>
  <c r="BD77" i="10"/>
  <c r="BB77" i="10"/>
  <c r="N77" i="10"/>
  <c r="BQ76" i="10"/>
  <c r="BO76" i="10"/>
  <c r="BN76" i="10"/>
  <c r="BM76" i="10"/>
  <c r="BL76" i="10"/>
  <c r="BK76" i="10"/>
  <c r="BD76" i="10"/>
  <c r="BB76" i="10"/>
  <c r="BQ75" i="10"/>
  <c r="BO75" i="10"/>
  <c r="BN75" i="10"/>
  <c r="BM75" i="10"/>
  <c r="BL75" i="10"/>
  <c r="BK75" i="10"/>
  <c r="S75" i="10"/>
  <c r="BD75" i="10"/>
  <c r="BB75" i="10"/>
  <c r="BQ74" i="10"/>
  <c r="BO74" i="10"/>
  <c r="BN74" i="10"/>
  <c r="BM74" i="10"/>
  <c r="BL74" i="10"/>
  <c r="BK74" i="10"/>
  <c r="S74" i="10"/>
  <c r="BD74" i="10"/>
  <c r="BB74" i="10"/>
  <c r="BQ73" i="10"/>
  <c r="BO73" i="10"/>
  <c r="BN73" i="10"/>
  <c r="BM73" i="10"/>
  <c r="BL73" i="10"/>
  <c r="BK73" i="10"/>
  <c r="S73" i="10"/>
  <c r="BD73" i="10"/>
  <c r="BB73" i="10"/>
  <c r="BQ72" i="10"/>
  <c r="BO72" i="10"/>
  <c r="BN72" i="10"/>
  <c r="BM72" i="10"/>
  <c r="BL72" i="10"/>
  <c r="BK72" i="10"/>
  <c r="BD72" i="10"/>
  <c r="BB72" i="10"/>
  <c r="BQ71" i="10"/>
  <c r="BO71" i="10"/>
  <c r="BN71" i="10"/>
  <c r="BM71" i="10"/>
  <c r="BL71" i="10"/>
  <c r="BK71" i="10"/>
  <c r="S71" i="10"/>
  <c r="BD71" i="10"/>
  <c r="BB71" i="10"/>
  <c r="BQ70" i="10"/>
  <c r="BO70" i="10"/>
  <c r="BN70" i="10"/>
  <c r="BM70" i="10"/>
  <c r="BL70" i="10"/>
  <c r="BK70" i="10"/>
  <c r="S70" i="10"/>
  <c r="BD70" i="10"/>
  <c r="BB70" i="10"/>
  <c r="BQ69" i="10"/>
  <c r="BO69" i="10"/>
  <c r="BN69" i="10"/>
  <c r="BM69" i="10"/>
  <c r="BL69" i="10"/>
  <c r="BK69" i="10"/>
  <c r="S69" i="10"/>
  <c r="BD69" i="10"/>
  <c r="BB69" i="10"/>
  <c r="BQ68" i="10"/>
  <c r="BO68" i="10"/>
  <c r="BN68" i="10"/>
  <c r="BM68" i="10"/>
  <c r="BL68" i="10"/>
  <c r="BK68" i="10"/>
  <c r="BD68" i="10"/>
  <c r="BB68" i="10"/>
  <c r="N68" i="10"/>
  <c r="BQ67" i="10"/>
  <c r="BO67" i="10"/>
  <c r="BN67" i="10"/>
  <c r="BM67" i="10"/>
  <c r="BL67" i="10"/>
  <c r="BK67" i="10"/>
  <c r="S67" i="10"/>
  <c r="BD67" i="10"/>
  <c r="BB67" i="10"/>
  <c r="N67" i="10"/>
  <c r="BQ66" i="10"/>
  <c r="BO66" i="10"/>
  <c r="BN66" i="10"/>
  <c r="BM66" i="10"/>
  <c r="BL66" i="10"/>
  <c r="BK66" i="10"/>
  <c r="S66" i="10"/>
  <c r="BD66" i="10"/>
  <c r="BB66" i="10"/>
  <c r="BQ65" i="10"/>
  <c r="BO65" i="10"/>
  <c r="BN65" i="10"/>
  <c r="BM65" i="10"/>
  <c r="BL65" i="10"/>
  <c r="BK65" i="10"/>
  <c r="S65" i="10"/>
  <c r="BD65" i="10"/>
  <c r="BB65" i="10"/>
  <c r="BQ64" i="10"/>
  <c r="BO64" i="10"/>
  <c r="BN64" i="10"/>
  <c r="BM64" i="10"/>
  <c r="BL64" i="10"/>
  <c r="BK64" i="10"/>
  <c r="S64" i="10"/>
  <c r="BD64" i="10"/>
  <c r="BB64" i="10"/>
  <c r="BQ63" i="10"/>
  <c r="BO63" i="10"/>
  <c r="BN63" i="10"/>
  <c r="BM63" i="10"/>
  <c r="BL63" i="10"/>
  <c r="BK63" i="10"/>
  <c r="S63" i="10"/>
  <c r="BD63" i="10"/>
  <c r="BB63" i="10"/>
  <c r="N63" i="10"/>
  <c r="BQ62" i="10"/>
  <c r="BO62" i="10"/>
  <c r="BN62" i="10"/>
  <c r="BM62" i="10"/>
  <c r="BL62" i="10"/>
  <c r="BK62" i="10"/>
  <c r="S62" i="10"/>
  <c r="BD62" i="10"/>
  <c r="BB62" i="10"/>
  <c r="BQ61" i="10"/>
  <c r="BO61" i="10"/>
  <c r="BN61" i="10"/>
  <c r="BM61" i="10"/>
  <c r="BL61" i="10"/>
  <c r="BK61" i="10"/>
  <c r="S61" i="10"/>
  <c r="BD61" i="10"/>
  <c r="BB61" i="10"/>
  <c r="BQ60" i="10"/>
  <c r="BO60" i="10"/>
  <c r="BN60" i="10"/>
  <c r="BM60" i="10"/>
  <c r="BL60" i="10"/>
  <c r="BK60" i="10"/>
  <c r="BD60" i="10"/>
  <c r="BB60" i="10"/>
  <c r="BQ59" i="10"/>
  <c r="BO59" i="10"/>
  <c r="BN59" i="10"/>
  <c r="BM59" i="10"/>
  <c r="BL59" i="10"/>
  <c r="BK59" i="10"/>
  <c r="S59" i="10"/>
  <c r="BD59" i="10"/>
  <c r="BB59" i="10"/>
  <c r="BQ58" i="10"/>
  <c r="BO58" i="10"/>
  <c r="BN58" i="10"/>
  <c r="BM58" i="10"/>
  <c r="BL58" i="10"/>
  <c r="BK58" i="10"/>
  <c r="S58" i="10"/>
  <c r="BD58" i="10"/>
  <c r="BB58" i="10"/>
  <c r="BQ57" i="10"/>
  <c r="BO57" i="10"/>
  <c r="BN57" i="10"/>
  <c r="BM57" i="10"/>
  <c r="BL57" i="10"/>
  <c r="BK57" i="10"/>
  <c r="S57" i="10"/>
  <c r="BD57" i="10"/>
  <c r="BB57" i="10"/>
  <c r="BQ56" i="10"/>
  <c r="BO56" i="10"/>
  <c r="BN56" i="10"/>
  <c r="BM56" i="10"/>
  <c r="BL56" i="10"/>
  <c r="BK56" i="10"/>
  <c r="BD56" i="10"/>
  <c r="BB56" i="10"/>
  <c r="N56" i="10"/>
  <c r="BQ55" i="10"/>
  <c r="BO55" i="10"/>
  <c r="BN55" i="10"/>
  <c r="BM55" i="10"/>
  <c r="BL55" i="10"/>
  <c r="BK55" i="10"/>
  <c r="S55" i="10"/>
  <c r="BD55" i="10"/>
  <c r="BB55" i="10"/>
  <c r="BQ54" i="10"/>
  <c r="BO54" i="10"/>
  <c r="BN54" i="10"/>
  <c r="BM54" i="10"/>
  <c r="BL54" i="10"/>
  <c r="BK54" i="10"/>
  <c r="S54" i="10"/>
  <c r="BD54" i="10"/>
  <c r="BB54" i="10"/>
  <c r="BQ53" i="10"/>
  <c r="BO53" i="10"/>
  <c r="BN53" i="10"/>
  <c r="BM53" i="10"/>
  <c r="BL53" i="10"/>
  <c r="BK53" i="10"/>
  <c r="S53" i="10"/>
  <c r="BD53" i="10"/>
  <c r="BB53" i="10"/>
  <c r="BQ52" i="10"/>
  <c r="BO52" i="10"/>
  <c r="BN52" i="10"/>
  <c r="BM52" i="10"/>
  <c r="BL52" i="10"/>
  <c r="BK52" i="10"/>
  <c r="BD52" i="10"/>
  <c r="BB52" i="10"/>
  <c r="BQ51" i="10"/>
  <c r="BO51" i="10"/>
  <c r="BN51" i="10"/>
  <c r="BM51" i="10"/>
  <c r="BL51" i="10"/>
  <c r="BK51" i="10"/>
  <c r="S51" i="10"/>
  <c r="BD51" i="10"/>
  <c r="BB51" i="10"/>
  <c r="N51" i="10"/>
  <c r="BQ50" i="10"/>
  <c r="BO50" i="10"/>
  <c r="BN50" i="10"/>
  <c r="BM50" i="10"/>
  <c r="BL50" i="10"/>
  <c r="BK50" i="10"/>
  <c r="S50" i="10"/>
  <c r="BD50" i="10"/>
  <c r="BB50" i="10"/>
  <c r="BQ49" i="10"/>
  <c r="BO49" i="10"/>
  <c r="BN49" i="10"/>
  <c r="BM49" i="10"/>
  <c r="BL49" i="10"/>
  <c r="BK49" i="10"/>
  <c r="S49" i="10"/>
  <c r="BD49" i="10"/>
  <c r="BB49" i="10"/>
  <c r="BQ48" i="10"/>
  <c r="BO48" i="10"/>
  <c r="BN48" i="10"/>
  <c r="BM48" i="10"/>
  <c r="BL48" i="10"/>
  <c r="BK48" i="10"/>
  <c r="BD48" i="10"/>
  <c r="BB48" i="10"/>
  <c r="BQ47" i="10"/>
  <c r="BO47" i="10"/>
  <c r="BN47" i="10"/>
  <c r="BM47" i="10"/>
  <c r="BL47" i="10"/>
  <c r="BK47" i="10"/>
  <c r="S47" i="10"/>
  <c r="BD47" i="10"/>
  <c r="BB47" i="10"/>
  <c r="BQ46" i="10"/>
  <c r="BO46" i="10"/>
  <c r="BN46" i="10"/>
  <c r="BM46" i="10"/>
  <c r="BL46" i="10"/>
  <c r="BK46" i="10"/>
  <c r="S46" i="10"/>
  <c r="BD46" i="10"/>
  <c r="BB46" i="10"/>
  <c r="BQ45" i="10"/>
  <c r="BO45" i="10"/>
  <c r="BN45" i="10"/>
  <c r="BM45" i="10"/>
  <c r="BL45" i="10"/>
  <c r="BK45" i="10"/>
  <c r="S45" i="10"/>
  <c r="BD45" i="10"/>
  <c r="BB45" i="10"/>
  <c r="BQ44" i="10"/>
  <c r="BO44" i="10"/>
  <c r="BN44" i="10"/>
  <c r="BM44" i="10"/>
  <c r="BL44" i="10"/>
  <c r="BK44" i="10"/>
  <c r="BD44" i="10"/>
  <c r="BB44" i="10"/>
  <c r="N44" i="10"/>
  <c r="BQ43" i="10"/>
  <c r="BO43" i="10"/>
  <c r="BN43" i="10"/>
  <c r="BM43" i="10"/>
  <c r="BL43" i="10"/>
  <c r="BK43" i="10"/>
  <c r="S43" i="10"/>
  <c r="BD43" i="10"/>
  <c r="BB43" i="10"/>
  <c r="BQ42" i="10"/>
  <c r="BO42" i="10"/>
  <c r="BN42" i="10"/>
  <c r="BM42" i="10"/>
  <c r="BL42" i="10"/>
  <c r="BK42" i="10"/>
  <c r="S42" i="10"/>
  <c r="BD42" i="10"/>
  <c r="BB42" i="10"/>
  <c r="BQ41" i="10"/>
  <c r="BO41" i="10"/>
  <c r="BN41" i="10"/>
  <c r="BM41" i="10"/>
  <c r="BL41" i="10"/>
  <c r="BK41" i="10"/>
  <c r="S41" i="10"/>
  <c r="BD41" i="10"/>
  <c r="BB41" i="10"/>
  <c r="BQ40" i="10"/>
  <c r="BO40" i="10"/>
  <c r="BN40" i="10"/>
  <c r="BM40" i="10"/>
  <c r="BL40" i="10"/>
  <c r="BK40" i="10"/>
  <c r="S40" i="10"/>
  <c r="BD40" i="10"/>
  <c r="BB40" i="10"/>
  <c r="BQ39" i="10"/>
  <c r="BO39" i="10"/>
  <c r="BN39" i="10"/>
  <c r="BM39" i="10"/>
  <c r="BL39" i="10"/>
  <c r="BK39" i="10"/>
  <c r="S39" i="10"/>
  <c r="BD39" i="10"/>
  <c r="BB39" i="10"/>
  <c r="BQ38" i="10"/>
  <c r="BO38" i="10"/>
  <c r="BN38" i="10"/>
  <c r="BM38" i="10"/>
  <c r="BL38" i="10"/>
  <c r="BK38" i="10"/>
  <c r="S38" i="10"/>
  <c r="BD38" i="10"/>
  <c r="BB38" i="10"/>
  <c r="BQ37" i="10"/>
  <c r="BO37" i="10"/>
  <c r="BN37" i="10"/>
  <c r="BM37" i="10"/>
  <c r="BL37" i="10"/>
  <c r="BK37" i="10"/>
  <c r="S37" i="10"/>
  <c r="BD37" i="10"/>
  <c r="BB37" i="10"/>
  <c r="BQ36" i="10"/>
  <c r="BO36" i="10"/>
  <c r="BN36" i="10"/>
  <c r="BM36" i="10"/>
  <c r="BL36" i="10"/>
  <c r="BK36" i="10"/>
  <c r="S36" i="10"/>
  <c r="BD36" i="10"/>
  <c r="BB36" i="10"/>
  <c r="N36" i="10"/>
  <c r="BQ35" i="10"/>
  <c r="BO35" i="10"/>
  <c r="BN35" i="10"/>
  <c r="BM35" i="10"/>
  <c r="BL35" i="10"/>
  <c r="BK35" i="10"/>
  <c r="S35" i="10"/>
  <c r="BD35" i="10"/>
  <c r="BB35" i="10"/>
  <c r="BQ34" i="10"/>
  <c r="BO34" i="10"/>
  <c r="BN34" i="10"/>
  <c r="BM34" i="10"/>
  <c r="BL34" i="10"/>
  <c r="BK34" i="10"/>
  <c r="S34" i="10"/>
  <c r="BD34" i="10"/>
  <c r="BB34" i="10"/>
  <c r="BQ33" i="10"/>
  <c r="BO33" i="10"/>
  <c r="BN33" i="10"/>
  <c r="BM33" i="10"/>
  <c r="BL33" i="10"/>
  <c r="BK33" i="10"/>
  <c r="S33" i="10"/>
  <c r="BD33" i="10"/>
  <c r="BB33" i="10"/>
  <c r="BQ32" i="10"/>
  <c r="BO32" i="10"/>
  <c r="BN32" i="10"/>
  <c r="BM32" i="10"/>
  <c r="BL32" i="10"/>
  <c r="BK32" i="10"/>
  <c r="BD32" i="10"/>
  <c r="BB32" i="10"/>
  <c r="BQ31" i="10"/>
  <c r="BO31" i="10"/>
  <c r="BN31" i="10"/>
  <c r="BM31" i="10"/>
  <c r="BL31" i="10"/>
  <c r="BK31" i="10"/>
  <c r="S31" i="10"/>
  <c r="BD31" i="10"/>
  <c r="BB31" i="10"/>
  <c r="BQ30" i="10"/>
  <c r="BO30" i="10"/>
  <c r="BN30" i="10"/>
  <c r="BM30" i="10"/>
  <c r="BL30" i="10"/>
  <c r="BK30" i="10"/>
  <c r="S30" i="10"/>
  <c r="BD30" i="10"/>
  <c r="BB30" i="10"/>
  <c r="BQ29" i="10"/>
  <c r="BO29" i="10"/>
  <c r="BN29" i="10"/>
  <c r="BM29" i="10"/>
  <c r="BL29" i="10"/>
  <c r="BK29" i="10"/>
  <c r="S29" i="10"/>
  <c r="BD29" i="10"/>
  <c r="BB29" i="10"/>
  <c r="BQ28" i="10"/>
  <c r="BO28" i="10"/>
  <c r="BN28" i="10"/>
  <c r="BM28" i="10"/>
  <c r="BL28" i="10"/>
  <c r="BK28" i="10"/>
  <c r="BD28" i="10"/>
  <c r="BB28" i="10"/>
  <c r="N28" i="10"/>
  <c r="BQ27" i="10"/>
  <c r="BO27" i="10"/>
  <c r="BN27" i="10"/>
  <c r="BM27" i="10"/>
  <c r="BL27" i="10"/>
  <c r="BK27" i="10"/>
  <c r="S27" i="10"/>
  <c r="BD27" i="10"/>
  <c r="BB27" i="10"/>
  <c r="BQ26" i="10"/>
  <c r="BO26" i="10"/>
  <c r="BN26" i="10"/>
  <c r="BM26" i="10"/>
  <c r="BL26" i="10"/>
  <c r="BK26" i="10"/>
  <c r="S26" i="10"/>
  <c r="BD26" i="10"/>
  <c r="BB26" i="10"/>
  <c r="BQ25" i="10"/>
  <c r="BO25" i="10"/>
  <c r="BN25" i="10"/>
  <c r="BM25" i="10"/>
  <c r="BL25" i="10"/>
  <c r="BK25" i="10"/>
  <c r="S25" i="10"/>
  <c r="BD25" i="10"/>
  <c r="BB25" i="10"/>
  <c r="N25" i="10"/>
  <c r="BQ24" i="10"/>
  <c r="BO24" i="10"/>
  <c r="BN24" i="10"/>
  <c r="BM24" i="10"/>
  <c r="BL24" i="10"/>
  <c r="BK24" i="10"/>
  <c r="BD24" i="10"/>
  <c r="BB24" i="10"/>
  <c r="N24" i="10"/>
  <c r="BQ23" i="10"/>
  <c r="BO23" i="10"/>
  <c r="BN23" i="10"/>
  <c r="BM23" i="10"/>
  <c r="BL23" i="10"/>
  <c r="BK23" i="10"/>
  <c r="S23" i="10"/>
  <c r="BD23" i="10"/>
  <c r="BB23" i="10"/>
  <c r="N23" i="10"/>
  <c r="BQ22" i="10"/>
  <c r="BO22" i="10"/>
  <c r="BN22" i="10"/>
  <c r="BM22" i="10"/>
  <c r="BL22" i="10"/>
  <c r="BK22" i="10"/>
  <c r="S22" i="10"/>
  <c r="BD22" i="10"/>
  <c r="BB22" i="10"/>
  <c r="BQ21" i="10"/>
  <c r="BO21" i="10"/>
  <c r="BN21" i="10"/>
  <c r="BM21" i="10"/>
  <c r="BL21" i="10"/>
  <c r="BK21" i="10"/>
  <c r="S21" i="10"/>
  <c r="BD21" i="10"/>
  <c r="BB21" i="10"/>
  <c r="BQ20" i="10"/>
  <c r="BO20" i="10"/>
  <c r="BN20" i="10"/>
  <c r="BM20" i="10"/>
  <c r="BL20" i="10"/>
  <c r="BK20" i="10"/>
  <c r="BD20" i="10"/>
  <c r="BB20" i="10"/>
  <c r="N20" i="10"/>
  <c r="BQ19" i="10"/>
  <c r="BO19" i="10"/>
  <c r="BN19" i="10"/>
  <c r="BM19" i="10"/>
  <c r="BL19" i="10"/>
  <c r="BK19" i="10"/>
  <c r="S19" i="10"/>
  <c r="BD19" i="10"/>
  <c r="BB19" i="10"/>
  <c r="BQ18" i="10"/>
  <c r="BO18" i="10"/>
  <c r="BN18" i="10"/>
  <c r="BM18" i="10"/>
  <c r="BL18" i="10"/>
  <c r="BK18" i="10"/>
  <c r="S18" i="10"/>
  <c r="BD18" i="10"/>
  <c r="BB18" i="10"/>
  <c r="BQ17" i="10"/>
  <c r="BO17" i="10"/>
  <c r="BN17" i="10"/>
  <c r="BM17" i="10"/>
  <c r="BL17" i="10"/>
  <c r="BK17" i="10"/>
  <c r="S17" i="10"/>
  <c r="BD17" i="10"/>
  <c r="BB17" i="10"/>
  <c r="BQ16" i="10"/>
  <c r="BO16" i="10"/>
  <c r="BN16" i="10"/>
  <c r="BM16" i="10"/>
  <c r="BL16" i="10"/>
  <c r="BK16" i="10"/>
  <c r="BD16" i="10"/>
  <c r="BB16" i="10"/>
  <c r="BQ15" i="10"/>
  <c r="BO15" i="10"/>
  <c r="BN15" i="10"/>
  <c r="BM15" i="10"/>
  <c r="BL15" i="10"/>
  <c r="BK15" i="10"/>
  <c r="S15" i="10"/>
  <c r="BD15" i="10"/>
  <c r="BB15" i="10"/>
  <c r="N15" i="10"/>
  <c r="BQ14" i="10"/>
  <c r="BO14" i="10"/>
  <c r="BN14" i="10"/>
  <c r="BM14" i="10"/>
  <c r="BL14" i="10"/>
  <c r="BK14" i="10"/>
  <c r="S14" i="10"/>
  <c r="BD14" i="10"/>
  <c r="BB14" i="10"/>
  <c r="BQ13" i="10"/>
  <c r="BO13" i="10"/>
  <c r="BN13" i="10"/>
  <c r="BM13" i="10"/>
  <c r="BD13" i="10"/>
  <c r="BQ12" i="10"/>
  <c r="BO12" i="10"/>
  <c r="BN12" i="10"/>
  <c r="BM12" i="10"/>
  <c r="BL12" i="10"/>
  <c r="S12" i="10"/>
  <c r="BB12" i="10"/>
  <c r="R12" i="10" s="1"/>
  <c r="AX9" i="10"/>
  <c r="C5" i="10"/>
  <c r="P12" i="10" l="1"/>
  <c r="BP43" i="10"/>
  <c r="AZ12" i="10"/>
  <c r="AZ13" i="10"/>
  <c r="AZ17" i="10"/>
  <c r="AZ21" i="10"/>
  <c r="AZ25" i="10"/>
  <c r="AZ29" i="10"/>
  <c r="AZ33" i="10"/>
  <c r="AZ37" i="10"/>
  <c r="AZ41" i="10"/>
  <c r="AZ45" i="10"/>
  <c r="AZ49" i="10"/>
  <c r="AZ53" i="10"/>
  <c r="AZ57" i="10"/>
  <c r="AZ61" i="10"/>
  <c r="AZ65" i="10"/>
  <c r="AZ69" i="10"/>
  <c r="AZ73" i="10"/>
  <c r="AZ77" i="10"/>
  <c r="AZ81" i="10"/>
  <c r="AZ85" i="10"/>
  <c r="AZ24" i="10"/>
  <c r="AZ44" i="10"/>
  <c r="AZ56" i="10"/>
  <c r="AZ64" i="10"/>
  <c r="AZ68" i="10"/>
  <c r="AZ72" i="10"/>
  <c r="AZ80" i="10"/>
  <c r="AZ14" i="10"/>
  <c r="AZ18" i="10"/>
  <c r="AZ22" i="10"/>
  <c r="AZ26" i="10"/>
  <c r="AZ30" i="10"/>
  <c r="AZ34" i="10"/>
  <c r="AZ38" i="10"/>
  <c r="AZ42" i="10"/>
  <c r="AZ46" i="10"/>
  <c r="AZ50" i="10"/>
  <c r="AZ54" i="10"/>
  <c r="AZ58" i="10"/>
  <c r="AZ62" i="10"/>
  <c r="AZ66" i="10"/>
  <c r="AZ70" i="10"/>
  <c r="AZ74" i="10"/>
  <c r="AZ78" i="10"/>
  <c r="AZ82" i="10"/>
  <c r="AZ86" i="10"/>
  <c r="AZ20" i="10"/>
  <c r="AZ36" i="10"/>
  <c r="AZ48" i="10"/>
  <c r="AZ60" i="10"/>
  <c r="AZ84" i="10"/>
  <c r="AZ15" i="10"/>
  <c r="AZ19" i="10"/>
  <c r="AZ23" i="10"/>
  <c r="AZ27" i="10"/>
  <c r="AZ31" i="10"/>
  <c r="AZ35" i="10"/>
  <c r="AZ39" i="10"/>
  <c r="AZ43" i="10"/>
  <c r="AZ47" i="10"/>
  <c r="AZ51" i="10"/>
  <c r="AZ55" i="10"/>
  <c r="AZ59" i="10"/>
  <c r="AZ63" i="10"/>
  <c r="AZ67" i="10"/>
  <c r="AZ71" i="10"/>
  <c r="AZ75" i="10"/>
  <c r="AZ79" i="10"/>
  <c r="AZ83" i="10"/>
  <c r="AZ16" i="10"/>
  <c r="AZ28" i="10"/>
  <c r="AZ32" i="10"/>
  <c r="AZ40" i="10"/>
  <c r="AZ52" i="10"/>
  <c r="AZ76" i="10"/>
  <c r="AY12" i="10"/>
  <c r="AY13" i="10"/>
  <c r="AY17" i="10"/>
  <c r="AY21" i="10"/>
  <c r="AY25" i="10"/>
  <c r="AY29" i="10"/>
  <c r="AY33" i="10"/>
  <c r="AY37" i="10"/>
  <c r="AY41" i="10"/>
  <c r="AY45" i="10"/>
  <c r="AY49" i="10"/>
  <c r="AY53" i="10"/>
  <c r="AY57" i="10"/>
  <c r="AY61" i="10"/>
  <c r="AY65" i="10"/>
  <c r="AY69" i="10"/>
  <c r="AY73" i="10"/>
  <c r="AY77" i="10"/>
  <c r="AY81" i="10"/>
  <c r="AY85" i="10"/>
  <c r="AY18" i="10"/>
  <c r="AY58" i="10"/>
  <c r="AY66" i="10"/>
  <c r="AY78" i="10"/>
  <c r="AY86" i="10"/>
  <c r="AY14" i="10"/>
  <c r="AY22" i="10"/>
  <c r="AY26" i="10"/>
  <c r="AY30" i="10"/>
  <c r="AY34" i="10"/>
  <c r="AY38" i="10"/>
  <c r="AY42" i="10"/>
  <c r="AY46" i="10"/>
  <c r="AY50" i="10"/>
  <c r="AY54" i="10"/>
  <c r="AY62" i="10"/>
  <c r="AY70" i="10"/>
  <c r="AY82" i="10"/>
  <c r="AY15" i="10"/>
  <c r="AY19" i="10"/>
  <c r="AY23" i="10"/>
  <c r="AY27" i="10"/>
  <c r="AY31" i="10"/>
  <c r="AY35" i="10"/>
  <c r="AY39" i="10"/>
  <c r="AY43" i="10"/>
  <c r="AY47" i="10"/>
  <c r="AY51" i="10"/>
  <c r="AY55" i="10"/>
  <c r="AY59" i="10"/>
  <c r="AY63" i="10"/>
  <c r="AY67" i="10"/>
  <c r="AY71" i="10"/>
  <c r="AY75" i="10"/>
  <c r="AY79" i="10"/>
  <c r="AY83" i="10"/>
  <c r="AY16" i="10"/>
  <c r="AY20" i="10"/>
  <c r="AY24" i="10"/>
  <c r="AY28" i="10"/>
  <c r="AY32" i="10"/>
  <c r="AY36" i="10"/>
  <c r="AY40" i="10"/>
  <c r="AY44" i="10"/>
  <c r="AY48" i="10"/>
  <c r="AY52" i="10"/>
  <c r="AY56" i="10"/>
  <c r="AY60" i="10"/>
  <c r="AY64" i="10"/>
  <c r="AY68" i="10"/>
  <c r="AY72" i="10"/>
  <c r="AY76" i="10"/>
  <c r="AY80" i="10"/>
  <c r="AY84" i="10"/>
  <c r="AY74" i="10"/>
  <c r="AX12" i="10"/>
  <c r="AX13" i="10"/>
  <c r="AX17" i="10"/>
  <c r="AX21" i="10"/>
  <c r="AX25" i="10"/>
  <c r="AX29" i="10"/>
  <c r="AX33" i="10"/>
  <c r="AX37" i="10"/>
  <c r="AX41" i="10"/>
  <c r="AX45" i="10"/>
  <c r="AX49" i="10"/>
  <c r="AX53" i="10"/>
  <c r="AX57" i="10"/>
  <c r="AX61" i="10"/>
  <c r="AX65" i="10"/>
  <c r="AX69" i="10"/>
  <c r="AX73" i="10"/>
  <c r="AX77" i="10"/>
  <c r="AX81" i="10"/>
  <c r="AX85" i="10"/>
  <c r="AX18" i="10"/>
  <c r="AX58" i="10"/>
  <c r="AX70" i="10"/>
  <c r="AX82" i="10"/>
  <c r="AX14" i="10"/>
  <c r="AX26" i="10"/>
  <c r="AX30" i="10"/>
  <c r="AX34" i="10"/>
  <c r="AX38" i="10"/>
  <c r="AX42" i="10"/>
  <c r="AX46" i="10"/>
  <c r="AX50" i="10"/>
  <c r="AX62" i="10"/>
  <c r="AX78" i="10"/>
  <c r="AX15" i="10"/>
  <c r="AX19" i="10"/>
  <c r="AX23" i="10"/>
  <c r="AX27" i="10"/>
  <c r="AX31" i="10"/>
  <c r="AX35" i="10"/>
  <c r="AX39" i="10"/>
  <c r="AX43" i="10"/>
  <c r="AX47" i="10"/>
  <c r="AX51" i="10"/>
  <c r="AX55" i="10"/>
  <c r="AX59" i="10"/>
  <c r="AX63" i="10"/>
  <c r="AX67" i="10"/>
  <c r="AX71" i="10"/>
  <c r="AX75" i="10"/>
  <c r="AX79" i="10"/>
  <c r="AX83" i="10"/>
  <c r="AX16" i="10"/>
  <c r="AX20" i="10"/>
  <c r="AX24" i="10"/>
  <c r="AX28" i="10"/>
  <c r="AX32" i="10"/>
  <c r="AX36" i="10"/>
  <c r="AX40" i="10"/>
  <c r="AX44" i="10"/>
  <c r="AX48" i="10"/>
  <c r="AX52" i="10"/>
  <c r="AX56" i="10"/>
  <c r="AX60" i="10"/>
  <c r="AX64" i="10"/>
  <c r="AX68" i="10"/>
  <c r="AX72" i="10"/>
  <c r="AX76" i="10"/>
  <c r="AX80" i="10"/>
  <c r="AX84" i="10"/>
  <c r="AX22" i="10"/>
  <c r="AX54" i="10"/>
  <c r="AX66" i="10"/>
  <c r="AX74" i="10"/>
  <c r="AX86" i="10"/>
  <c r="BP46" i="10"/>
  <c r="BP79" i="10"/>
  <c r="BP55" i="10"/>
  <c r="BP58" i="10"/>
  <c r="BP29" i="10"/>
  <c r="BP45" i="10"/>
  <c r="BP54" i="10"/>
  <c r="BP75" i="10"/>
  <c r="Q85" i="10"/>
  <c r="P85" i="10" s="1"/>
  <c r="Q81" i="10"/>
  <c r="P81" i="10" s="1"/>
  <c r="Q77" i="10"/>
  <c r="Q73" i="10"/>
  <c r="P73" i="10" s="1"/>
  <c r="Q69" i="10"/>
  <c r="P69" i="10" s="1"/>
  <c r="Q61" i="10"/>
  <c r="P61" i="10" s="1"/>
  <c r="Q49" i="10"/>
  <c r="P49" i="10" s="1"/>
  <c r="Q45" i="10"/>
  <c r="P45" i="10" s="1"/>
  <c r="Q41" i="10"/>
  <c r="P41" i="10" s="1"/>
  <c r="Q37" i="10"/>
  <c r="Q33" i="10"/>
  <c r="Q29" i="10"/>
  <c r="Q25" i="10"/>
  <c r="Q84" i="10"/>
  <c r="Q68" i="10"/>
  <c r="P68" i="10" s="1"/>
  <c r="Q60" i="10"/>
  <c r="Q52" i="10"/>
  <c r="Q44" i="10"/>
  <c r="Q20" i="10"/>
  <c r="BP21" i="10"/>
  <c r="BP28" i="10"/>
  <c r="BP39" i="10"/>
  <c r="BP42" i="10"/>
  <c r="Q57" i="10"/>
  <c r="P57" i="10" s="1"/>
  <c r="BP22" i="10"/>
  <c r="BP40" i="10"/>
  <c r="N41" i="10"/>
  <c r="BP47" i="10"/>
  <c r="N49" i="10"/>
  <c r="BP57" i="10"/>
  <c r="BP67" i="10"/>
  <c r="N69" i="10"/>
  <c r="BP71" i="10"/>
  <c r="N73" i="10"/>
  <c r="N81" i="10"/>
  <c r="BP82" i="10"/>
  <c r="Q53" i="10"/>
  <c r="P53" i="10" s="1"/>
  <c r="Q13" i="10"/>
  <c r="Q28" i="10"/>
  <c r="BP14" i="10"/>
  <c r="BP24" i="10"/>
  <c r="BP32" i="10"/>
  <c r="BP44" i="10"/>
  <c r="N45" i="10"/>
  <c r="BP51" i="10"/>
  <c r="N53" i="10"/>
  <c r="BP59" i="10"/>
  <c r="N61" i="10"/>
  <c r="BP63" i="10"/>
  <c r="BP64" i="10"/>
  <c r="Q83" i="10"/>
  <c r="P83" i="10" s="1"/>
  <c r="Q79" i="10"/>
  <c r="Q75" i="10"/>
  <c r="P75" i="10" s="1"/>
  <c r="Q67" i="10"/>
  <c r="Q63" i="10"/>
  <c r="Q59" i="10"/>
  <c r="P59" i="10" s="1"/>
  <c r="Q55" i="10"/>
  <c r="P55" i="10" s="1"/>
  <c r="Q51" i="10"/>
  <c r="Q43" i="10"/>
  <c r="P43" i="10" s="1"/>
  <c r="Q27" i="10"/>
  <c r="P27" i="10" s="1"/>
  <c r="Q23" i="10"/>
  <c r="Q19" i="10"/>
  <c r="P19" i="10" s="1"/>
  <c r="Q15" i="10"/>
  <c r="Q65" i="10"/>
  <c r="Q21" i="10"/>
  <c r="P21" i="10" s="1"/>
  <c r="Q17" i="10"/>
  <c r="P17" i="10" s="1"/>
  <c r="Q76" i="10"/>
  <c r="Q36" i="10"/>
  <c r="N17" i="10"/>
  <c r="N21" i="10"/>
  <c r="BP35" i="10"/>
  <c r="BP38" i="10"/>
  <c r="BP41" i="10"/>
  <c r="BP56" i="10"/>
  <c r="N57" i="10"/>
  <c r="BP83" i="10"/>
  <c r="N85" i="10"/>
  <c r="Q12" i="10"/>
  <c r="Q39" i="10"/>
  <c r="Q31" i="10"/>
  <c r="BP17" i="10"/>
  <c r="N19" i="10"/>
  <c r="BP27" i="10"/>
  <c r="BP34" i="10"/>
  <c r="BP61" i="10"/>
  <c r="BP65" i="10"/>
  <c r="BP70" i="10"/>
  <c r="N75" i="10"/>
  <c r="Q86" i="10"/>
  <c r="Q78" i="10"/>
  <c r="Q70" i="10"/>
  <c r="Q62" i="10"/>
  <c r="Q54" i="10"/>
  <c r="Q46" i="10"/>
  <c r="Q38" i="10"/>
  <c r="Q30" i="10"/>
  <c r="Q22" i="10"/>
  <c r="Q14" i="10"/>
  <c r="Q71" i="10"/>
  <c r="Q47" i="10"/>
  <c r="BP12" i="10"/>
  <c r="BP13" i="10"/>
  <c r="BP16" i="10"/>
  <c r="BP18" i="10"/>
  <c r="BP23" i="10"/>
  <c r="BP25" i="10"/>
  <c r="N27" i="10"/>
  <c r="BP30" i="10"/>
  <c r="N43" i="10"/>
  <c r="BP50" i="10"/>
  <c r="N55" i="10"/>
  <c r="N59" i="10"/>
  <c r="BP78" i="10"/>
  <c r="N83" i="10"/>
  <c r="BP86" i="10"/>
  <c r="Q80" i="10"/>
  <c r="Q72" i="10"/>
  <c r="Q64" i="10"/>
  <c r="Q56" i="10"/>
  <c r="Q48" i="10"/>
  <c r="Q40" i="10"/>
  <c r="Q35" i="10"/>
  <c r="Q32" i="10"/>
  <c r="Q24" i="10"/>
  <c r="Q16" i="10"/>
  <c r="BP15" i="10"/>
  <c r="BP20" i="10"/>
  <c r="BP26" i="10"/>
  <c r="BP60" i="10"/>
  <c r="BP74" i="10"/>
  <c r="Q82" i="10"/>
  <c r="Q74" i="10"/>
  <c r="Q66" i="10"/>
  <c r="Q58" i="10"/>
  <c r="Q50" i="10"/>
  <c r="Q42" i="10"/>
  <c r="Q34" i="10"/>
  <c r="Q26" i="10"/>
  <c r="Q18" i="10"/>
  <c r="BP19" i="10"/>
  <c r="BP31" i="10"/>
  <c r="BP36" i="10"/>
  <c r="BP37" i="10"/>
  <c r="BP52" i="10"/>
  <c r="BP53" i="10"/>
  <c r="BP66" i="10"/>
  <c r="BP33" i="10"/>
  <c r="BP48" i="10"/>
  <c r="BP49" i="10"/>
  <c r="BP62" i="10"/>
  <c r="BP68" i="10"/>
  <c r="BP69" i="10"/>
  <c r="BP72" i="10"/>
  <c r="BP73" i="10"/>
  <c r="BP76" i="10"/>
  <c r="BP77" i="10"/>
  <c r="BP80" i="10"/>
  <c r="BP81" i="10"/>
  <c r="BP84" i="10"/>
  <c r="BP85" i="10"/>
  <c r="W12" i="10" l="1"/>
  <c r="V12" i="10"/>
  <c r="P34" i="10"/>
  <c r="Y34" i="10" s="1"/>
  <c r="P16" i="10"/>
  <c r="BJ16" i="10" s="1"/>
  <c r="Y54" i="10"/>
  <c r="P54" i="10"/>
  <c r="P13" i="10"/>
  <c r="V13" i="10" s="1"/>
  <c r="P84" i="10"/>
  <c r="BJ84" i="10" s="1"/>
  <c r="P37" i="10"/>
  <c r="P80" i="10"/>
  <c r="BJ80" i="10" s="1"/>
  <c r="P47" i="10"/>
  <c r="P30" i="10"/>
  <c r="Y30" i="10" s="1"/>
  <c r="P62" i="10"/>
  <c r="BJ31" i="10"/>
  <c r="P31" i="10"/>
  <c r="P23" i="10"/>
  <c r="P52" i="10"/>
  <c r="P25" i="10"/>
  <c r="P40" i="10"/>
  <c r="P67" i="10"/>
  <c r="BJ67" i="10" s="1"/>
  <c r="P44" i="10"/>
  <c r="P74" i="10"/>
  <c r="BJ74" i="10" s="1"/>
  <c r="Y48" i="10"/>
  <c r="P48" i="10"/>
  <c r="P50" i="10"/>
  <c r="BJ50" i="10" s="1"/>
  <c r="P32" i="10"/>
  <c r="P71" i="10"/>
  <c r="P38" i="10"/>
  <c r="BJ38" i="10" s="1"/>
  <c r="P70" i="10"/>
  <c r="Y70" i="10" s="1"/>
  <c r="P39" i="10"/>
  <c r="P36" i="10"/>
  <c r="Y65" i="10"/>
  <c r="P65" i="10"/>
  <c r="P79" i="10"/>
  <c r="Y79" i="10" s="1"/>
  <c r="P60" i="10"/>
  <c r="P29" i="10"/>
  <c r="P66" i="10"/>
  <c r="P72" i="10"/>
  <c r="Y72" i="10" s="1"/>
  <c r="P22" i="10"/>
  <c r="P86" i="10"/>
  <c r="Y51" i="10"/>
  <c r="P51" i="10"/>
  <c r="P42" i="10"/>
  <c r="P24" i="10"/>
  <c r="BJ24" i="10" s="1"/>
  <c r="P18" i="10"/>
  <c r="Y18" i="10" s="1"/>
  <c r="P82" i="10"/>
  <c r="BJ82" i="10" s="1"/>
  <c r="P56" i="10"/>
  <c r="Y56" i="10" s="1"/>
  <c r="P26" i="10"/>
  <c r="P58" i="10"/>
  <c r="Y35" i="10"/>
  <c r="P35" i="10"/>
  <c r="P64" i="10"/>
  <c r="BJ64" i="10" s="1"/>
  <c r="P14" i="10"/>
  <c r="P46" i="10"/>
  <c r="BJ46" i="10" s="1"/>
  <c r="P78" i="10"/>
  <c r="P76" i="10"/>
  <c r="Y76" i="10" s="1"/>
  <c r="P15" i="10"/>
  <c r="Y15" i="10" s="1"/>
  <c r="P63" i="10"/>
  <c r="BJ63" i="10" s="1"/>
  <c r="BJ28" i="10"/>
  <c r="P28" i="10"/>
  <c r="P20" i="10"/>
  <c r="P33" i="10"/>
  <c r="P77" i="10"/>
  <c r="Y77" i="10" s="1"/>
  <c r="Y59" i="10"/>
  <c r="BJ49" i="10"/>
  <c r="BJ61" i="10"/>
  <c r="Y81" i="10"/>
  <c r="Y17" i="10"/>
  <c r="BJ19" i="10"/>
  <c r="Y55" i="10"/>
  <c r="Y69" i="10"/>
  <c r="Y41" i="10"/>
  <c r="BJ21" i="10"/>
  <c r="Y53" i="10"/>
  <c r="Y85" i="10"/>
  <c r="Y61" i="10"/>
  <c r="BJ45" i="10"/>
  <c r="Y57" i="10"/>
  <c r="Y43" i="10"/>
  <c r="BJ27" i="10"/>
  <c r="N11" i="10"/>
  <c r="BJ68" i="10"/>
  <c r="Y68" i="10"/>
  <c r="Y75" i="10"/>
  <c r="BJ57" i="10"/>
  <c r="Y73" i="10"/>
  <c r="BJ73" i="10"/>
  <c r="Y31" i="10"/>
  <c r="BJ43" i="10"/>
  <c r="BJ48" i="10"/>
  <c r="Y83" i="10"/>
  <c r="BJ83" i="10"/>
  <c r="BJ81" i="10"/>
  <c r="BJ55" i="10"/>
  <c r="W13" i="10" l="1"/>
  <c r="Y32" i="10"/>
  <c r="BJ32" i="10"/>
  <c r="BJ66" i="10"/>
  <c r="Y66" i="10"/>
  <c r="Y52" i="10"/>
  <c r="BJ52" i="10"/>
  <c r="BJ26" i="10"/>
  <c r="Y26" i="10"/>
  <c r="BJ33" i="10"/>
  <c r="Y33" i="10"/>
  <c r="Y39" i="10"/>
  <c r="BJ39" i="10"/>
  <c r="BJ14" i="10"/>
  <c r="AE14" i="10" s="1"/>
  <c r="Y14" i="10"/>
  <c r="Y44" i="10"/>
  <c r="BJ44" i="10"/>
  <c r="Y78" i="10"/>
  <c r="BJ78" i="10"/>
  <c r="Y22" i="10"/>
  <c r="BJ22" i="10"/>
  <c r="BJ60" i="10"/>
  <c r="Y60" i="10"/>
  <c r="Y40" i="10"/>
  <c r="BJ40" i="10"/>
  <c r="BJ54" i="10"/>
  <c r="BJ35" i="10"/>
  <c r="BJ51" i="10"/>
  <c r="BJ69" i="10"/>
  <c r="BJ53" i="10"/>
  <c r="Y47" i="10"/>
  <c r="BJ47" i="10"/>
  <c r="BJ58" i="10"/>
  <c r="Y58" i="10"/>
  <c r="BJ86" i="10"/>
  <c r="Y86" i="10"/>
  <c r="Y36" i="10"/>
  <c r="BJ36" i="10"/>
  <c r="BJ62" i="10"/>
  <c r="Y62" i="10"/>
  <c r="BJ20" i="10"/>
  <c r="Y20" i="10"/>
  <c r="BJ42" i="10"/>
  <c r="Y42" i="10"/>
  <c r="Y23" i="10"/>
  <c r="BJ23" i="10"/>
  <c r="BJ29" i="10"/>
  <c r="Y29" i="10"/>
  <c r="Y71" i="10"/>
  <c r="BJ71" i="10"/>
  <c r="BJ25" i="10"/>
  <c r="Y25" i="10"/>
  <c r="Y37" i="10"/>
  <c r="BJ37" i="10"/>
  <c r="BJ17" i="10"/>
  <c r="Y19" i="10"/>
  <c r="Y28" i="10"/>
  <c r="Y64" i="10"/>
  <c r="Y38" i="10"/>
  <c r="BJ85" i="10"/>
  <c r="Y45" i="10"/>
  <c r="BJ18" i="10"/>
  <c r="Y21" i="10"/>
  <c r="Y67" i="10"/>
  <c r="BJ30" i="10"/>
  <c r="BJ15" i="10"/>
  <c r="AE15" i="10" s="1"/>
  <c r="Y46" i="10"/>
  <c r="Y82" i="10"/>
  <c r="BJ70" i="10"/>
  <c r="BJ41" i="10"/>
  <c r="BJ79" i="10"/>
  <c r="Y16" i="10"/>
  <c r="Y50" i="10"/>
  <c r="Y49" i="10"/>
  <c r="BJ77" i="10"/>
  <c r="Y80" i="10"/>
  <c r="Y84" i="10"/>
  <c r="Y24" i="10"/>
  <c r="BJ72" i="10"/>
  <c r="BJ76" i="10"/>
  <c r="Y63" i="10"/>
  <c r="BJ34" i="10"/>
  <c r="BJ59" i="10"/>
  <c r="BJ56" i="10"/>
  <c r="BJ65" i="10"/>
  <c r="Y74" i="10"/>
  <c r="Y27" i="10"/>
  <c r="BJ75" i="10"/>
  <c r="Y13" i="10" l="1"/>
  <c r="BJ13" i="10" l="1"/>
  <c r="AE13" i="10" l="1"/>
  <c r="AJ13" i="10"/>
  <c r="AG13" i="10"/>
  <c r="AI13" i="10"/>
  <c r="BL13" i="10"/>
  <c r="BK13" i="10"/>
  <c r="AF13" i="10" s="1"/>
  <c r="G15" i="3" l="1"/>
  <c r="J15" i="3" s="1"/>
  <c r="J26" i="3"/>
  <c r="I26" i="3" s="1"/>
  <c r="I24" i="3"/>
  <c r="J24" i="3" s="1"/>
  <c r="V32" i="5" l="1"/>
  <c r="W32" i="5"/>
  <c r="V33" i="5"/>
  <c r="W33" i="5"/>
  <c r="V34" i="5"/>
  <c r="W34" i="5"/>
  <c r="V35" i="5"/>
  <c r="W35" i="5"/>
  <c r="V36" i="5"/>
  <c r="W36" i="5"/>
  <c r="V37" i="5"/>
  <c r="W37" i="5"/>
  <c r="V38" i="5"/>
  <c r="W38" i="5"/>
  <c r="V39" i="5"/>
  <c r="W39" i="5"/>
  <c r="V40" i="5"/>
  <c r="W40" i="5"/>
  <c r="V41" i="5"/>
  <c r="W41" i="5"/>
  <c r="V42" i="5"/>
  <c r="W42" i="5"/>
  <c r="V43" i="5"/>
  <c r="W43" i="5"/>
  <c r="V44" i="5"/>
  <c r="W44" i="5"/>
  <c r="V45" i="5"/>
  <c r="W45" i="5"/>
  <c r="V46" i="5"/>
  <c r="W46" i="5"/>
  <c r="V47" i="5"/>
  <c r="W47" i="5"/>
  <c r="V48" i="5"/>
  <c r="W48" i="5"/>
  <c r="V49" i="5"/>
  <c r="W49" i="5"/>
  <c r="V50" i="5"/>
  <c r="W50" i="5"/>
  <c r="V51" i="5"/>
  <c r="W51" i="5"/>
  <c r="V52" i="5"/>
  <c r="W52" i="5"/>
  <c r="V53" i="5"/>
  <c r="W53" i="5"/>
  <c r="V54" i="5"/>
  <c r="W54" i="5"/>
  <c r="V55" i="5"/>
  <c r="W55" i="5"/>
  <c r="V56" i="5"/>
  <c r="W56" i="5"/>
  <c r="V57" i="5"/>
  <c r="W57" i="5"/>
  <c r="V58" i="5"/>
  <c r="W58" i="5"/>
  <c r="V59" i="5"/>
  <c r="W59" i="5"/>
  <c r="V60" i="5"/>
  <c r="W60" i="5"/>
  <c r="F28" i="6"/>
  <c r="I30" i="5"/>
  <c r="I16" i="5"/>
  <c r="I17" i="6"/>
  <c r="F18" i="6"/>
  <c r="F31" i="5"/>
  <c r="F17" i="5"/>
  <c r="H15" i="4"/>
  <c r="J14" i="4"/>
  <c r="S115" i="8" l="1"/>
  <c r="S114" i="8"/>
  <c r="S113" i="8"/>
  <c r="S112" i="8"/>
  <c r="S111" i="8"/>
  <c r="S110" i="8"/>
  <c r="S109" i="8"/>
  <c r="S108" i="8"/>
  <c r="S107" i="8"/>
  <c r="S106" i="8"/>
  <c r="S105" i="8"/>
  <c r="S104" i="8"/>
  <c r="S103" i="8"/>
  <c r="S102" i="8"/>
  <c r="S101" i="8"/>
  <c r="S100" i="8"/>
  <c r="S99" i="8"/>
  <c r="S98" i="8"/>
  <c r="S97" i="8"/>
  <c r="S96" i="8"/>
  <c r="S95" i="8"/>
  <c r="S94" i="8"/>
  <c r="S93" i="8"/>
  <c r="S92" i="8"/>
  <c r="S91" i="8"/>
  <c r="S87" i="8"/>
  <c r="S86" i="8"/>
  <c r="S85" i="8"/>
  <c r="S84" i="8"/>
  <c r="S83" i="8"/>
  <c r="S82" i="8"/>
  <c r="S81" i="8"/>
  <c r="S80" i="8"/>
  <c r="S79" i="8"/>
  <c r="S78" i="8"/>
  <c r="S77" i="8"/>
  <c r="S76" i="8"/>
  <c r="S75" i="8"/>
  <c r="S74" i="8"/>
  <c r="S73" i="8"/>
  <c r="S72" i="8"/>
  <c r="S71" i="8"/>
  <c r="S70" i="8"/>
  <c r="S69" i="8"/>
  <c r="S68" i="8"/>
  <c r="S67" i="8"/>
  <c r="S66" i="8"/>
  <c r="S65" i="8"/>
  <c r="S64" i="8"/>
  <c r="S63" i="8"/>
  <c r="S59" i="8"/>
  <c r="S58" i="8"/>
  <c r="S57" i="8"/>
  <c r="S56" i="8"/>
  <c r="S55" i="8"/>
  <c r="S54" i="8"/>
  <c r="S53" i="8"/>
  <c r="S52" i="8"/>
  <c r="S51" i="8"/>
  <c r="S50" i="8"/>
  <c r="S49" i="8"/>
  <c r="S48" i="8"/>
  <c r="S47" i="8"/>
  <c r="S46" i="8"/>
  <c r="S45" i="8"/>
  <c r="S44" i="8"/>
  <c r="S43" i="8"/>
  <c r="S42" i="8"/>
  <c r="S41" i="8"/>
  <c r="S40" i="8"/>
  <c r="S39" i="8"/>
  <c r="S38" i="8"/>
  <c r="S37" i="8"/>
  <c r="S36" i="8"/>
  <c r="S35" i="8"/>
  <c r="S31" i="8"/>
  <c r="S30" i="8"/>
  <c r="S29" i="8"/>
  <c r="S28" i="8"/>
  <c r="S27" i="8"/>
  <c r="S26" i="8"/>
  <c r="S25" i="8"/>
  <c r="S24" i="8"/>
  <c r="S23" i="8"/>
  <c r="S22" i="8"/>
  <c r="S21" i="8"/>
  <c r="S20" i="8"/>
  <c r="S19" i="8"/>
  <c r="S18" i="8"/>
  <c r="S17" i="8"/>
  <c r="S16" i="8"/>
  <c r="S15" i="8"/>
  <c r="S14" i="8"/>
  <c r="S13" i="8"/>
  <c r="S12" i="8"/>
  <c r="S11" i="8"/>
  <c r="S10" i="8"/>
  <c r="S9" i="8"/>
  <c r="S8" i="8"/>
  <c r="S7" i="8"/>
  <c r="G22" i="3" l="1"/>
  <c r="H38" i="4" l="1"/>
  <c r="F42" i="5"/>
  <c r="F29" i="6"/>
  <c r="S18" i="6" l="1"/>
  <c r="S20" i="6"/>
  <c r="S22" i="6"/>
  <c r="S24" i="6"/>
  <c r="S26" i="6"/>
  <c r="S28" i="6"/>
  <c r="S30" i="6"/>
  <c r="S32" i="6"/>
  <c r="S34" i="6"/>
  <c r="S36" i="6"/>
  <c r="T19" i="6"/>
  <c r="T27" i="6"/>
  <c r="T31" i="6"/>
  <c r="T35" i="6"/>
  <c r="T18" i="6"/>
  <c r="T20" i="6"/>
  <c r="T22" i="6"/>
  <c r="T24" i="6"/>
  <c r="T26" i="6"/>
  <c r="T28" i="6"/>
  <c r="T30" i="6"/>
  <c r="T32" i="6"/>
  <c r="T34" i="6"/>
  <c r="T36" i="6"/>
  <c r="T21" i="6"/>
  <c r="T25" i="6"/>
  <c r="T29" i="6"/>
  <c r="T33" i="6"/>
  <c r="S17" i="6"/>
  <c r="S19" i="6"/>
  <c r="S21" i="6"/>
  <c r="S23" i="6"/>
  <c r="S25" i="6"/>
  <c r="S27" i="6"/>
  <c r="S29" i="6"/>
  <c r="S31" i="6"/>
  <c r="S33" i="6"/>
  <c r="S35" i="6"/>
  <c r="T17" i="6"/>
  <c r="T23" i="6"/>
  <c r="V16" i="5"/>
  <c r="V18" i="5"/>
  <c r="V20" i="5"/>
  <c r="V22" i="5"/>
  <c r="V24" i="5"/>
  <c r="V26" i="5"/>
  <c r="V28" i="5"/>
  <c r="V30" i="5"/>
  <c r="W17" i="5"/>
  <c r="W25" i="5"/>
  <c r="W16" i="5"/>
  <c r="W18" i="5"/>
  <c r="W20" i="5"/>
  <c r="W22" i="5"/>
  <c r="W24" i="5"/>
  <c r="W26" i="5"/>
  <c r="W28" i="5"/>
  <c r="W30" i="5"/>
  <c r="W19" i="5"/>
  <c r="W27" i="5"/>
  <c r="W31" i="5"/>
  <c r="V15" i="5"/>
  <c r="V17" i="5"/>
  <c r="V19" i="5"/>
  <c r="V21" i="5"/>
  <c r="V23" i="5"/>
  <c r="V25" i="5"/>
  <c r="V27" i="5"/>
  <c r="V29" i="5"/>
  <c r="V31" i="5"/>
  <c r="W15" i="5"/>
  <c r="W21" i="5"/>
  <c r="W23" i="5"/>
  <c r="W29" i="5"/>
  <c r="H4" i="3" l="1"/>
  <c r="G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5" i="3" s="1"/>
  <c r="I25" i="3" s="1"/>
  <c r="J25" i="3" s="1"/>
  <c r="J12" i="3"/>
  <c r="D25" i="7"/>
  <c r="D24" i="7"/>
  <c r="F18" i="5" s="1"/>
  <c r="D23" i="7"/>
  <c r="D22" i="7"/>
  <c r="G13" i="7"/>
  <c r="H13" i="7" s="1"/>
  <c r="C16" i="7"/>
  <c r="G12" i="7"/>
  <c r="H12" i="7" s="1"/>
  <c r="G11" i="7"/>
  <c r="H11" i="7" s="1"/>
  <c r="H10" i="7"/>
  <c r="D16" i="7"/>
  <c r="F8" i="7"/>
  <c r="F7" i="7"/>
  <c r="I23" i="3" l="1"/>
  <c r="J23" i="3" s="1"/>
  <c r="J18" i="3"/>
  <c r="H30" i="4"/>
  <c r="I21" i="3"/>
  <c r="Y15" i="5"/>
  <c r="Y25" i="5"/>
  <c r="Y29" i="5"/>
  <c r="Y22" i="5"/>
  <c r="Y30" i="5"/>
  <c r="Y23" i="5"/>
  <c r="Y27" i="5"/>
  <c r="F20" i="5"/>
  <c r="F41" i="5" s="1"/>
  <c r="F43" i="5" s="1"/>
  <c r="E16" i="7"/>
  <c r="K33" i="4"/>
  <c r="K31" i="4"/>
  <c r="J31" i="4"/>
  <c r="H34" i="4"/>
  <c r="J34" i="4" s="1"/>
  <c r="I27" i="4"/>
  <c r="H33" i="4" s="1"/>
  <c r="I22" i="3"/>
  <c r="J22" i="3" s="1"/>
  <c r="J11" i="3"/>
  <c r="I27" i="3" l="1"/>
  <c r="J21" i="3"/>
  <c r="J27" i="3" s="1"/>
  <c r="Y26" i="5"/>
  <c r="Y17" i="5"/>
  <c r="Y20" i="5"/>
  <c r="Y16" i="5"/>
  <c r="Y28" i="5"/>
  <c r="Y31" i="5"/>
  <c r="Y21" i="5"/>
  <c r="Y52" i="5"/>
  <c r="Y53" i="5"/>
  <c r="Y44" i="5"/>
  <c r="Y47" i="5"/>
  <c r="Y18" i="5"/>
  <c r="Y24" i="5"/>
  <c r="Y19" i="5"/>
  <c r="Y57" i="5"/>
  <c r="Y48" i="5"/>
  <c r="Y50" i="5"/>
  <c r="Y60" i="5"/>
  <c r="Y54" i="5"/>
  <c r="Y55" i="5"/>
  <c r="Y49" i="5"/>
  <c r="Y33" i="5"/>
  <c r="Y46" i="5"/>
  <c r="Y58" i="5"/>
  <c r="Y32" i="5"/>
  <c r="Y45" i="5"/>
  <c r="Y59" i="5"/>
  <c r="Y43" i="5"/>
  <c r="Y56" i="5"/>
  <c r="Y51" i="5"/>
  <c r="Y37" i="5"/>
  <c r="Y39" i="5"/>
  <c r="Y38" i="5"/>
  <c r="Y40" i="5"/>
  <c r="Y35" i="5"/>
  <c r="Y42" i="5"/>
  <c r="Y41" i="5"/>
  <c r="Y34" i="5"/>
  <c r="Y36" i="5"/>
  <c r="H35" i="4"/>
  <c r="J33" i="4"/>
  <c r="U13" i="10" l="1"/>
  <c r="U17" i="10"/>
  <c r="U21" i="10"/>
  <c r="U25" i="10"/>
  <c r="U29" i="10"/>
  <c r="U33" i="10"/>
  <c r="U37" i="10"/>
  <c r="U41" i="10"/>
  <c r="U45" i="10"/>
  <c r="U49" i="10"/>
  <c r="U53" i="10"/>
  <c r="U57" i="10"/>
  <c r="U61" i="10"/>
  <c r="U65" i="10"/>
  <c r="U69" i="10"/>
  <c r="U73" i="10"/>
  <c r="U77" i="10"/>
  <c r="U81" i="10"/>
  <c r="U85" i="10"/>
  <c r="U19" i="10"/>
  <c r="U23" i="10"/>
  <c r="U31" i="10"/>
  <c r="U39" i="10"/>
  <c r="U47" i="10"/>
  <c r="U51" i="10"/>
  <c r="U59" i="10"/>
  <c r="U67" i="10"/>
  <c r="U79" i="10"/>
  <c r="U12" i="10"/>
  <c r="U16" i="10"/>
  <c r="U24" i="10"/>
  <c r="U28" i="10"/>
  <c r="U36" i="10"/>
  <c r="U44" i="10"/>
  <c r="U52" i="10"/>
  <c r="U60" i="10"/>
  <c r="U68" i="10"/>
  <c r="U80" i="10"/>
  <c r="U14" i="10"/>
  <c r="U18" i="10"/>
  <c r="U22" i="10"/>
  <c r="U26" i="10"/>
  <c r="U30" i="10"/>
  <c r="U34" i="10"/>
  <c r="U38" i="10"/>
  <c r="U42" i="10"/>
  <c r="U46" i="10"/>
  <c r="U50" i="10"/>
  <c r="U54" i="10"/>
  <c r="U58" i="10"/>
  <c r="U62" i="10"/>
  <c r="U66" i="10"/>
  <c r="U70" i="10"/>
  <c r="U74" i="10"/>
  <c r="U78" i="10"/>
  <c r="U82" i="10"/>
  <c r="U86" i="10"/>
  <c r="U15" i="10"/>
  <c r="U27" i="10"/>
  <c r="U35" i="10"/>
  <c r="U43" i="10"/>
  <c r="U55" i="10"/>
  <c r="U63" i="10"/>
  <c r="U71" i="10"/>
  <c r="U75" i="10"/>
  <c r="U83" i="10"/>
  <c r="U20" i="10"/>
  <c r="U32" i="10"/>
  <c r="U40" i="10"/>
  <c r="U48" i="10"/>
  <c r="U56" i="10"/>
  <c r="U64" i="10"/>
  <c r="U72" i="10"/>
  <c r="U76" i="10"/>
  <c r="U84" i="10"/>
  <c r="J29" i="3"/>
  <c r="Q21" i="3" s="1"/>
  <c r="I28" i="3"/>
  <c r="J28" i="3"/>
  <c r="I29" i="3"/>
  <c r="Y62" i="5"/>
  <c r="Y63" i="5" s="1"/>
  <c r="F45" i="5" s="1"/>
  <c r="J35" i="4"/>
  <c r="J36" i="4"/>
  <c r="J38" i="4" s="1"/>
  <c r="J39" i="4" s="1"/>
  <c r="AD72" i="10" l="1"/>
  <c r="AO72" i="10" s="1"/>
  <c r="BG72" i="10"/>
  <c r="BI72" i="10" s="1"/>
  <c r="BH72" i="10"/>
  <c r="AD40" i="10"/>
  <c r="AO40" i="10" s="1"/>
  <c r="AR40" i="10" s="1"/>
  <c r="BG40" i="10"/>
  <c r="BI40" i="10" s="1"/>
  <c r="BH40" i="10"/>
  <c r="AD75" i="10"/>
  <c r="AO75" i="10" s="1"/>
  <c r="AS75" i="10" s="1"/>
  <c r="BG75" i="10"/>
  <c r="BI75" i="10" s="1"/>
  <c r="BH75" i="10"/>
  <c r="AD43" i="10"/>
  <c r="AO43" i="10" s="1"/>
  <c r="BG43" i="10"/>
  <c r="BI43" i="10" s="1"/>
  <c r="BH43" i="10"/>
  <c r="AD86" i="10"/>
  <c r="AO86" i="10" s="1"/>
  <c r="BH86" i="10"/>
  <c r="BG86" i="10"/>
  <c r="BI86" i="10" s="1"/>
  <c r="AD70" i="10"/>
  <c r="AO70" i="10" s="1"/>
  <c r="AS70" i="10" s="1"/>
  <c r="BH70" i="10"/>
  <c r="BG70" i="10"/>
  <c r="BI70" i="10" s="1"/>
  <c r="AD54" i="10"/>
  <c r="AO54" i="10" s="1"/>
  <c r="AR54" i="10" s="1"/>
  <c r="BH54" i="10"/>
  <c r="BG54" i="10"/>
  <c r="BI54" i="10" s="1"/>
  <c r="AD22" i="10"/>
  <c r="AO22" i="10" s="1"/>
  <c r="BH22" i="10"/>
  <c r="BG22" i="10"/>
  <c r="BI22" i="10" s="1"/>
  <c r="AD68" i="10"/>
  <c r="AO68" i="10" s="1"/>
  <c r="BG68" i="10"/>
  <c r="BI68" i="10" s="1"/>
  <c r="BH68" i="10"/>
  <c r="AD36" i="10"/>
  <c r="AO36" i="10" s="1"/>
  <c r="AS36" i="10" s="1"/>
  <c r="BG36" i="10"/>
  <c r="BI36" i="10" s="1"/>
  <c r="BH36" i="10"/>
  <c r="AD51" i="10"/>
  <c r="AO51" i="10" s="1"/>
  <c r="AR51" i="10" s="1"/>
  <c r="BG51" i="10"/>
  <c r="BI51" i="10" s="1"/>
  <c r="BH51" i="10"/>
  <c r="AD23" i="10"/>
  <c r="AO23" i="10" s="1"/>
  <c r="BG23" i="10"/>
  <c r="BI23" i="10" s="1"/>
  <c r="BH23" i="10"/>
  <c r="AD64" i="10"/>
  <c r="AO64" i="10" s="1"/>
  <c r="AR64" i="10" s="1"/>
  <c r="BG64" i="10"/>
  <c r="BI64" i="10" s="1"/>
  <c r="BH64" i="10"/>
  <c r="AD32" i="10"/>
  <c r="AO32" i="10" s="1"/>
  <c r="AP32" i="10" s="1"/>
  <c r="BG32" i="10"/>
  <c r="BI32" i="10" s="1"/>
  <c r="BH32" i="10"/>
  <c r="AD71" i="10"/>
  <c r="AO71" i="10" s="1"/>
  <c r="AP71" i="10" s="1"/>
  <c r="BG71" i="10"/>
  <c r="BI71" i="10" s="1"/>
  <c r="BH71" i="10"/>
  <c r="AD35" i="10"/>
  <c r="AO35" i="10" s="1"/>
  <c r="BG35" i="10"/>
  <c r="BI35" i="10" s="1"/>
  <c r="BH35" i="10"/>
  <c r="AD82" i="10"/>
  <c r="AO82" i="10" s="1"/>
  <c r="AP82" i="10" s="1"/>
  <c r="BH82" i="10"/>
  <c r="BG82" i="10"/>
  <c r="BI82" i="10" s="1"/>
  <c r="AD66" i="10"/>
  <c r="AO66" i="10" s="1"/>
  <c r="AS66" i="10" s="1"/>
  <c r="BH66" i="10"/>
  <c r="BG66" i="10"/>
  <c r="BI66" i="10" s="1"/>
  <c r="AD50" i="10"/>
  <c r="AO50" i="10" s="1"/>
  <c r="AR50" i="10" s="1"/>
  <c r="BH50" i="10"/>
  <c r="BG50" i="10"/>
  <c r="BI50" i="10" s="1"/>
  <c r="AD34" i="10"/>
  <c r="AO34" i="10" s="1"/>
  <c r="BH34" i="10"/>
  <c r="BG34" i="10"/>
  <c r="BI34" i="10" s="1"/>
  <c r="AD18" i="10"/>
  <c r="AO18" i="10" s="1"/>
  <c r="AS18" i="10" s="1"/>
  <c r="BH18" i="10"/>
  <c r="BG18" i="10"/>
  <c r="BI18" i="10" s="1"/>
  <c r="AD60" i="10"/>
  <c r="AO60" i="10" s="1"/>
  <c r="AR60" i="10" s="1"/>
  <c r="BG60" i="10"/>
  <c r="BI60" i="10" s="1"/>
  <c r="BH60" i="10"/>
  <c r="AD28" i="10"/>
  <c r="AO28" i="10" s="1"/>
  <c r="BG28" i="10"/>
  <c r="BI28" i="10" s="1"/>
  <c r="BH28" i="10"/>
  <c r="AD79" i="10"/>
  <c r="AO79" i="10" s="1"/>
  <c r="BH79" i="10"/>
  <c r="BG79" i="10"/>
  <c r="BI79" i="10" s="1"/>
  <c r="AD47" i="10"/>
  <c r="AO47" i="10" s="1"/>
  <c r="AR47" i="10" s="1"/>
  <c r="BH47" i="10"/>
  <c r="BG47" i="10"/>
  <c r="BI47" i="10" s="1"/>
  <c r="AD19" i="10"/>
  <c r="AO19" i="10" s="1"/>
  <c r="AS19" i="10" s="1"/>
  <c r="BH19" i="10"/>
  <c r="BG19" i="10"/>
  <c r="BI19" i="10" s="1"/>
  <c r="AD73" i="10"/>
  <c r="AO73" i="10" s="1"/>
  <c r="BG73" i="10"/>
  <c r="BI73" i="10" s="1"/>
  <c r="BH73" i="10"/>
  <c r="AD57" i="10"/>
  <c r="AO57" i="10" s="1"/>
  <c r="BH57" i="10"/>
  <c r="BG57" i="10"/>
  <c r="BI57" i="10" s="1"/>
  <c r="AD41" i="10"/>
  <c r="AO41" i="10" s="1"/>
  <c r="AS41" i="10" s="1"/>
  <c r="BH41" i="10"/>
  <c r="BG41" i="10"/>
  <c r="BI41" i="10" s="1"/>
  <c r="AD25" i="10"/>
  <c r="AO25" i="10" s="1"/>
  <c r="AS25" i="10" s="1"/>
  <c r="BH25" i="10"/>
  <c r="BG25" i="10"/>
  <c r="BI25" i="10" s="1"/>
  <c r="AD84" i="10"/>
  <c r="AO84" i="10" s="1"/>
  <c r="AS84" i="10" s="1"/>
  <c r="BG84" i="10"/>
  <c r="BI84" i="10" s="1"/>
  <c r="BH84" i="10"/>
  <c r="AD56" i="10"/>
  <c r="AO56" i="10" s="1"/>
  <c r="BG56" i="10"/>
  <c r="BI56" i="10" s="1"/>
  <c r="BH56" i="10"/>
  <c r="AD20" i="10"/>
  <c r="AO20" i="10" s="1"/>
  <c r="AP20" i="10" s="1"/>
  <c r="BG20" i="10"/>
  <c r="BI20" i="10" s="1"/>
  <c r="BH20" i="10"/>
  <c r="AD63" i="10"/>
  <c r="AO63" i="10" s="1"/>
  <c r="AS63" i="10" s="1"/>
  <c r="BH63" i="10"/>
  <c r="BG63" i="10"/>
  <c r="BI63" i="10" s="1"/>
  <c r="AD27" i="10"/>
  <c r="AO27" i="10" s="1"/>
  <c r="AP27" i="10" s="1"/>
  <c r="BH27" i="10"/>
  <c r="BG27" i="10"/>
  <c r="BI27" i="10" s="1"/>
  <c r="AD78" i="10"/>
  <c r="AO78" i="10" s="1"/>
  <c r="BH78" i="10"/>
  <c r="BG78" i="10"/>
  <c r="BI78" i="10" s="1"/>
  <c r="AD62" i="10"/>
  <c r="AO62" i="10" s="1"/>
  <c r="AR62" i="10" s="1"/>
  <c r="BH62" i="10"/>
  <c r="BG62" i="10"/>
  <c r="BI62" i="10" s="1"/>
  <c r="AD46" i="10"/>
  <c r="AO46" i="10" s="1"/>
  <c r="AR46" i="10" s="1"/>
  <c r="BH46" i="10"/>
  <c r="BG46" i="10"/>
  <c r="BI46" i="10" s="1"/>
  <c r="AD30" i="10"/>
  <c r="AO30" i="10" s="1"/>
  <c r="BH30" i="10"/>
  <c r="BG30" i="10"/>
  <c r="BI30" i="10" s="1"/>
  <c r="AD14" i="10"/>
  <c r="AO14" i="10" s="1"/>
  <c r="AS14" i="10" s="1"/>
  <c r="BH14" i="10"/>
  <c r="BG14" i="10"/>
  <c r="BI14" i="10" s="1"/>
  <c r="AD52" i="10"/>
  <c r="AO52" i="10" s="1"/>
  <c r="AR52" i="10" s="1"/>
  <c r="BG52" i="10"/>
  <c r="BI52" i="10" s="1"/>
  <c r="BH52" i="10"/>
  <c r="AD24" i="10"/>
  <c r="AO24" i="10" s="1"/>
  <c r="AR24" i="10" s="1"/>
  <c r="BG24" i="10"/>
  <c r="BI24" i="10" s="1"/>
  <c r="BH24" i="10"/>
  <c r="AD67" i="10"/>
  <c r="AO67" i="10" s="1"/>
  <c r="AR67" i="10" s="1"/>
  <c r="BG67" i="10"/>
  <c r="BI67" i="10" s="1"/>
  <c r="BH67" i="10"/>
  <c r="AD39" i="10"/>
  <c r="AO39" i="10" s="1"/>
  <c r="BH39" i="10"/>
  <c r="BG39" i="10"/>
  <c r="BI39" i="10" s="1"/>
  <c r="AD85" i="10"/>
  <c r="AO85" i="10" s="1"/>
  <c r="AR85" i="10" s="1"/>
  <c r="BG85" i="10"/>
  <c r="BI85" i="10" s="1"/>
  <c r="BH85" i="10"/>
  <c r="AD69" i="10"/>
  <c r="AO69" i="10" s="1"/>
  <c r="AS69" i="10" s="1"/>
  <c r="BH69" i="10"/>
  <c r="BG69" i="10"/>
  <c r="BI69" i="10" s="1"/>
  <c r="AD53" i="10"/>
  <c r="AO53" i="10" s="1"/>
  <c r="AP53" i="10" s="1"/>
  <c r="BG53" i="10"/>
  <c r="BI53" i="10" s="1"/>
  <c r="BH53" i="10"/>
  <c r="AD37" i="10"/>
  <c r="AO37" i="10" s="1"/>
  <c r="BG37" i="10"/>
  <c r="BI37" i="10" s="1"/>
  <c r="BH37" i="10"/>
  <c r="AD21" i="10"/>
  <c r="AO21" i="10" s="1"/>
  <c r="AS21" i="10" s="1"/>
  <c r="BH21" i="10"/>
  <c r="BG21" i="10"/>
  <c r="BI21" i="10" s="1"/>
  <c r="AD76" i="10"/>
  <c r="AO76" i="10" s="1"/>
  <c r="AR76" i="10" s="1"/>
  <c r="BG76" i="10"/>
  <c r="BI76" i="10" s="1"/>
  <c r="BH76" i="10"/>
  <c r="AD48" i="10"/>
  <c r="AO48" i="10" s="1"/>
  <c r="AS48" i="10" s="1"/>
  <c r="BG48" i="10"/>
  <c r="BI48" i="10" s="1"/>
  <c r="BH48" i="10"/>
  <c r="AD83" i="10"/>
  <c r="AO83" i="10" s="1"/>
  <c r="BG83" i="10"/>
  <c r="BI83" i="10" s="1"/>
  <c r="BH83" i="10"/>
  <c r="AD55" i="10"/>
  <c r="AO55" i="10" s="1"/>
  <c r="AR55" i="10" s="1"/>
  <c r="BH55" i="10"/>
  <c r="BG55" i="10"/>
  <c r="BI55" i="10" s="1"/>
  <c r="AD15" i="10"/>
  <c r="AO15" i="10" s="1"/>
  <c r="AP15" i="10" s="1"/>
  <c r="BG15" i="10"/>
  <c r="BH15" i="10"/>
  <c r="AD74" i="10"/>
  <c r="AO74" i="10" s="1"/>
  <c r="BH74" i="10"/>
  <c r="BG74" i="10"/>
  <c r="BI74" i="10" s="1"/>
  <c r="AD58" i="10"/>
  <c r="AO58" i="10" s="1"/>
  <c r="BH58" i="10"/>
  <c r="BG58" i="10"/>
  <c r="BI58" i="10" s="1"/>
  <c r="AD42" i="10"/>
  <c r="AO42" i="10" s="1"/>
  <c r="AP42" i="10" s="1"/>
  <c r="BH42" i="10"/>
  <c r="BG42" i="10"/>
  <c r="BI42" i="10" s="1"/>
  <c r="AD26" i="10"/>
  <c r="AO26" i="10" s="1"/>
  <c r="AR26" i="10" s="1"/>
  <c r="BH26" i="10"/>
  <c r="BG26" i="10"/>
  <c r="BI26" i="10" s="1"/>
  <c r="AD80" i="10"/>
  <c r="AO80" i="10" s="1"/>
  <c r="AP80" i="10" s="1"/>
  <c r="BG80" i="10"/>
  <c r="BI80" i="10" s="1"/>
  <c r="BH80" i="10"/>
  <c r="AD44" i="10"/>
  <c r="AO44" i="10" s="1"/>
  <c r="BG44" i="10"/>
  <c r="BI44" i="10" s="1"/>
  <c r="BH44" i="10"/>
  <c r="AD16" i="10"/>
  <c r="AO16" i="10" s="1"/>
  <c r="AP16" i="10" s="1"/>
  <c r="BG16" i="10"/>
  <c r="BI16" i="10" s="1"/>
  <c r="BH16" i="10"/>
  <c r="AD59" i="10"/>
  <c r="AO59" i="10" s="1"/>
  <c r="AP59" i="10" s="1"/>
  <c r="BG59" i="10"/>
  <c r="BI59" i="10" s="1"/>
  <c r="BH59" i="10"/>
  <c r="AD31" i="10"/>
  <c r="AO31" i="10" s="1"/>
  <c r="AS31" i="10" s="1"/>
  <c r="BH31" i="10"/>
  <c r="BG31" i="10"/>
  <c r="BI31" i="10" s="1"/>
  <c r="AD81" i="10"/>
  <c r="AO81" i="10" s="1"/>
  <c r="BH81" i="10"/>
  <c r="BG81" i="10"/>
  <c r="BI81" i="10" s="1"/>
  <c r="AD65" i="10"/>
  <c r="AO65" i="10" s="1"/>
  <c r="AR65" i="10" s="1"/>
  <c r="BG65" i="10"/>
  <c r="BI65" i="10" s="1"/>
  <c r="BH65" i="10"/>
  <c r="AD49" i="10"/>
  <c r="AO49" i="10" s="1"/>
  <c r="AS49" i="10" s="1"/>
  <c r="BH49" i="10"/>
  <c r="BG49" i="10"/>
  <c r="BI49" i="10" s="1"/>
  <c r="AD33" i="10"/>
  <c r="AO33" i="10" s="1"/>
  <c r="BH33" i="10"/>
  <c r="BG33" i="10"/>
  <c r="BI33" i="10" s="1"/>
  <c r="AD17" i="10"/>
  <c r="AO17" i="10" s="1"/>
  <c r="BH17" i="10"/>
  <c r="BG17" i="10"/>
  <c r="BI17" i="10" s="1"/>
  <c r="AD38" i="10"/>
  <c r="AO38" i="10" s="1"/>
  <c r="AP38" i="10" s="1"/>
  <c r="BH38" i="10"/>
  <c r="BG38" i="10"/>
  <c r="BI38" i="10" s="1"/>
  <c r="AD77" i="10"/>
  <c r="AO77" i="10" s="1"/>
  <c r="AS77" i="10" s="1"/>
  <c r="BG77" i="10"/>
  <c r="BI77" i="10" s="1"/>
  <c r="BH77" i="10"/>
  <c r="AD61" i="10"/>
  <c r="AO61" i="10" s="1"/>
  <c r="AP61" i="10" s="1"/>
  <c r="BH61" i="10"/>
  <c r="BG61" i="10"/>
  <c r="BI61" i="10" s="1"/>
  <c r="AD45" i="10"/>
  <c r="AO45" i="10" s="1"/>
  <c r="BG45" i="10"/>
  <c r="BI45" i="10" s="1"/>
  <c r="BH45" i="10"/>
  <c r="AD29" i="10"/>
  <c r="AO29" i="10" s="1"/>
  <c r="AS29" i="10" s="1"/>
  <c r="BG29" i="10"/>
  <c r="BI29" i="10" s="1"/>
  <c r="BH29" i="10"/>
  <c r="BH13" i="10"/>
  <c r="BG13" i="10"/>
  <c r="AS71" i="10"/>
  <c r="AR71" i="10"/>
  <c r="AR18" i="10"/>
  <c r="AP47" i="10"/>
  <c r="AS47" i="10"/>
  <c r="AS73" i="10"/>
  <c r="AP73" i="10"/>
  <c r="AR73" i="10"/>
  <c r="AP41" i="10"/>
  <c r="AR84" i="10"/>
  <c r="AP84" i="10"/>
  <c r="AR56" i="10"/>
  <c r="AP56" i="10"/>
  <c r="AS56" i="10"/>
  <c r="AS20" i="10"/>
  <c r="AR20" i="10"/>
  <c r="AR27" i="10"/>
  <c r="AS27" i="10"/>
  <c r="AP78" i="10"/>
  <c r="AR78" i="10"/>
  <c r="AS78" i="10"/>
  <c r="AS62" i="10"/>
  <c r="AP62" i="10"/>
  <c r="AP30" i="10"/>
  <c r="AR30" i="10"/>
  <c r="AS30" i="10"/>
  <c r="AR14" i="10"/>
  <c r="AS52" i="10"/>
  <c r="AP67" i="10"/>
  <c r="AS67" i="10"/>
  <c r="AP39" i="10"/>
  <c r="AS39" i="10"/>
  <c r="AR39" i="10"/>
  <c r="AP85" i="10"/>
  <c r="AS53" i="10"/>
  <c r="AR53" i="10"/>
  <c r="AS37" i="10"/>
  <c r="AR37" i="10"/>
  <c r="AP37" i="10"/>
  <c r="AP21" i="10"/>
  <c r="AR21" i="10"/>
  <c r="AP64" i="10"/>
  <c r="AS64" i="10"/>
  <c r="AS35" i="10"/>
  <c r="AR35" i="10"/>
  <c r="AP35" i="10"/>
  <c r="AP50" i="10"/>
  <c r="AS50" i="10"/>
  <c r="AP28" i="10"/>
  <c r="AS28" i="10"/>
  <c r="AR28" i="10"/>
  <c r="AP79" i="10"/>
  <c r="AS79" i="10"/>
  <c r="AR79" i="10"/>
  <c r="AR57" i="10"/>
  <c r="AP57" i="10"/>
  <c r="AS57" i="10"/>
  <c r="AP83" i="10"/>
  <c r="AS83" i="10"/>
  <c r="AR83" i="10"/>
  <c r="AP58" i="10"/>
  <c r="AR58" i="10"/>
  <c r="AS58" i="10"/>
  <c r="AS42" i="10"/>
  <c r="AS80" i="10"/>
  <c r="AR80" i="10"/>
  <c r="AS44" i="10"/>
  <c r="AP44" i="10"/>
  <c r="AR44" i="10"/>
  <c r="AR16" i="10"/>
  <c r="AR31" i="10"/>
  <c r="AP31" i="10"/>
  <c r="AS81" i="10"/>
  <c r="AP81" i="10"/>
  <c r="AR81" i="10"/>
  <c r="AR33" i="10"/>
  <c r="AP33" i="10"/>
  <c r="AS33" i="10"/>
  <c r="AS17" i="10"/>
  <c r="AR17" i="10"/>
  <c r="AP17" i="10"/>
  <c r="AR82" i="10"/>
  <c r="AS82" i="10"/>
  <c r="AP34" i="10"/>
  <c r="AS34" i="10"/>
  <c r="AR34" i="10"/>
  <c r="AR19" i="10"/>
  <c r="AP48" i="10"/>
  <c r="AR48" i="10"/>
  <c r="AS55" i="10"/>
  <c r="AS74" i="10"/>
  <c r="AP74" i="10"/>
  <c r="AR74" i="10"/>
  <c r="AP72" i="10"/>
  <c r="AS72" i="10"/>
  <c r="AR72" i="10"/>
  <c r="AP75" i="10"/>
  <c r="AR75" i="10"/>
  <c r="AS43" i="10"/>
  <c r="AR43" i="10"/>
  <c r="AP43" i="10"/>
  <c r="AP86" i="10"/>
  <c r="AR86" i="10"/>
  <c r="AS86" i="10"/>
  <c r="AS54" i="10"/>
  <c r="AP54" i="10"/>
  <c r="AR38" i="10"/>
  <c r="AS22" i="10"/>
  <c r="AR22" i="10"/>
  <c r="AP22" i="10"/>
  <c r="AR68" i="10"/>
  <c r="AP68" i="10"/>
  <c r="AS68" i="10"/>
  <c r="AS51" i="10"/>
  <c r="AP51" i="10"/>
  <c r="AS23" i="10"/>
  <c r="AP23" i="10"/>
  <c r="AR23" i="10"/>
  <c r="AR61" i="10"/>
  <c r="AS61" i="10"/>
  <c r="AS45" i="10"/>
  <c r="AP45" i="10"/>
  <c r="AR45" i="10"/>
  <c r="AB13" i="10"/>
  <c r="AC13" i="10"/>
  <c r="AD13" i="10"/>
  <c r="Q20" i="3"/>
  <c r="Q19" i="3"/>
  <c r="J36" i="3"/>
  <c r="R19" i="3"/>
  <c r="I35" i="3"/>
  <c r="J35" i="3" s="1"/>
  <c r="R21" i="3"/>
  <c r="I34" i="3"/>
  <c r="J34" i="3" s="1"/>
  <c r="R20" i="3"/>
  <c r="R25" i="3"/>
  <c r="Q25" i="3"/>
  <c r="R10" i="3"/>
  <c r="J57" i="3"/>
  <c r="J58" i="3"/>
  <c r="J59" i="3"/>
  <c r="I36" i="3"/>
  <c r="F47" i="5"/>
  <c r="AP55" i="10" l="1"/>
  <c r="AS65" i="10"/>
  <c r="AS16" i="10"/>
  <c r="AR29" i="10"/>
  <c r="AR32" i="10"/>
  <c r="AP65" i="10"/>
  <c r="BI15" i="10"/>
  <c r="AP14" i="10"/>
  <c r="AP29" i="10"/>
  <c r="AS38" i="10"/>
  <c r="AR42" i="10"/>
  <c r="AS85" i="10"/>
  <c r="AP52" i="10"/>
  <c r="AR41" i="10"/>
  <c r="AP18" i="10"/>
  <c r="AS60" i="10"/>
  <c r="AS24" i="10"/>
  <c r="AR63" i="10"/>
  <c r="AO13" i="10"/>
  <c r="AR36" i="10"/>
  <c r="AS15" i="10"/>
  <c r="AS76" i="10"/>
  <c r="AP69" i="10"/>
  <c r="AP46" i="10"/>
  <c r="AR25" i="10"/>
  <c r="AP77" i="10"/>
  <c r="AP70" i="10"/>
  <c r="AP40" i="10"/>
  <c r="AP19" i="10"/>
  <c r="AP60" i="10"/>
  <c r="AS32" i="10"/>
  <c r="AP49" i="10"/>
  <c r="AS59" i="10"/>
  <c r="AS26" i="10"/>
  <c r="AP76" i="10"/>
  <c r="AP66" i="10"/>
  <c r="AR77" i="10"/>
  <c r="AP36" i="10"/>
  <c r="AR70" i="10"/>
  <c r="AS40" i="10"/>
  <c r="AR49" i="10"/>
  <c r="AR59" i="10"/>
  <c r="AP26" i="10"/>
  <c r="AR15" i="10"/>
  <c r="AR69" i="10"/>
  <c r="AP24" i="10"/>
  <c r="AS46" i="10"/>
  <c r="AP63" i="10"/>
  <c r="AP25" i="10"/>
  <c r="AR66" i="10"/>
  <c r="BI13" i="10"/>
  <c r="Q22" i="3"/>
  <c r="R22" i="3"/>
  <c r="R26" i="3" s="1"/>
  <c r="R27" i="3" s="1"/>
  <c r="J60" i="3"/>
  <c r="J62" i="3" s="1"/>
  <c r="J65" i="3" s="1"/>
  <c r="I60" i="3"/>
  <c r="Q26" i="3" l="1"/>
  <c r="Q27" i="3" s="1"/>
  <c r="J42" i="3"/>
  <c r="I42" i="3" s="1"/>
  <c r="J44" i="3"/>
  <c r="I44" i="3" s="1"/>
  <c r="I37" i="3"/>
  <c r="AR13" i="10"/>
  <c r="AP13" i="10"/>
  <c r="AS13" i="10"/>
  <c r="R29" i="3"/>
  <c r="Q31" i="3" l="1"/>
  <c r="I38" i="3" s="1"/>
  <c r="J38" i="3" s="1"/>
  <c r="R31" i="3" s="1"/>
  <c r="R32" i="3" s="1"/>
  <c r="Q29" i="3"/>
  <c r="I39" i="3"/>
  <c r="J39" i="3" s="1"/>
  <c r="B51" i="7"/>
  <c r="Q32" i="3" l="1"/>
  <c r="J43" i="3"/>
  <c r="I43" i="3" s="1"/>
  <c r="J45" i="3" l="1"/>
  <c r="I45" i="3"/>
  <c r="F31" i="6"/>
  <c r="F30" i="6"/>
  <c r="U19" i="6"/>
  <c r="U20" i="6"/>
  <c r="U21" i="6"/>
  <c r="U17" i="6"/>
  <c r="U30" i="6" l="1"/>
  <c r="U24" i="6"/>
  <c r="U28" i="6"/>
  <c r="U33" i="6"/>
  <c r="U36" i="6"/>
  <c r="U18" i="6"/>
  <c r="U31" i="6"/>
  <c r="U25" i="6"/>
  <c r="U32" i="6"/>
  <c r="U27" i="6"/>
  <c r="U23" i="6"/>
  <c r="U26" i="6"/>
  <c r="U22" i="6"/>
  <c r="U34" i="6"/>
  <c r="U29" i="6"/>
  <c r="U35" i="6"/>
  <c r="U38" i="6" l="1"/>
  <c r="F34" i="6" s="1"/>
  <c r="U39" i="6" l="1"/>
  <c r="F32" i="6" s="1"/>
  <c r="W11" i="10" l="1"/>
  <c r="BG12" i="10" l="1"/>
  <c r="BH12" i="10"/>
  <c r="AC12" i="10"/>
  <c r="AD12" i="10"/>
  <c r="AB12" i="10"/>
  <c r="Y12" i="10"/>
  <c r="BI12" i="10" l="1"/>
  <c r="BJ12" i="10" s="1"/>
  <c r="BK12" i="10" s="1"/>
  <c r="AF12" i="10" s="1"/>
  <c r="AG12" i="10"/>
  <c r="AE12" i="10" l="1"/>
  <c r="AI12" i="10"/>
  <c r="AJ12" i="10"/>
  <c r="AO12" i="10" l="1"/>
  <c r="AS12" i="10" s="1"/>
  <c r="AO11" i="10"/>
  <c r="AS11" i="10" s="1"/>
  <c r="AR12" i="10"/>
  <c r="AP12" i="10"/>
  <c r="AP11" i="10" s="1"/>
  <c r="AR11" i="10" l="1"/>
  <c r="Q4" i="10" s="1"/>
  <c r="J37" i="3"/>
  <c r="J40" i="3" s="1"/>
  <c r="J47" i="3" s="1"/>
  <c r="I40" i="3"/>
  <c r="I47" i="3" s="1"/>
  <c r="I49" i="3" l="1"/>
  <c r="I62" i="3"/>
  <c r="I65" i="3" s="1"/>
  <c r="R11" i="3" l="1"/>
  <c r="R12" i="3"/>
  <c r="R8" i="3" s="1"/>
</calcChain>
</file>

<file path=xl/comments1.xml><?xml version="1.0" encoding="utf-8"?>
<comments xmlns="http://schemas.openxmlformats.org/spreadsheetml/2006/main">
  <authors>
    <author>Bé Keizer</author>
    <author>B Keizer</author>
    <author>Keizer</author>
    <author>B. Keizer</author>
    <author>Arno Osinga</author>
  </authors>
  <commentList>
    <comment ref="G14" authorId="0" shapeId="0">
      <text>
        <r>
          <rPr>
            <sz val="10"/>
            <color indexed="81"/>
            <rFont val="Arial"/>
            <family val="2"/>
          </rPr>
          <t>Voor alleen de ID1 schaal gelden twee aanloopregels, die in de tabellen als 1 en 2 zijn opgenomen. Daardoor moet regel 1 van een ID1 schaal dus als regel 3 worden opgenomen en 2 als 4 etc.</t>
        </r>
      </text>
    </comment>
    <comment ref="F23" authorId="1" shapeId="0">
      <text>
        <r>
          <rPr>
            <sz val="9"/>
            <color indexed="81"/>
            <rFont val="Tahoma"/>
            <family val="2"/>
          </rPr>
          <t xml:space="preserve">
Uitgaande van een aanstelling op 1 oktober 2018 (CAO VO art. 3.2 lid 2).</t>
        </r>
      </text>
    </comment>
    <comment ref="F25" authorId="2" shapeId="0">
      <text>
        <r>
          <rPr>
            <sz val="10"/>
            <color indexed="81"/>
            <rFont val="Arial"/>
            <family val="2"/>
          </rPr>
          <t>Deze eindejaarsuitkering wordt toegekend aan de schalen 1 t/m 8. Zie tabellen.</t>
        </r>
      </text>
    </comment>
    <comment ref="F29" authorId="2" shapeId="0">
      <text>
        <r>
          <rPr>
            <sz val="9"/>
            <color indexed="81"/>
            <rFont val="Tahoma"/>
            <family val="2"/>
          </rPr>
          <t xml:space="preserve">
Het jaarinkomen ABP wordt bepaald op basis van de maand januari van dat jaar plus een incidentele toekening in het voorafgaande jaar.</t>
        </r>
      </text>
    </comment>
    <comment ref="F30" authorId="3" shapeId="0">
      <text>
        <r>
          <rPr>
            <sz val="9"/>
            <color indexed="81"/>
            <rFont val="Tahoma"/>
            <family val="2"/>
          </rPr>
          <t xml:space="preserve">
Na 1 april 2017 is dit € 0,00. Niet pensioengevend.</t>
        </r>
      </text>
    </comment>
    <comment ref="E37" authorId="2" shapeId="0">
      <text>
        <r>
          <rPr>
            <sz val="9"/>
            <color indexed="81"/>
            <rFont val="Tahoma"/>
            <family val="2"/>
          </rPr>
          <t xml:space="preserve">
Voor de WAO/WIA geldt een basispremie (6,77%) plus de Whk-gedifferentieerd premie. Daarin is opgenomen de premie kinderopvang van 0,5%. De Whk-gedifferentieerd premie is gesteld op 1,20%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C11).</t>
        </r>
      </text>
    </comment>
    <comment ref="E42" authorId="4" shapeId="0">
      <text>
        <r>
          <rPr>
            <b/>
            <sz val="10"/>
            <color indexed="81"/>
            <rFont val="Arial"/>
            <family val="2"/>
          </rPr>
          <t>In het VO is de werkgever voor een belangrijk deel eigen risicodrager.  In de tabellen kan een raming in percentage worden opgenomen.</t>
        </r>
      </text>
    </comment>
    <comment ref="E44" authorId="4" shapeId="0">
      <text>
        <r>
          <rPr>
            <b/>
            <sz val="10"/>
            <color indexed="81"/>
            <rFont val="Arial"/>
            <family val="2"/>
          </rPr>
          <t>In het VO is de werkgever voor een belangrijk deel eigen risicodrager.  In de tabellen kan een raming in percentage worden opgenomen.</t>
        </r>
      </text>
    </comment>
  </commentList>
</comments>
</file>

<file path=xl/comments2.xml><?xml version="1.0" encoding="utf-8"?>
<comments xmlns="http://schemas.openxmlformats.org/spreadsheetml/2006/main">
  <authors>
    <author>B Keizer</author>
    <author>Keizer</author>
    <author>Annemarie van Groenestijn</author>
    <author>Bé Keizer</author>
  </authors>
  <commentList>
    <comment ref="H8" authorId="0" shapeId="0">
      <text>
        <r>
          <rPr>
            <sz val="9"/>
            <color indexed="81"/>
            <rFont val="Tahoma"/>
            <family val="2"/>
          </rPr>
          <t xml:space="preserve">
Moet groter dan 0,00 zijn.</t>
        </r>
      </text>
    </comment>
    <comment ref="AK8" authorId="1" shapeId="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M8" authorId="2" shapeId="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J9" authorId="0" shapeId="0">
      <text>
        <r>
          <rPr>
            <sz val="9"/>
            <color indexed="81"/>
            <rFont val="Tahoma"/>
            <family val="2"/>
          </rPr>
          <t xml:space="preserve">
Kan alleen met "j" worden ingevuld als het een leraar LB, LC of LD betreft, die voldoet aan art. 24.2 cao vo.</t>
        </r>
      </text>
    </comment>
    <comment ref="BC1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4.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authors>
    <author>Bé Keizer</author>
    <author>Keizer</author>
    <author>Arno Osinga</author>
    <author>B. Keizer</author>
  </authors>
  <commentList>
    <comment ref="A5" authorId="0" shapeId="0">
      <text>
        <r>
          <rPr>
            <sz val="8"/>
            <color indexed="81"/>
            <rFont val="Arial"/>
            <family val="2"/>
          </rPr>
          <t xml:space="preserve">
Conform normen per januari 2020. </t>
        </r>
      </text>
    </comment>
    <comment ref="A7" authorId="1" shapeId="0">
      <text>
        <r>
          <rPr>
            <sz val="9"/>
            <color indexed="81"/>
            <rFont val="Tahoma"/>
            <family val="2"/>
          </rPr>
          <t xml:space="preserve">
Inclusief Anw-compensatie van 0,28% WG en 0,12% WN.</t>
        </r>
      </text>
    </comment>
    <comment ref="A11"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11" authorId="1"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13" authorId="0" shapeId="0">
      <text>
        <r>
          <rPr>
            <sz val="9"/>
            <color indexed="81"/>
            <rFont val="Tahoma"/>
            <family val="2"/>
          </rPr>
          <t xml:space="preserve">
Betreft: Uitvoering Fonds Overheid. Is exclusief premie dekking kinderopvang van 0,50% die bij de basispremie WAO is opgenomen (Regeling vaststelling premiepercentages werknemers- en volksverzekeringen, maximumpremieloon en opslag dekking kinderopvang 2018, art. 8 en 9).</t>
        </r>
      </text>
    </comment>
    <comment ref="A14" authorId="1" shapeId="0">
      <text>
        <r>
          <rPr>
            <sz val="8"/>
            <color indexed="81"/>
            <rFont val="Arial"/>
            <family val="2"/>
          </rPr>
          <t>Dit kan bijv. de premie van het Risicofonds zijn.</t>
        </r>
      </text>
    </comment>
    <comment ref="A15" authorId="2" shapeId="0">
      <text>
        <r>
          <rPr>
            <sz val="8"/>
            <color indexed="81"/>
            <rFont val="Arial"/>
            <family val="2"/>
          </rPr>
          <t xml:space="preserve">
In het VO is de werkgever voor een belangrijk deel eigen risicodrager.  Op basis van de gegevens van 2019 kan hier een percentage geraamd worden voor de kosten collectief en prive. Voor de kosten collectief geldt een vermindering van 0,472% op de bekostiging personeel van 2020.</t>
        </r>
      </text>
    </comment>
    <comment ref="C22" authorId="2" shapeId="0">
      <text>
        <r>
          <rPr>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29" authorId="1"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 ref="A31" authorId="3" shapeId="0">
      <text>
        <r>
          <rPr>
            <sz val="9"/>
            <color indexed="81"/>
            <rFont val="Tahoma"/>
            <family val="2"/>
          </rPr>
          <t xml:space="preserve">
cao VO: niet pensioengevend </t>
        </r>
      </text>
    </comment>
  </commentList>
</comments>
</file>

<file path=xl/comments7.xml><?xml version="1.0" encoding="utf-8"?>
<comments xmlns="http://schemas.openxmlformats.org/spreadsheetml/2006/main">
  <authors>
    <author>B Keizer</author>
  </authors>
  <commentList>
    <comment ref="C28" authorId="0" shapeId="0">
      <text>
        <r>
          <rPr>
            <sz val="9"/>
            <color indexed="81"/>
            <rFont val="Tahoma"/>
            <family val="2"/>
          </rPr>
          <t xml:space="preserve">
Minimumloon per 1 juli 2018 is 1594,20 euro.</t>
        </r>
      </text>
    </comment>
  </commentList>
</comments>
</file>

<file path=xl/sharedStrings.xml><?xml version="1.0" encoding="utf-8"?>
<sst xmlns="http://schemas.openxmlformats.org/spreadsheetml/2006/main" count="628" uniqueCount="416">
  <si>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</si>
  <si>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</si>
  <si>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</si>
  <si>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</si>
  <si>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</si>
  <si>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</si>
  <si>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</si>
  <si>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</si>
  <si>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</si>
  <si>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</si>
  <si>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</si>
  <si>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</si>
  <si>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</si>
  <si>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</si>
  <si>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</si>
  <si>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</si>
  <si>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</si>
  <si>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</si>
  <si>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</si>
  <si>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</si>
  <si>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</si>
  <si>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</si>
  <si>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</si>
  <si>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ZVW</t>
  </si>
  <si>
    <t>UFO-premie</t>
  </si>
  <si>
    <t>Premie ziektevervanging</t>
  </si>
  <si>
    <t>Werkloosheidslasten</t>
  </si>
  <si>
    <t>totaal</t>
  </si>
  <si>
    <t>Bindingstoelage</t>
  </si>
  <si>
    <t>leraar</t>
  </si>
  <si>
    <t>directie</t>
  </si>
  <si>
    <t>OOP S9</t>
  </si>
  <si>
    <t>OOP &lt;S9</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</si>
  <si>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</si>
  <si>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</si>
  <si>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</si>
  <si>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</si>
  <si>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</si>
  <si>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</si>
  <si>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</si>
  <si>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</si>
  <si>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</si>
  <si>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</si>
  <si>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</si>
  <si>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</si>
  <si>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</si>
  <si>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</si>
  <si>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</si>
  <si>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</si>
  <si>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</si>
  <si>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</si>
  <si>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</si>
  <si>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</si>
  <si>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</si>
  <si>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ja</t>
  </si>
  <si>
    <t>vakantieuitkering</t>
  </si>
  <si>
    <t>eindejaarsuitkering</t>
  </si>
  <si>
    <t>Leraar</t>
  </si>
  <si>
    <t>Jaarinkomen ABP</t>
  </si>
  <si>
    <t>per maand</t>
  </si>
  <si>
    <t>per jaar</t>
  </si>
  <si>
    <t>b</t>
  </si>
  <si>
    <t>c</t>
  </si>
  <si>
    <t>AAOP</t>
  </si>
  <si>
    <t>d</t>
  </si>
  <si>
    <t>e</t>
  </si>
  <si>
    <t>WAO/WIA</t>
  </si>
  <si>
    <t>f</t>
  </si>
  <si>
    <t>ZVW vergoeding werkgever</t>
  </si>
  <si>
    <t>g</t>
  </si>
  <si>
    <t>UFO</t>
  </si>
  <si>
    <t>werkloosheidslasten</t>
  </si>
  <si>
    <t>Totaal werkgeverslasten</t>
  </si>
  <si>
    <t>Opslagpercentage t.o.v. bruto salaris</t>
  </si>
  <si>
    <t>Loon voor de loonbelasting</t>
  </si>
  <si>
    <t>www.vosabb.nl</t>
  </si>
  <si>
    <t>Toelichting</t>
  </si>
  <si>
    <t>De werkbladen zijn beveiligd met het wachtwoord:</t>
  </si>
  <si>
    <t>vosabb</t>
  </si>
  <si>
    <t>versie</t>
  </si>
  <si>
    <t>Alleen de witte velden kunnen daardoor worden gewijzigd, en bevatten de op te geven variabelen voor de berekeningen.</t>
  </si>
  <si>
    <t>1.</t>
  </si>
  <si>
    <t>Werkbladen</t>
  </si>
  <si>
    <t>Werkblad Werkgeverslasten</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</si>
  <si>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</si>
  <si>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</si>
  <si>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</si>
  <si>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</si>
  <si>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</si>
  <si>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</si>
  <si>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</si>
  <si>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</si>
  <si>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</si>
  <si>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</si>
  <si>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</si>
  <si>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</si>
  <si>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</si>
  <si>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</si>
  <si>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</si>
  <si>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</si>
  <si>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</si>
  <si>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</si>
  <si>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</si>
  <si>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</si>
  <si>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</si>
  <si>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</si>
  <si>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</si>
  <si>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</si>
  <si>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</si>
  <si>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</si>
  <si>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</si>
  <si>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</si>
  <si>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</si>
  <si>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</si>
  <si>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</si>
  <si>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</si>
  <si>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</si>
  <si>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</si>
  <si>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</si>
  <si>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</si>
  <si>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</si>
  <si>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</si>
  <si>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</si>
  <si>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</si>
  <si>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</si>
  <si>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</si>
  <si>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</si>
  <si>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</si>
  <si>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</si>
  <si>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</si>
  <si>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</si>
  <si>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</si>
  <si>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</si>
  <si>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</si>
  <si>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</si>
  <si>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</si>
  <si>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</si>
  <si>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</si>
  <si>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</si>
  <si>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</si>
  <si>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</si>
  <si>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</si>
  <si>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</si>
  <si>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</si>
  <si>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</si>
  <si>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</si>
  <si>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</si>
  <si>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</si>
  <si>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</si>
  <si>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</si>
  <si>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</si>
  <si>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</si>
  <si>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</si>
  <si>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</si>
  <si>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</si>
  <si>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</si>
  <si>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</si>
  <si>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</si>
  <si>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</si>
  <si>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</si>
  <si>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</si>
  <si>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</si>
  <si>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</si>
  <si>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</si>
  <si>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</si>
  <si>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</si>
  <si>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</si>
  <si>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</si>
  <si>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</si>
  <si>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</si>
  <si>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</si>
  <si>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</si>
  <si>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</si>
  <si>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</si>
  <si>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</si>
  <si>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</si>
  <si>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</si>
  <si>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</si>
  <si>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</si>
  <si>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</si>
  <si>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</si>
  <si>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</si>
  <si>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</si>
  <si>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</si>
  <si>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</si>
  <si>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</si>
  <si>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</si>
  <si>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</si>
  <si>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</si>
  <si>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</si>
  <si>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</si>
  <si>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</si>
  <si>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</si>
  <si>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</si>
  <si>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</si>
  <si>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</si>
  <si>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</si>
  <si>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</si>
  <si>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</si>
  <si>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</si>
  <si>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</si>
  <si>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</si>
  <si>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</si>
  <si>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</si>
  <si>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</si>
  <si>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</si>
  <si>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</si>
  <si>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</si>
  <si>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</si>
  <si>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</si>
  <si>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</si>
  <si>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</si>
  <si>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</si>
  <si>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</si>
  <si>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</si>
  <si>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</si>
  <si>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</si>
  <si>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</si>
  <si>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</si>
  <si>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</si>
  <si>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</si>
  <si>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</si>
  <si>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</si>
  <si>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</si>
  <si>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</si>
  <si>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</si>
  <si>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</si>
  <si>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</si>
  <si>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</si>
  <si>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</si>
  <si>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</si>
  <si>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</si>
  <si>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</si>
  <si>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</si>
  <si>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</si>
  <si>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</si>
  <si>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</si>
  <si>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</si>
  <si>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</si>
  <si>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</si>
  <si>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</si>
  <si>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</si>
  <si>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</si>
  <si>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</si>
  <si>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</si>
  <si>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</si>
  <si>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</si>
  <si>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</si>
  <si>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</si>
  <si>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</si>
  <si>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</si>
  <si>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</si>
  <si>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cf. art. 13.3 van de CAO.</t>
  </si>
  <si>
    <t>Functiedifferentiatie of pro- of demotie</t>
  </si>
  <si>
    <t>Leeftijd per 1 januari</t>
  </si>
  <si>
    <t xml:space="preserve">parkeervergoeding e.d.. Ga daarom na welke kosten bij uw bestuur ook nog gemaakt worden. Een schatting van deze kosten kan opgevoerd worden </t>
  </si>
  <si>
    <t xml:space="preserve">bij "j. eigen beleid". </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</si>
  <si>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</si>
  <si>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</si>
  <si>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</si>
  <si>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</si>
  <si>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 xml:space="preserve">Vanaf 2014 is sprake van enkele wijzigingen in de premievaststelling. Het deel voor de kinderopvang dat bij de UFO was ondergebracht,  </t>
  </si>
  <si>
    <t>Whk-gediferentieerd</t>
  </si>
  <si>
    <t xml:space="preserve">in de werkorganisatie.Vanaf 1 januari 2014 moet ook een gedifferentieerde premie betaald worden voor flexwerkers. Omdat verwerking </t>
  </si>
  <si>
    <t xml:space="preserve">Dit programmaonderdeel heeft niet de pretentie een juiste salarisberekening per maand te maken! Zo wordt de vakantieuitkering en de </t>
  </si>
  <si>
    <t xml:space="preserve">is de gedifferentieerde premie per sector vastgesteld. Voor grote werkgevers gebeurt dat individueel. Voor middelgrote werkgevers wordt </t>
  </si>
  <si>
    <t>Deze toeslag wordt toegekend op basis van CAO artikel 3.5.</t>
  </si>
  <si>
    <r>
      <t>É</t>
    </r>
    <r>
      <rPr>
        <b/>
        <sz val="10"/>
        <rFont val="Arial"/>
        <family val="2"/>
      </rPr>
      <t>énmalige uitkering 1 april 2017</t>
    </r>
    <r>
      <rPr>
        <sz val="10"/>
        <rFont val="Arial"/>
        <family val="2"/>
      </rPr>
      <t xml:space="preserve"> (rato betr omvang) </t>
    </r>
  </si>
  <si>
    <t>OVO Ergens</t>
  </si>
  <si>
    <t xml:space="preserve">Onderwijsjuristen, </t>
  </si>
  <si>
    <t>Bijdrage-inkomen</t>
  </si>
  <si>
    <t>wordt weergegeven, met gebruikmaking van de loonbelastingtabel van box 1 en zonder alle mogelijke heffingskortingen.</t>
  </si>
  <si>
    <t>tel.: 0348-405250 of, bij voorkeur, per e-mail: onderwijsjuristen@vosabb.nl</t>
  </si>
  <si>
    <t>De gegevens omtrent de grondslag van uitkeringen e.d. zijn ontleend aan de Internetpublicaties van de Belastingdienst, ABP, UWV en OCW.</t>
  </si>
  <si>
    <t>eenmalige uitkering oktober 2018</t>
  </si>
  <si>
    <t>per 1 jan 2019 ook voor de team- of afdelingsleider schaal 12</t>
  </si>
  <si>
    <t>Salaristabellen personeel</t>
  </si>
  <si>
    <t>cao verhoging</t>
  </si>
  <si>
    <t>plus art. 3.8: bruto 31 euro per maand</t>
  </si>
  <si>
    <t>verhoging</t>
  </si>
  <si>
    <r>
      <t>E</t>
    </r>
    <r>
      <rPr>
        <b/>
        <sz val="10"/>
        <rFont val="Arial"/>
        <family val="2"/>
      </rPr>
      <t xml:space="preserve">énmalige uitkering </t>
    </r>
    <r>
      <rPr>
        <sz val="10"/>
        <rFont val="Arial"/>
        <family val="2"/>
      </rPr>
      <t xml:space="preserve"> (rato betr omvang) </t>
    </r>
  </si>
  <si>
    <t>Werknemer per 1 okt. 2018: 1% van bruto maandsalaris in okt. 2018 x 12 plus vakantie- en eindejaarsuitkering.</t>
  </si>
  <si>
    <t>6.</t>
  </si>
  <si>
    <t>Werkblad salaristabellen</t>
  </si>
  <si>
    <t>Dit werkblad bevat de salaristabellen conform de CAO VO 2018-2019.</t>
  </si>
  <si>
    <t>Deze toeslag wordt toegekend op basis van CAO artikel 24.2.</t>
  </si>
  <si>
    <t>wordt berekend</t>
  </si>
  <si>
    <t xml:space="preserve">De gegevens zijn ontleend aan de CAO VO 2018-2019 met de salaristabel van 1 januari 2019 resp. 1 juni 2019. </t>
  </si>
  <si>
    <t xml:space="preserve">per jaar </t>
  </si>
  <si>
    <t>A. Salarisgegevens</t>
  </si>
  <si>
    <t>C. Werkgeverslasten</t>
  </si>
  <si>
    <t>uitlooptoeslag leraar</t>
  </si>
  <si>
    <t>Incidentele uitkering in 2018 m.h.o. op pensioengrondslag 2019:</t>
  </si>
  <si>
    <t>Totaal overige looncomponenten</t>
  </si>
  <si>
    <t>Totaal salaris en overige looncomponenten</t>
  </si>
  <si>
    <t>premies pensioen- en werknemersverzekeringen</t>
  </si>
  <si>
    <t>FPU (VUT/FPU basis)</t>
  </si>
  <si>
    <t>Opslag Werkgeverspercentage: Totale loonkosten t.o.v. bruto salaris</t>
  </si>
  <si>
    <t>Van bruto-salaris (A), naar totaal salaris en overige looncomponenten (B)</t>
  </si>
  <si>
    <t>Van salaris en overige looncomponenten ((A+B), naar totale loonkosten (D)</t>
  </si>
  <si>
    <t>Van bruto-salaris (A), naar totale loonkosten (E)</t>
  </si>
  <si>
    <t>BRUTO-NETTO TTRAJECT WERKNEMER (indicatie)</t>
  </si>
  <si>
    <t>Pensioenpremies werknemer</t>
  </si>
  <si>
    <t>minus: Pensioenpremies werknemer</t>
  </si>
  <si>
    <t>bijdrage-inkomen</t>
  </si>
  <si>
    <t>ZVW premie</t>
  </si>
  <si>
    <t>D. Eigen beleid</t>
  </si>
  <si>
    <t xml:space="preserve">overige toelagen </t>
  </si>
  <si>
    <t>tegemoetkoming reiskosten</t>
  </si>
  <si>
    <t xml:space="preserve">kosten vervanging verlof </t>
  </si>
  <si>
    <t xml:space="preserve">doorbetaald ouderschapsverlof </t>
  </si>
  <si>
    <t>overig eigen beleid</t>
  </si>
  <si>
    <t xml:space="preserve">totaal eigen beleid </t>
  </si>
  <si>
    <t>totaal werkgeverslasten</t>
  </si>
  <si>
    <t>E. Totale loonkosten</t>
  </si>
  <si>
    <t>kosten ziekte en vervanging</t>
  </si>
  <si>
    <t>premie ziektekosten</t>
  </si>
  <si>
    <t>kosten vervanging eigen beleid</t>
  </si>
  <si>
    <t>Extra toelichting kosten ziekte en vervanging:</t>
  </si>
  <si>
    <t>Extra toelichting Eigen Beleid:</t>
  </si>
  <si>
    <t xml:space="preserve">diverse varianten. Volledige (vrijwillige/verplichte) aansluiting kent een premie </t>
  </si>
  <si>
    <t>van 6,25%. Voor overige varianten, zie de toelichting</t>
  </si>
  <si>
    <t xml:space="preserve"> -          Een bestuur dat voor het VF eigenrisicodrager is, kan een schatting van de eigen </t>
  </si>
  <si>
    <t xml:space="preserve">            kosten voor vervanging [1] opvoeren bij ‘kosten vervanging eigen beleid’.</t>
  </si>
  <si>
    <t xml:space="preserve">Er kan in dit werkgeverslastenoverzicht rekening gehouden worden met overige </t>
  </si>
  <si>
    <t xml:space="preserve">kosten die niet geautomatiseerd zijn opgenomen omdat ze per individu sterk </t>
  </si>
  <si>
    <t>kunnen verschillen. Denk hierbij aan:</t>
  </si>
  <si>
    <t>(cao 6.19), ehbo toelage</t>
  </si>
  <si>
    <t>inzetbaarheid, ouderschapsverlof (cao 8A.4 t/m 8A.8, cao art. 8.21)</t>
  </si>
  <si>
    <t xml:space="preserve">verwerken in dit overzicht. U kunt deze kosten ook weglaten in dit overzicht en een </t>
  </si>
  <si>
    <t>fictief extra personeelslid opnemen met de omvang van de vervanging onder tabblad ‘wgl tot’.</t>
  </si>
  <si>
    <t xml:space="preserve">De pensioenpremies zijn aangepast per 1 januari 2019. Een wijziging van de </t>
  </si>
  <si>
    <t xml:space="preserve">pensioenpremies in de marktsector wordt via de referentiesystematiek 2019 meegenomen </t>
  </si>
  <si>
    <t xml:space="preserve">in de indexering van de personele bekostiging. Deze indexering wordt in september </t>
  </si>
  <si>
    <t>2019 door OCW gepubliceerd en dan in de bekostiging verwerkt.</t>
  </si>
  <si>
    <r>
      <t xml:space="preserve"> -</t>
    </r>
    <r>
      <rPr>
        <i/>
        <sz val="7"/>
        <color theme="1"/>
        <rFont val="Times New Roman"/>
        <family val="1"/>
      </rPr>
      <t xml:space="preserve">          </t>
    </r>
    <r>
      <rPr>
        <i/>
        <sz val="11"/>
        <color theme="1"/>
        <rFont val="Calibri"/>
        <family val="2"/>
      </rPr>
      <t xml:space="preserve">Bij het VF geldt de mogelijkheid om EigenRisicoDrager (ERD) te zijn middels </t>
    </r>
  </si>
  <si>
    <r>
      <t xml:space="preserve"> -</t>
    </r>
    <r>
      <rPr>
        <i/>
        <sz val="7"/>
        <color theme="1"/>
        <rFont val="Times New Roman"/>
        <family val="1"/>
      </rPr>
      <t xml:space="preserve">          </t>
    </r>
    <r>
      <rPr>
        <i/>
        <sz val="11"/>
        <color theme="1"/>
        <rFont val="Calibri"/>
        <family val="2"/>
      </rPr>
      <t xml:space="preserve">Overige toelagen (jubileumgratificaties (cao 6.18), incidentele beloning </t>
    </r>
  </si>
  <si>
    <r>
      <t xml:space="preserve"> -</t>
    </r>
    <r>
      <rPr>
        <i/>
        <sz val="7"/>
        <color theme="1"/>
        <rFont val="Times New Roman"/>
        <family val="1"/>
      </rPr>
      <t xml:space="preserve">          </t>
    </r>
    <r>
      <rPr>
        <i/>
        <sz val="11"/>
        <color theme="1"/>
        <rFont val="Calibri"/>
        <family val="2"/>
      </rPr>
      <t>Tegemoetkoming reiskosten woon-werkverkeer cao tabel A10)</t>
    </r>
  </si>
  <si>
    <r>
      <t xml:space="preserve"> -</t>
    </r>
    <r>
      <rPr>
        <i/>
        <sz val="7"/>
        <color theme="1"/>
        <rFont val="Times New Roman"/>
        <family val="1"/>
      </rPr>
      <t xml:space="preserve">          </t>
    </r>
    <r>
      <rPr>
        <i/>
        <sz val="11"/>
        <color theme="1"/>
        <rFont val="Calibri"/>
        <family val="2"/>
      </rPr>
      <t xml:space="preserve">Kosten vervanging verlof : kosten voor o.a. vervanging bij duurzame </t>
    </r>
  </si>
  <si>
    <r>
      <t xml:space="preserve"> -</t>
    </r>
    <r>
      <rPr>
        <i/>
        <sz val="7"/>
        <color theme="1"/>
        <rFont val="Times New Roman"/>
        <family val="1"/>
      </rPr>
      <t xml:space="preserve">          </t>
    </r>
    <r>
      <rPr>
        <i/>
        <sz val="11"/>
        <color theme="1"/>
        <rFont val="Calibri"/>
        <family val="2"/>
      </rPr>
      <t>Kosten voor professionalisering (cao 9.7 t/m 9.11)</t>
    </r>
  </si>
  <si>
    <r>
      <t xml:space="preserve"> -</t>
    </r>
    <r>
      <rPr>
        <i/>
        <sz val="7"/>
        <color theme="1"/>
        <rFont val="Times New Roman"/>
        <family val="1"/>
      </rPr>
      <t xml:space="preserve">          </t>
    </r>
    <r>
      <rPr>
        <i/>
        <sz val="11"/>
        <color theme="1"/>
        <rFont val="Calibri"/>
        <family val="2"/>
      </rPr>
      <t>Overig eigen beleid (reis- en verblijfkosten, parkeervergoeding e.d.)</t>
    </r>
  </si>
  <si>
    <r>
      <t>[1]</t>
    </r>
    <r>
      <rPr>
        <i/>
        <sz val="11"/>
        <color theme="1"/>
        <rFont val="Calibri"/>
        <family val="2"/>
      </rPr>
      <t xml:space="preserve"> NB: U kunt ervoor kiezen de kosten van vervanging (bij ziekte en/of verlof) te </t>
    </r>
  </si>
  <si>
    <t>Opslag loonkosten t.o.v. bruto-salaris</t>
  </si>
  <si>
    <t>naam</t>
  </si>
  <si>
    <t>geb.dat</t>
  </si>
  <si>
    <t>salarisgegevens</t>
  </si>
  <si>
    <t>WTF</t>
  </si>
  <si>
    <t xml:space="preserve">uitl.toesl. </t>
  </si>
  <si>
    <t>norm</t>
  </si>
  <si>
    <t>bruto-salaris</t>
  </si>
  <si>
    <t>vakantie</t>
  </si>
  <si>
    <t xml:space="preserve">eindejrs. </t>
  </si>
  <si>
    <t>uitloop</t>
  </si>
  <si>
    <t>uitkeringen</t>
  </si>
  <si>
    <t xml:space="preserve">Jaarinkomen </t>
  </si>
  <si>
    <t>sal.en overige</t>
  </si>
  <si>
    <t>Jaarinkomen</t>
  </si>
  <si>
    <t xml:space="preserve">kosten </t>
  </si>
  <si>
    <t>VUT/FPU</t>
  </si>
  <si>
    <t xml:space="preserve">ZVW premie </t>
  </si>
  <si>
    <t>vervanging eigen beleid</t>
  </si>
  <si>
    <t>kosten eigen beleid</t>
  </si>
  <si>
    <t>Totale loonkosten euro</t>
  </si>
  <si>
    <t xml:space="preserve">loonkn t.o.v. </t>
  </si>
  <si>
    <t>besl. regel</t>
  </si>
  <si>
    <t xml:space="preserve">uitlooptoesl. </t>
  </si>
  <si>
    <t>besl.regel</t>
  </si>
  <si>
    <t>Totaal pens.</t>
  </si>
  <si>
    <t>Bijdrage-ink.</t>
  </si>
  <si>
    <t xml:space="preserve">ZVW vergoed. </t>
  </si>
  <si>
    <t>Loon voor de</t>
  </si>
  <si>
    <t xml:space="preserve"> mnd.sal.</t>
  </si>
  <si>
    <t>wtf*mnd.sal.</t>
  </si>
  <si>
    <t>uitk.</t>
  </si>
  <si>
    <t>toeslag</t>
  </si>
  <si>
    <t>uitk. OOP</t>
  </si>
  <si>
    <t>ABP</t>
  </si>
  <si>
    <t>levensloop</t>
  </si>
  <si>
    <t>looncompon</t>
  </si>
  <si>
    <t>basis</t>
  </si>
  <si>
    <t>jaar</t>
  </si>
  <si>
    <t>bruto-sal</t>
  </si>
  <si>
    <t>alle looncomp</t>
  </si>
  <si>
    <t>datum</t>
  </si>
  <si>
    <t>inschaling</t>
  </si>
  <si>
    <t>schaal-uitloop bedr.</t>
  </si>
  <si>
    <t>vakantieuitk.</t>
  </si>
  <si>
    <t>eindejrs. uitk.</t>
  </si>
  <si>
    <t>premie</t>
  </si>
  <si>
    <t xml:space="preserve"> loonbelasting</t>
  </si>
  <si>
    <t>datum nu</t>
  </si>
  <si>
    <t>OOP</t>
  </si>
  <si>
    <t>n</t>
  </si>
  <si>
    <t>meerh sbo DCuit15</t>
  </si>
  <si>
    <t>Uitlooptoeslag (cao 24.2)</t>
  </si>
  <si>
    <t>j</t>
  </si>
  <si>
    <t xml:space="preserve">premie </t>
  </si>
  <si>
    <t>ziektekosten</t>
  </si>
  <si>
    <t>wrkl. lasten</t>
  </si>
  <si>
    <t>ziek</t>
  </si>
  <si>
    <t>wrk lstn</t>
  </si>
  <si>
    <t>OOP uitk.</t>
  </si>
  <si>
    <t xml:space="preserve">De salaristabellen per 1 juli 2019 zijn van toepassing. </t>
  </si>
  <si>
    <t>B. OVERIGE LOONCOMPONENTEN</t>
  </si>
  <si>
    <t>2019-2020</t>
  </si>
  <si>
    <t>in blad Werkgeverslasten (kolom S) en cel J29</t>
  </si>
  <si>
    <t>Belastingen 2020</t>
  </si>
  <si>
    <t>Tarieven, bedragen en percentages vanaf 1 januari 2020</t>
  </si>
  <si>
    <t xml:space="preserve">Minimumloon per 1 januari 2020 is aangepast. </t>
  </si>
  <si>
    <r>
      <t xml:space="preserve">De algemene premies zijn van toepassing vanaf </t>
    </r>
    <r>
      <rPr>
        <b/>
        <i/>
        <sz val="10"/>
        <rFont val="Arial"/>
        <family val="2"/>
      </rPr>
      <t>1 januari 2020</t>
    </r>
    <r>
      <rPr>
        <sz val="10"/>
        <rFont val="Arial"/>
        <family val="2"/>
      </rPr>
      <t xml:space="preserve">. </t>
    </r>
  </si>
  <si>
    <r>
      <t xml:space="preserve">De premies van het ABP zijn van toepassing vanaf </t>
    </r>
    <r>
      <rPr>
        <b/>
        <i/>
        <sz val="10"/>
        <rFont val="Arial"/>
        <family val="2"/>
      </rPr>
      <t>1 januari 2020.</t>
    </r>
  </si>
  <si>
    <t>vanaf 1 januari</t>
  </si>
  <si>
    <t>Bindings-</t>
  </si>
  <si>
    <t>toelage</t>
  </si>
  <si>
    <t>bindings-</t>
  </si>
  <si>
    <t>Dit werkblad bevat relevante tabellen, conform de gegevens zoals die per 1 januari 2020 gelden.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</si>
</sst>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1" formatCode="_ * #,##0_ ;_ * \-#,##0_ ;_ * &quot;-&quot;_ ;_ @_ "/>
    <numFmt numFmtId="44" formatCode="_ &quot;€&quot;\ * #,##0.00_ ;_ &quot;€&quot;\ * \-#,##0.00_ ;_ &quot;€&quot;\ * &quot;-&quot;??_ ;_ @_ "/>
    <numFmt numFmtId="164" formatCode="0.000%"/>
    <numFmt numFmtId="165" formatCode="_-&quot;€&quot;\ * #,##0.00_-;_-&quot;€&quot;\ * #,##0.00\-;_-&quot;€&quot;\ * &quot;-&quot;??_-;_-@_-"/>
    <numFmt numFmtId="166" formatCode="0.0000"/>
    <numFmt numFmtId="167" formatCode="_-&quot;€&quot;\ * #,##0_-;_-&quot;€&quot;\ * #,##0\-;_-&quot;€&quot;\ * &quot;-&quot;_-;_-@_-"/>
    <numFmt numFmtId="168" formatCode="[$-413]mmm/yy;@"/>
    <numFmt numFmtId="169" formatCode="#,##0_-"/>
    <numFmt numFmtId="170" formatCode="0.0%"/>
    <numFmt numFmtId="171" formatCode="#,##0.0000_ ;\-#,##0.0000\ "/>
    <numFmt numFmtId="172" formatCode="_(&quot;€&quot;\ * #,##0_);_(&quot;€&quot;\ * \(#,##0\);_(&quot;€&quot;\ * &quot;-&quot;_);_(@_)"/>
    <numFmt numFmtId="173" formatCode="[$-413]d\ mmmm\ yyyy;@"/>
    <numFmt numFmtId="174" formatCode="_-&quot;€&quot;\ * #,##0_-;_-&quot;€&quot;\ * #,##0\-;_-&quot;€&quot;\ * &quot;-&quot;??_-;_-@_-"/>
    <numFmt numFmtId="175" formatCode="0.000"/>
    <numFmt numFmtId="176" formatCode="0_ ;\-0\ "/>
  </numFmts>
  <fonts count="89"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b/>
      <i/>
      <sz val="10"/>
      <color indexed="8"/>
      <name val="Arial"/>
      <family val="2"/>
    </font>
    <font>
      <b/>
      <sz val="10"/>
      <color indexed="81"/>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
      <sz val="8"/>
      <name val="Arial"/>
      <family val="2"/>
    </font>
    <font>
      <b/>
      <sz val="8"/>
      <name val="Arial"/>
      <family val="2"/>
    </font>
    <font>
      <b/>
      <sz val="8"/>
      <color indexed="10"/>
      <name val="Arial"/>
      <family val="2"/>
    </font>
    <font>
      <sz val="10"/>
      <name val="Calibri"/>
      <family val="2"/>
      <scheme val="minor"/>
    </font>
    <font>
      <b/>
      <sz val="10"/>
      <color rgb="FFFF0000"/>
      <name val="Calibri"/>
      <family val="2"/>
      <scheme val="minor"/>
    </font>
    <font>
      <b/>
      <sz val="10"/>
      <name val="Calibri"/>
      <family val="2"/>
      <scheme val="minor"/>
    </font>
    <font>
      <i/>
      <sz val="10"/>
      <name val="Calibri"/>
      <family val="2"/>
    </font>
    <font>
      <b/>
      <i/>
      <sz val="10"/>
      <name val="Calibri"/>
      <family val="2"/>
    </font>
    <font>
      <b/>
      <sz val="11"/>
      <name val="Calibri"/>
      <family val="2"/>
    </font>
    <font>
      <b/>
      <i/>
      <sz val="11"/>
      <color theme="1"/>
      <name val="Calibri"/>
      <family val="2"/>
    </font>
    <font>
      <i/>
      <sz val="10"/>
      <color theme="1"/>
      <name val="Arial"/>
      <family val="2"/>
    </font>
    <font>
      <i/>
      <sz val="11"/>
      <color theme="1"/>
      <name val="Calibri"/>
      <family val="2"/>
    </font>
    <font>
      <i/>
      <sz val="7"/>
      <color theme="1"/>
      <name val="Times New Roman"/>
      <family val="1"/>
    </font>
    <font>
      <i/>
      <vertAlign val="superscript"/>
      <sz val="11"/>
      <color theme="1"/>
      <name val="Calibri"/>
      <family val="2"/>
    </font>
    <font>
      <i/>
      <sz val="11"/>
      <color theme="1"/>
      <name val="Calibri"/>
      <family val="2"/>
      <scheme val="minor"/>
    </font>
    <font>
      <i/>
      <sz val="10"/>
      <color indexed="10"/>
      <name val="Calibri"/>
      <family val="2"/>
    </font>
    <font>
      <sz val="10"/>
      <color indexed="10"/>
      <name val="Calibri"/>
      <family val="2"/>
    </font>
    <font>
      <sz val="10"/>
      <color indexed="10"/>
      <name val="Calibri"/>
      <family val="2"/>
      <scheme val="minor"/>
    </font>
    <font>
      <sz val="10"/>
      <color theme="1" tint="0.34998626667073579"/>
      <name val="Calibri"/>
      <family val="2"/>
    </font>
    <font>
      <sz val="14"/>
      <name val="Calibri"/>
      <family val="2"/>
    </font>
    <font>
      <b/>
      <sz val="14"/>
      <color rgb="FFC00000"/>
      <name val="Calibri"/>
      <family val="2"/>
    </font>
    <font>
      <i/>
      <sz val="14"/>
      <name val="Calibri"/>
      <family val="2"/>
    </font>
    <font>
      <i/>
      <sz val="14"/>
      <color indexed="10"/>
      <name val="Calibri"/>
      <family val="2"/>
    </font>
    <font>
      <sz val="14"/>
      <color indexed="10"/>
      <name val="Calibri"/>
      <family val="2"/>
    </font>
    <font>
      <sz val="14"/>
      <color indexed="10"/>
      <name val="Calibri"/>
      <family val="2"/>
      <scheme val="minor"/>
    </font>
    <font>
      <sz val="14"/>
      <color theme="1" tint="0.34998626667073579"/>
      <name val="Calibri"/>
      <family val="2"/>
    </font>
    <font>
      <sz val="12"/>
      <name val="Calibri"/>
      <family val="2"/>
    </font>
    <font>
      <sz val="9"/>
      <name val="Calibri"/>
      <family val="2"/>
    </font>
    <font>
      <i/>
      <sz val="9"/>
      <name val="Calibri"/>
      <family val="2"/>
    </font>
    <font>
      <i/>
      <sz val="9"/>
      <color indexed="10"/>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b/>
      <sz val="9"/>
      <name val="Calibri"/>
      <family val="2"/>
    </font>
    <font>
      <b/>
      <i/>
      <sz val="9"/>
      <name val="Calibri"/>
      <family val="2"/>
    </font>
    <font>
      <i/>
      <sz val="9"/>
      <color indexed="8"/>
      <name val="Calibri"/>
      <family val="2"/>
      <scheme val="minor"/>
    </font>
    <font>
      <sz val="9"/>
      <name val="Calibri"/>
      <family val="2"/>
      <scheme val="minor"/>
    </font>
    <font>
      <sz val="9"/>
      <color indexed="8"/>
      <name val="Calibri"/>
      <family val="2"/>
      <scheme val="minor"/>
    </font>
    <font>
      <i/>
      <sz val="9"/>
      <color theme="1" tint="0.34998626667073579"/>
      <name val="Calibri"/>
      <family val="2"/>
    </font>
    <font>
      <i/>
      <sz val="9"/>
      <color indexed="8"/>
      <name val="Calibri"/>
      <family val="2"/>
    </font>
    <font>
      <sz val="9"/>
      <color indexed="8"/>
      <name val="Calibri"/>
      <family val="2"/>
    </font>
    <font>
      <sz val="10"/>
      <color indexed="22"/>
      <name val="Calibri"/>
      <family val="2"/>
    </font>
    <font>
      <sz val="10"/>
      <color theme="0" tint="-0.249977111117893"/>
      <name val="Calibri"/>
      <family val="2"/>
    </font>
    <font>
      <i/>
      <sz val="10"/>
      <color indexed="22"/>
      <name val="Calibri"/>
      <family val="2"/>
    </font>
    <font>
      <b/>
      <sz val="9"/>
      <color indexed="81"/>
      <name val="Tahoma"/>
      <family val="2"/>
    </font>
    <font>
      <sz val="10"/>
      <color theme="0" tint="-0.249977111117893"/>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medium">
        <color theme="0"/>
      </top>
      <bottom style="medium">
        <color theme="0"/>
      </bottom>
      <diagonal/>
    </border>
    <border>
      <left style="thin">
        <color rgb="FFCCECFF"/>
      </left>
      <right style="thin">
        <color rgb="FFCCECFF"/>
      </right>
      <top style="medium">
        <color theme="0"/>
      </top>
      <bottom style="medium">
        <color theme="0"/>
      </bottom>
      <diagonal/>
    </border>
    <border>
      <left style="thin">
        <color theme="0"/>
      </left>
      <right style="thin">
        <color theme="0"/>
      </right>
      <top/>
      <bottom/>
      <diagonal/>
    </border>
    <border>
      <left style="thin">
        <color rgb="FFCCECFF"/>
      </left>
      <right/>
      <top style="medium">
        <color theme="0"/>
      </top>
      <bottom style="medium">
        <color theme="0"/>
      </bottom>
      <diagonal/>
    </border>
    <border>
      <left style="thin">
        <color theme="0"/>
      </left>
      <right style="thin">
        <color theme="0"/>
      </right>
      <top style="thin">
        <color rgb="FFCCECFF"/>
      </top>
      <bottom style="thin">
        <color rgb="FFCCECFF"/>
      </bottom>
      <diagonal/>
    </border>
    <border>
      <left style="thin">
        <color theme="0" tint="-4.9989318521683403E-2"/>
      </left>
      <right style="thin">
        <color theme="0" tint="-4.9989318521683403E-2"/>
      </right>
      <top/>
      <bottom style="thin">
        <color theme="0" tint="-4.9989318521683403E-2"/>
      </bottom>
      <diagonal/>
    </border>
    <border>
      <left/>
      <right/>
      <top style="medium">
        <color auto="1"/>
      </top>
      <bottom style="medium">
        <color theme="0"/>
      </bottom>
      <diagonal/>
    </border>
    <border>
      <left style="thin">
        <color rgb="FFCCECFF"/>
      </left>
      <right style="thin">
        <color rgb="FFCCECFF"/>
      </right>
      <top style="thin">
        <color rgb="FFCCECFF"/>
      </top>
      <bottom style="medium">
        <color rgb="FFCCECFF"/>
      </bottom>
      <diagonal/>
    </border>
    <border>
      <left/>
      <right/>
      <top/>
      <bottom style="medium">
        <color rgb="FFCCECFF"/>
      </bottom>
      <diagonal/>
    </border>
    <border>
      <left style="thin">
        <color rgb="FFCCECFF"/>
      </left>
      <right style="thin">
        <color rgb="FFCCECFF"/>
      </right>
      <top style="medium">
        <color rgb="FFCCECFF"/>
      </top>
      <bottom style="thin">
        <color rgb="FFCCECFF"/>
      </bottom>
      <diagonal/>
    </border>
    <border>
      <left/>
      <right/>
      <top style="medium">
        <color rgb="FFCCECFF"/>
      </top>
      <bottom/>
      <diagonal/>
    </border>
    <border>
      <left/>
      <right style="thin">
        <color theme="0"/>
      </right>
      <top/>
      <bottom/>
      <diagonal/>
    </border>
    <border>
      <left/>
      <right/>
      <top style="thin">
        <color rgb="FFCCECFF"/>
      </top>
      <bottom style="thin">
        <color rgb="FFCCEC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3">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0" fontId="2" fillId="0" borderId="0" xfId="0" applyFont="1" applyFill="1" applyBorder="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4"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165"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4"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5" fontId="2" fillId="6" borderId="8" xfId="0" applyNumberFormat="1" applyFont="1" applyFill="1" applyBorder="1" applyProtection="1"/>
    <xf numFmtId="165" fontId="2" fillId="3" borderId="0" xfId="0" applyNumberFormat="1" applyFont="1" applyFill="1" applyBorder="1" applyProtection="1"/>
    <xf numFmtId="49" fontId="2" fillId="3" borderId="0" xfId="0" applyNumberFormat="1" applyFont="1" applyFill="1" applyBorder="1" applyAlignment="1" applyProtection="1">
      <alignment horizontal="left"/>
    </xf>
    <xf numFmtId="165" fontId="17" fillId="3" borderId="0" xfId="1" applyNumberFormat="1" applyFont="1" applyFill="1" applyBorder="1" applyProtection="1"/>
    <xf numFmtId="165" fontId="17" fillId="3" borderId="0" xfId="0" applyNumberFormat="1" applyFont="1" applyFill="1" applyBorder="1" applyProtection="1"/>
    <xf numFmtId="165" fontId="2" fillId="3" borderId="0" xfId="1" applyNumberFormat="1" applyFont="1" applyFill="1" applyBorder="1" applyProtection="1"/>
    <xf numFmtId="167"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5" fillId="4" borderId="0" xfId="0" applyFont="1" applyFill="1" applyBorder="1" applyAlignment="1" applyProtection="1">
      <alignment horizontal="left"/>
      <protection locked="0"/>
    </xf>
    <xf numFmtId="0" fontId="2" fillId="4" borderId="0" xfId="0" applyFont="1" applyFill="1" applyBorder="1" applyAlignment="1" applyProtection="1"/>
    <xf numFmtId="0" fontId="26" fillId="7" borderId="0" xfId="0" applyFont="1" applyFill="1" applyBorder="1" applyProtection="1"/>
    <xf numFmtId="0" fontId="27" fillId="7" borderId="0" xfId="0" applyFont="1" applyFill="1" applyBorder="1" applyProtection="1"/>
    <xf numFmtId="0" fontId="27" fillId="7" borderId="0" xfId="0" applyFont="1" applyFill="1" applyBorder="1" applyAlignment="1" applyProtection="1">
      <alignment horizontal="left"/>
    </xf>
    <xf numFmtId="167" fontId="27" fillId="7" borderId="0" xfId="0" applyNumberFormat="1" applyFont="1" applyFill="1" applyBorder="1" applyProtection="1"/>
    <xf numFmtId="0" fontId="28" fillId="7" borderId="0" xfId="0" applyFont="1" applyFill="1" applyBorder="1" applyProtection="1"/>
    <xf numFmtId="0" fontId="17" fillId="4" borderId="0" xfId="0" applyFont="1" applyFill="1" applyBorder="1" applyAlignment="1" applyProtection="1">
      <alignment horizontal="right"/>
    </xf>
    <xf numFmtId="0" fontId="29" fillId="7" borderId="0" xfId="0" applyFont="1" applyFill="1" applyBorder="1" applyAlignment="1" applyProtection="1">
      <alignment horizontal="left"/>
    </xf>
    <xf numFmtId="165" fontId="2" fillId="7" borderId="0" xfId="0" applyNumberFormat="1" applyFont="1" applyFill="1" applyBorder="1" applyProtection="1"/>
    <xf numFmtId="0" fontId="29" fillId="7" borderId="0" xfId="0" applyFont="1" applyFill="1" applyProtection="1"/>
    <xf numFmtId="165" fontId="3" fillId="7" borderId="0" xfId="0" applyNumberFormat="1" applyFont="1" applyFill="1" applyBorder="1" applyProtection="1"/>
    <xf numFmtId="0" fontId="3" fillId="7" borderId="0" xfId="0" applyFont="1" applyFill="1" applyBorder="1" applyProtection="1"/>
    <xf numFmtId="165" fontId="2" fillId="4" borderId="5" xfId="0" applyNumberFormat="1" applyFont="1" applyFill="1" applyBorder="1" applyProtection="1"/>
    <xf numFmtId="165" fontId="3" fillId="4" borderId="5" xfId="0" applyNumberFormat="1" applyFont="1" applyFill="1" applyBorder="1" applyProtection="1"/>
    <xf numFmtId="0" fontId="2" fillId="6" borderId="8" xfId="0" applyFont="1" applyFill="1" applyBorder="1" applyAlignment="1" applyProtection="1">
      <alignment horizontal="center"/>
    </xf>
    <xf numFmtId="165" fontId="2" fillId="6" borderId="9" xfId="0" applyNumberFormat="1" applyFont="1" applyFill="1" applyBorder="1" applyProtection="1"/>
    <xf numFmtId="165" fontId="3" fillId="7" borderId="0" xfId="0" applyNumberFormat="1" applyFont="1" applyFill="1" applyBorder="1" applyAlignment="1" applyProtection="1">
      <alignment horizontal="right"/>
    </xf>
    <xf numFmtId="165" fontId="27" fillId="7" borderId="0" xfId="0" applyNumberFormat="1" applyFont="1" applyFill="1" applyBorder="1" applyProtection="1"/>
    <xf numFmtId="0" fontId="30" fillId="7" borderId="0" xfId="0" applyFont="1" applyFill="1" applyBorder="1" applyProtection="1"/>
    <xf numFmtId="0" fontId="31" fillId="7" borderId="0" xfId="0" applyFont="1" applyFill="1" applyBorder="1" applyAlignment="1" applyProtection="1">
      <alignment horizontal="left"/>
    </xf>
    <xf numFmtId="0" fontId="31" fillId="7" borderId="0" xfId="0" applyFont="1" applyFill="1" applyProtection="1"/>
    <xf numFmtId="0" fontId="2" fillId="7" borderId="0" xfId="0" applyFont="1" applyFill="1" applyBorder="1" applyAlignment="1" applyProtection="1">
      <alignment horizontal="left"/>
    </xf>
    <xf numFmtId="165" fontId="17" fillId="7" borderId="0" xfId="1" applyNumberFormat="1" applyFont="1" applyFill="1" applyBorder="1" applyAlignment="1" applyProtection="1">
      <alignment horizontal="center"/>
    </xf>
    <xf numFmtId="165" fontId="17" fillId="7" borderId="0" xfId="0" applyNumberFormat="1" applyFont="1" applyFill="1" applyBorder="1" applyProtection="1"/>
    <xf numFmtId="165" fontId="2" fillId="7" borderId="0" xfId="1" applyNumberFormat="1" applyFont="1" applyFill="1" applyBorder="1" applyAlignment="1" applyProtection="1">
      <alignment horizontal="center"/>
    </xf>
    <xf numFmtId="167"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27" fillId="7" borderId="0" xfId="0" applyFont="1" applyFill="1" applyAlignment="1" applyProtection="1">
      <alignment horizontal="left"/>
    </xf>
    <xf numFmtId="0" fontId="27" fillId="7" borderId="0" xfId="0" applyFont="1" applyFill="1" applyAlignment="1" applyProtection="1">
      <alignment horizontal="right"/>
    </xf>
    <xf numFmtId="42" fontId="27" fillId="7" borderId="0" xfId="0" applyNumberFormat="1" applyFont="1" applyFill="1" applyBorder="1" applyProtection="1"/>
    <xf numFmtId="0" fontId="27" fillId="7" borderId="0" xfId="0" applyFont="1" applyFill="1" applyProtection="1"/>
    <xf numFmtId="165" fontId="20" fillId="6" borderId="8" xfId="0" applyNumberFormat="1" applyFont="1" applyFill="1" applyBorder="1" applyAlignment="1" applyProtection="1">
      <alignment horizontal="right"/>
    </xf>
    <xf numFmtId="167" fontId="2" fillId="7" borderId="0" xfId="0" applyNumberFormat="1" applyFont="1" applyFill="1" applyBorder="1" applyProtection="1"/>
    <xf numFmtId="165" fontId="17" fillId="7" borderId="0" xfId="1" applyNumberFormat="1" applyFont="1" applyFill="1" applyBorder="1" applyProtection="1"/>
    <xf numFmtId="165" fontId="2" fillId="7" borderId="0" xfId="1" applyNumberFormat="1" applyFont="1" applyFill="1" applyBorder="1" applyProtection="1"/>
    <xf numFmtId="167"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31" fillId="0" borderId="0" xfId="0" applyFont="1" applyBorder="1" applyAlignment="1">
      <alignment horizontal="left"/>
    </xf>
    <xf numFmtId="14" fontId="36" fillId="4" borderId="0" xfId="0" applyNumberFormat="1" applyFont="1" applyFill="1" applyBorder="1" applyProtection="1"/>
    <xf numFmtId="0" fontId="2" fillId="9" borderId="0" xfId="0" applyFont="1" applyFill="1" applyProtection="1"/>
    <xf numFmtId="0" fontId="34" fillId="9" borderId="0" xfId="0" applyFont="1" applyFill="1"/>
    <xf numFmtId="0" fontId="2" fillId="10" borderId="0" xfId="0" applyFont="1" applyFill="1" applyBorder="1" applyProtection="1"/>
    <xf numFmtId="0" fontId="3" fillId="10" borderId="0" xfId="0" applyFont="1" applyFill="1" applyBorder="1" applyProtection="1"/>
    <xf numFmtId="168"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3"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0" fontId="2" fillId="4" borderId="12" xfId="0" applyFont="1" applyFill="1" applyBorder="1" applyAlignment="1" applyProtection="1">
      <alignment horizontal="center"/>
      <protection locked="0"/>
    </xf>
    <xf numFmtId="0" fontId="32" fillId="10" borderId="12" xfId="0" applyFont="1" applyFill="1" applyBorder="1" applyAlignment="1" applyProtection="1">
      <alignment horizontal="center"/>
    </xf>
    <xf numFmtId="166"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17"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0" fontId="14" fillId="10" borderId="12" xfId="0" applyFont="1" applyFill="1" applyBorder="1" applyProtection="1"/>
    <xf numFmtId="165" fontId="2" fillId="10" borderId="12" xfId="0" applyNumberFormat="1" applyFont="1" applyFill="1" applyBorder="1" applyProtection="1"/>
    <xf numFmtId="165"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5"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0" fontId="2" fillId="10" borderId="12" xfId="2"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 fontId="3" fillId="10" borderId="12" xfId="0" applyNumberFormat="1" applyFont="1" applyFill="1" applyBorder="1" applyProtection="1"/>
    <xf numFmtId="0" fontId="3" fillId="10" borderId="12" xfId="0" applyFont="1" applyFill="1" applyBorder="1" applyAlignment="1" applyProtection="1"/>
    <xf numFmtId="165"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4" fontId="17" fillId="10" borderId="12" xfId="0" applyNumberFormat="1"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4" fontId="19" fillId="10" borderId="12" xfId="0" applyNumberFormat="1" applyFont="1" applyFill="1" applyBorder="1" applyProtection="1"/>
    <xf numFmtId="165" fontId="19" fillId="10" borderId="12" xfId="0" applyNumberFormat="1" applyFont="1" applyFill="1" applyBorder="1" applyAlignment="1" applyProtection="1">
      <alignment horizontal="left"/>
    </xf>
    <xf numFmtId="0" fontId="2" fillId="10" borderId="12" xfId="0" applyFont="1" applyFill="1" applyBorder="1" applyAlignment="1" applyProtection="1"/>
    <xf numFmtId="1" fontId="37" fillId="10" borderId="12" xfId="0" applyNumberFormat="1" applyFont="1" applyFill="1" applyBorder="1" applyAlignment="1" applyProtection="1">
      <alignment horizontal="center"/>
    </xf>
    <xf numFmtId="0" fontId="37" fillId="10" borderId="12" xfId="0" applyFont="1" applyFill="1" applyBorder="1" applyAlignment="1" applyProtection="1">
      <alignment horizontal="right"/>
    </xf>
    <xf numFmtId="1" fontId="37" fillId="10" borderId="12" xfId="0" applyNumberFormat="1" applyFont="1" applyFill="1" applyBorder="1" applyProtection="1"/>
    <xf numFmtId="0" fontId="37" fillId="10" borderId="12" xfId="0" applyFont="1" applyFill="1" applyBorder="1" applyAlignment="1" applyProtection="1">
      <alignment horizontal="center"/>
    </xf>
    <xf numFmtId="0" fontId="37"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5" fontId="2" fillId="5" borderId="6" xfId="0" applyNumberFormat="1" applyFont="1" applyFill="1" applyBorder="1" applyAlignment="1" applyProtection="1">
      <alignment horizontal="center"/>
    </xf>
    <xf numFmtId="166"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165" fontId="3" fillId="5" borderId="6" xfId="0" applyNumberFormat="1" applyFont="1" applyFill="1" applyBorder="1" applyAlignment="1" applyProtection="1">
      <alignment horizontal="center"/>
    </xf>
    <xf numFmtId="170"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67" fontId="2" fillId="4" borderId="6" xfId="0" applyNumberFormat="1" applyFont="1" applyFill="1" applyBorder="1" applyAlignment="1" applyProtection="1">
      <alignment horizontal="center"/>
      <protection locked="0"/>
    </xf>
    <xf numFmtId="165"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5"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0" fontId="2" fillId="4" borderId="13" xfId="0" applyNumberFormat="1" applyFont="1" applyFill="1" applyBorder="1" applyAlignment="1" applyProtection="1">
      <alignment horizontal="center"/>
      <protection locked="0"/>
    </xf>
    <xf numFmtId="167"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69" fontId="3" fillId="5" borderId="18" xfId="0" applyNumberFormat="1" applyFont="1" applyFill="1" applyBorder="1" applyAlignment="1" applyProtection="1">
      <alignment horizontal="center"/>
    </xf>
    <xf numFmtId="165" fontId="2" fillId="2" borderId="0" xfId="0" applyNumberFormat="1" applyFont="1" applyFill="1" applyBorder="1" applyAlignment="1" applyProtection="1">
      <alignment horizontal="center"/>
    </xf>
    <xf numFmtId="166" fontId="2" fillId="2" borderId="17" xfId="0" applyNumberFormat="1" applyFont="1" applyFill="1" applyBorder="1" applyAlignment="1" applyProtection="1">
      <alignment horizontal="center"/>
    </xf>
    <xf numFmtId="170" fontId="17" fillId="4" borderId="0" xfId="0" applyNumberFormat="1" applyFont="1" applyFill="1" applyBorder="1" applyAlignment="1" applyProtection="1">
      <alignment horizontal="center"/>
      <protection locked="0"/>
    </xf>
    <xf numFmtId="165" fontId="3" fillId="5" borderId="17" xfId="0" applyNumberFormat="1" applyFont="1" applyFill="1" applyBorder="1" applyAlignment="1" applyProtection="1">
      <alignment horizontal="center"/>
    </xf>
    <xf numFmtId="165"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0" fontId="2" fillId="4" borderId="17" xfId="0" applyNumberFormat="1" applyFont="1" applyFill="1" applyBorder="1" applyAlignment="1" applyProtection="1">
      <alignment horizontal="center"/>
      <protection locked="0"/>
    </xf>
    <xf numFmtId="165" fontId="2" fillId="10" borderId="12" xfId="0" applyNumberFormat="1" applyFont="1" applyFill="1" applyBorder="1" applyAlignment="1" applyProtection="1">
      <alignment horizontal="center"/>
    </xf>
    <xf numFmtId="166" fontId="2" fillId="10" borderId="12" xfId="0" applyNumberFormat="1" applyFont="1" applyFill="1" applyBorder="1" applyProtection="1"/>
    <xf numFmtId="165"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6"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0" fontId="3" fillId="10" borderId="12" xfId="0" applyNumberFormat="1" applyFont="1" applyFill="1" applyBorder="1" applyAlignment="1" applyProtection="1">
      <alignment horizontal="center"/>
    </xf>
    <xf numFmtId="165"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0" fontId="2" fillId="10" borderId="12" xfId="0" applyNumberFormat="1" applyFont="1" applyFill="1" applyBorder="1" applyProtection="1"/>
    <xf numFmtId="165" fontId="2" fillId="10" borderId="12" xfId="0" applyNumberFormat="1" applyFont="1" applyFill="1" applyBorder="1" applyAlignment="1" applyProtection="1"/>
    <xf numFmtId="165" fontId="17" fillId="10" borderId="12" xfId="0" applyNumberFormat="1" applyFont="1" applyFill="1" applyBorder="1" applyProtection="1"/>
    <xf numFmtId="165" fontId="19" fillId="10" borderId="12" xfId="0" applyNumberFormat="1" applyFont="1" applyFill="1" applyBorder="1" applyProtection="1"/>
    <xf numFmtId="167" fontId="2" fillId="10" borderId="12" xfId="0" applyNumberFormat="1" applyFont="1" applyFill="1" applyBorder="1" applyProtection="1"/>
    <xf numFmtId="167" fontId="3" fillId="10" borderId="12" xfId="0" applyNumberFormat="1" applyFont="1" applyFill="1" applyBorder="1" applyProtection="1"/>
    <xf numFmtId="166" fontId="2" fillId="4" borderId="6" xfId="0" applyNumberFormat="1" applyFont="1" applyFill="1" applyBorder="1" applyAlignment="1" applyProtection="1">
      <alignment horizontal="center"/>
      <protection locked="0"/>
    </xf>
    <xf numFmtId="171"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5"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1" fontId="2" fillId="4" borderId="17" xfId="0" applyNumberFormat="1" applyFont="1" applyFill="1" applyBorder="1" applyAlignment="1" applyProtection="1">
      <alignment horizontal="center"/>
      <protection locked="0"/>
    </xf>
    <xf numFmtId="167" fontId="3" fillId="5" borderId="0" xfId="0" applyNumberFormat="1" applyFont="1" applyFill="1" applyBorder="1" applyAlignment="1" applyProtection="1">
      <alignment horizontal="center"/>
    </xf>
    <xf numFmtId="0" fontId="25"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0" fontId="2" fillId="10" borderId="12" xfId="0" applyNumberFormat="1" applyFont="1" applyFill="1" applyBorder="1" applyAlignment="1" applyProtection="1">
      <alignment horizontal="center"/>
    </xf>
    <xf numFmtId="167" fontId="2" fillId="10" borderId="12" xfId="0" applyNumberFormat="1" applyFont="1" applyFill="1" applyBorder="1" applyAlignment="1" applyProtection="1">
      <alignment horizontal="center"/>
    </xf>
    <xf numFmtId="167" fontId="3" fillId="10" borderId="12" xfId="0" applyNumberFormat="1" applyFont="1" applyFill="1" applyBorder="1" applyAlignment="1" applyProtection="1">
      <alignment horizontal="center"/>
    </xf>
    <xf numFmtId="0" fontId="25" fillId="10" borderId="12" xfId="0" applyFont="1" applyFill="1" applyBorder="1" applyAlignment="1" applyProtection="1">
      <alignment horizontal="left"/>
      <protection locked="0"/>
    </xf>
    <xf numFmtId="172" fontId="2" fillId="5" borderId="6" xfId="0" applyNumberFormat="1" applyFont="1" applyFill="1" applyBorder="1" applyAlignment="1" applyProtection="1">
      <alignment horizontal="center"/>
    </xf>
    <xf numFmtId="172"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2"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67"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2"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38" fillId="10" borderId="0" xfId="0" applyFont="1" applyFill="1" applyBorder="1" applyProtection="1"/>
    <xf numFmtId="0" fontId="39" fillId="0" borderId="0" xfId="0" applyFont="1" applyBorder="1" applyAlignment="1" applyProtection="1">
      <alignment horizontal="left"/>
    </xf>
    <xf numFmtId="0" fontId="31" fillId="0" borderId="0" xfId="0" applyFont="1" applyBorder="1" applyAlignment="1" applyProtection="1">
      <alignment horizontal="left"/>
    </xf>
    <xf numFmtId="0" fontId="31" fillId="0" borderId="0" xfId="0" applyFont="1" applyFill="1" applyBorder="1" applyAlignment="1" applyProtection="1">
      <alignment horizontal="left"/>
    </xf>
    <xf numFmtId="3" fontId="31" fillId="2" borderId="0" xfId="0" applyNumberFormat="1" applyFont="1" applyFill="1" applyBorder="1" applyAlignment="1" applyProtection="1">
      <alignment horizontal="left"/>
      <protection locked="0"/>
    </xf>
    <xf numFmtId="10" fontId="31" fillId="2" borderId="0" xfId="0" applyNumberFormat="1" applyFont="1" applyFill="1" applyBorder="1" applyAlignment="1" applyProtection="1">
      <alignment horizontal="left"/>
      <protection locked="0"/>
    </xf>
    <xf numFmtId="3" fontId="31" fillId="0" borderId="0" xfId="0" applyNumberFormat="1" applyFont="1" applyFill="1" applyBorder="1" applyAlignment="1" applyProtection="1">
      <alignment horizontal="left"/>
    </xf>
    <xf numFmtId="9" fontId="31" fillId="0" borderId="0" xfId="0" applyNumberFormat="1" applyFont="1" applyBorder="1" applyAlignment="1" applyProtection="1">
      <alignment horizontal="left"/>
    </xf>
    <xf numFmtId="10" fontId="31" fillId="2" borderId="0" xfId="0" applyNumberFormat="1" applyFont="1" applyFill="1" applyBorder="1" applyAlignment="1" applyProtection="1">
      <alignment horizontal="left"/>
    </xf>
    <xf numFmtId="0" fontId="2" fillId="8" borderId="0" xfId="0" applyFont="1" applyFill="1" applyBorder="1" applyAlignment="1" applyProtection="1">
      <alignment horizontal="left"/>
    </xf>
    <xf numFmtId="165" fontId="3" fillId="8" borderId="12" xfId="0" applyNumberFormat="1" applyFont="1" applyFill="1" applyBorder="1" applyProtection="1"/>
    <xf numFmtId="0" fontId="2" fillId="10" borderId="0" xfId="0" applyFont="1" applyFill="1" applyBorder="1" applyAlignment="1" applyProtection="1">
      <alignment horizontal="left"/>
    </xf>
    <xf numFmtId="1" fontId="0" fillId="0" borderId="0" xfId="0" applyNumberFormat="1" applyFill="1" applyProtection="1"/>
    <xf numFmtId="1" fontId="0" fillId="0" borderId="0" xfId="0" applyNumberFormat="1" applyFill="1" applyAlignment="1" applyProtection="1">
      <alignment horizontal="right"/>
    </xf>
    <xf numFmtId="3" fontId="0" fillId="0" borderId="0" xfId="0" applyNumberFormat="1" applyFill="1" applyProtection="1"/>
    <xf numFmtId="1" fontId="40" fillId="0" borderId="0" xfId="0" applyNumberFormat="1" applyFont="1" applyFill="1" applyProtection="1"/>
    <xf numFmtId="0" fontId="17" fillId="0" borderId="0" xfId="0" applyFont="1" applyBorder="1" applyAlignment="1" applyProtection="1">
      <alignment horizontal="left"/>
    </xf>
    <xf numFmtId="42" fontId="17" fillId="10" borderId="12" xfId="0" applyNumberFormat="1" applyFont="1" applyFill="1" applyBorder="1" applyProtection="1"/>
    <xf numFmtId="1" fontId="8" fillId="0" borderId="0" xfId="0" applyNumberFormat="1" applyFont="1" applyAlignment="1" applyProtection="1">
      <alignment horizontal="left"/>
    </xf>
    <xf numFmtId="1" fontId="0" fillId="0" borderId="0" xfId="0" applyNumberFormat="1" applyProtection="1"/>
    <xf numFmtId="1" fontId="41" fillId="0" borderId="0" xfId="0" applyNumberFormat="1" applyFont="1" applyAlignment="1" applyProtection="1">
      <alignment horizontal="right"/>
    </xf>
    <xf numFmtId="14" fontId="40" fillId="2" borderId="0" xfId="0" applyNumberFormat="1" applyFont="1" applyFill="1" applyProtection="1"/>
    <xf numFmtId="1" fontId="42" fillId="0" borderId="0" xfId="0" applyNumberFormat="1" applyFont="1" applyProtection="1"/>
    <xf numFmtId="1" fontId="42" fillId="0" borderId="0" xfId="0" applyNumberFormat="1" applyFont="1" applyAlignment="1" applyProtection="1">
      <alignment horizontal="right"/>
    </xf>
    <xf numFmtId="10" fontId="41" fillId="8" borderId="0" xfId="0" applyNumberFormat="1" applyFont="1" applyFill="1" applyProtection="1"/>
    <xf numFmtId="1" fontId="40" fillId="0" borderId="0" xfId="0" applyNumberFormat="1" applyFont="1" applyProtection="1"/>
    <xf numFmtId="1" fontId="40" fillId="0" borderId="0" xfId="0" applyNumberFormat="1" applyFont="1" applyAlignment="1" applyProtection="1">
      <alignment horizontal="right"/>
    </xf>
    <xf numFmtId="10" fontId="41" fillId="0" borderId="0" xfId="0" applyNumberFormat="1" applyFont="1" applyFill="1" applyProtection="1"/>
    <xf numFmtId="0" fontId="0" fillId="0" borderId="0" xfId="0" applyProtection="1"/>
    <xf numFmtId="1" fontId="42" fillId="0" borderId="0" xfId="0" applyNumberFormat="1" applyFont="1" applyFill="1" applyAlignment="1" applyProtection="1">
      <alignment horizontal="left"/>
    </xf>
    <xf numFmtId="1" fontId="0" fillId="0" borderId="0" xfId="0" applyNumberFormat="1" applyAlignment="1" applyProtection="1">
      <alignment horizontal="right"/>
    </xf>
    <xf numFmtId="4" fontId="43" fillId="2" borderId="0" xfId="0" applyNumberFormat="1" applyFont="1" applyFill="1" applyBorder="1" applyAlignment="1" applyProtection="1">
      <alignment horizontal="left"/>
      <protection locked="0"/>
    </xf>
    <xf numFmtId="41" fontId="2" fillId="5" borderId="12" xfId="0" applyNumberFormat="1" applyFont="1" applyFill="1" applyBorder="1" applyProtection="1"/>
    <xf numFmtId="0" fontId="43" fillId="0" borderId="0" xfId="0" applyFont="1" applyBorder="1" applyAlignment="1" applyProtection="1">
      <alignment horizontal="left"/>
    </xf>
    <xf numFmtId="44" fontId="44" fillId="0" borderId="0" xfId="0" applyNumberFormat="1" applyFont="1" applyBorder="1" applyAlignment="1" applyProtection="1">
      <alignment horizontal="left"/>
    </xf>
    <xf numFmtId="0" fontId="45" fillId="0" borderId="0" xfId="0" applyFont="1" applyFill="1" applyBorder="1" applyAlignment="1" applyProtection="1">
      <alignment horizontal="left"/>
    </xf>
    <xf numFmtId="41" fontId="3" fillId="5" borderId="12" xfId="0" applyNumberFormat="1" applyFont="1" applyFill="1" applyBorder="1" applyProtection="1"/>
    <xf numFmtId="41" fontId="3" fillId="11" borderId="12" xfId="0" applyNumberFormat="1" applyFont="1" applyFill="1" applyBorder="1" applyProtection="1"/>
    <xf numFmtId="41" fontId="2" fillId="2" borderId="12" xfId="0" applyNumberFormat="1" applyFont="1" applyFill="1" applyBorder="1" applyProtection="1"/>
    <xf numFmtId="41" fontId="2" fillId="8" borderId="12" xfId="0" applyNumberFormat="1" applyFont="1" applyFill="1" applyBorder="1" applyProtection="1"/>
    <xf numFmtId="42" fontId="2" fillId="5" borderId="12" xfId="0" applyNumberFormat="1" applyFont="1" applyFill="1" applyBorder="1" applyProtection="1"/>
    <xf numFmtId="41" fontId="19" fillId="10" borderId="12" xfId="1" applyNumberFormat="1" applyFont="1" applyFill="1" applyBorder="1" applyAlignment="1" applyProtection="1">
      <alignment horizontal="center"/>
    </xf>
    <xf numFmtId="42" fontId="2" fillId="2" borderId="12" xfId="0" applyNumberFormat="1" applyFont="1" applyFill="1" applyBorder="1" applyProtection="1"/>
    <xf numFmtId="42" fontId="2" fillId="0" borderId="12" xfId="0" applyNumberFormat="1" applyFont="1" applyFill="1" applyBorder="1" applyProtection="1">
      <protection locked="0"/>
    </xf>
    <xf numFmtId="174" fontId="31" fillId="8" borderId="21" xfId="0" applyNumberFormat="1" applyFont="1" applyFill="1" applyBorder="1" applyAlignment="1" applyProtection="1">
      <alignment horizontal="center" vertical="top"/>
    </xf>
    <xf numFmtId="44" fontId="45" fillId="8" borderId="0" xfId="0" applyNumberFormat="1" applyFont="1" applyFill="1" applyBorder="1" applyAlignment="1" applyProtection="1">
      <alignment horizontal="left"/>
    </xf>
    <xf numFmtId="42" fontId="2" fillId="0" borderId="12" xfId="0" applyNumberFormat="1" applyFont="1" applyFill="1" applyBorder="1" applyProtection="1"/>
    <xf numFmtId="0" fontId="2" fillId="0" borderId="22" xfId="0" applyFont="1" applyFill="1" applyBorder="1" applyProtection="1"/>
    <xf numFmtId="0" fontId="4" fillId="0" borderId="22" xfId="0" applyFont="1" applyFill="1" applyBorder="1" applyProtection="1"/>
    <xf numFmtId="14" fontId="2" fillId="0" borderId="22" xfId="0" applyNumberFormat="1" applyFont="1" applyFill="1" applyBorder="1" applyProtection="1"/>
    <xf numFmtId="0" fontId="2" fillId="0" borderId="23" xfId="0" applyFont="1" applyFill="1" applyBorder="1" applyProtection="1"/>
    <xf numFmtId="0" fontId="2" fillId="0" borderId="23" xfId="0" applyFont="1" applyFill="1" applyBorder="1" applyAlignment="1" applyProtection="1">
      <alignment horizontal="left"/>
      <protection locked="0"/>
    </xf>
    <xf numFmtId="1" fontId="37" fillId="0" borderId="23" xfId="0" applyNumberFormat="1" applyFont="1" applyFill="1" applyBorder="1" applyAlignment="1" applyProtection="1">
      <alignment horizontal="center"/>
    </xf>
    <xf numFmtId="0" fontId="37" fillId="0" borderId="23" xfId="0" applyFont="1" applyFill="1" applyBorder="1" applyAlignment="1" applyProtection="1">
      <alignment horizontal="center"/>
    </xf>
    <xf numFmtId="0" fontId="2" fillId="0" borderId="23" xfId="0" applyFont="1" applyFill="1" applyBorder="1" applyAlignment="1" applyProtection="1">
      <alignment horizontal="center"/>
    </xf>
    <xf numFmtId="0" fontId="32" fillId="0" borderId="23" xfId="0" applyFont="1" applyFill="1" applyBorder="1" applyAlignment="1" applyProtection="1">
      <alignment horizontal="center"/>
    </xf>
    <xf numFmtId="0" fontId="11" fillId="0" borderId="23" xfId="0" applyFont="1" applyFill="1" applyBorder="1" applyProtection="1"/>
    <xf numFmtId="41" fontId="3" fillId="0" borderId="23" xfId="0" applyNumberFormat="1" applyFont="1" applyFill="1" applyBorder="1" applyProtection="1"/>
    <xf numFmtId="41" fontId="2" fillId="0" borderId="23" xfId="0" applyNumberFormat="1" applyFont="1" applyFill="1" applyBorder="1" applyProtection="1"/>
    <xf numFmtId="42" fontId="2" fillId="0" borderId="23" xfId="0" applyNumberFormat="1" applyFont="1" applyFill="1" applyBorder="1" applyProtection="1"/>
    <xf numFmtId="165" fontId="17" fillId="0" borderId="23" xfId="0" applyNumberFormat="1" applyFont="1" applyFill="1" applyBorder="1" applyAlignment="1" applyProtection="1">
      <alignment horizontal="center"/>
    </xf>
    <xf numFmtId="42" fontId="2" fillId="0" borderId="23" xfId="0" applyNumberFormat="1" applyFont="1" applyFill="1" applyBorder="1" applyProtection="1">
      <protection locked="0"/>
    </xf>
    <xf numFmtId="165" fontId="2" fillId="0" borderId="23" xfId="0" applyNumberFormat="1" applyFont="1" applyFill="1" applyBorder="1" applyProtection="1"/>
    <xf numFmtId="165" fontId="3" fillId="0" borderId="23" xfId="0" applyNumberFormat="1" applyFont="1" applyFill="1" applyBorder="1" applyProtection="1"/>
    <xf numFmtId="10" fontId="2" fillId="0" borderId="23" xfId="2" applyNumberFormat="1" applyFont="1" applyFill="1" applyBorder="1" applyProtection="1"/>
    <xf numFmtId="10" fontId="3" fillId="0" borderId="23" xfId="2" applyNumberFormat="1" applyFont="1" applyFill="1" applyBorder="1" applyAlignment="1" applyProtection="1">
      <alignment horizontal="center"/>
    </xf>
    <xf numFmtId="165" fontId="2" fillId="0" borderId="22" xfId="0" applyNumberFormat="1" applyFont="1" applyFill="1" applyBorder="1" applyProtection="1"/>
    <xf numFmtId="0" fontId="17" fillId="0" borderId="23" xfId="0" applyFont="1" applyFill="1" applyBorder="1" applyAlignment="1" applyProtection="1">
      <alignment horizontal="center"/>
    </xf>
    <xf numFmtId="0" fontId="3" fillId="0" borderId="23" xfId="0" applyFont="1" applyFill="1" applyBorder="1" applyProtection="1"/>
    <xf numFmtId="165" fontId="17" fillId="0" borderId="23" xfId="0" applyNumberFormat="1" applyFont="1" applyFill="1" applyBorder="1" applyAlignment="1" applyProtection="1">
      <alignment horizontal="left"/>
    </xf>
    <xf numFmtId="165" fontId="22" fillId="0" borderId="23" xfId="0" applyNumberFormat="1" applyFont="1" applyFill="1" applyBorder="1" applyAlignment="1" applyProtection="1">
      <alignment horizontal="right"/>
    </xf>
    <xf numFmtId="165" fontId="19" fillId="0" borderId="23" xfId="0" applyNumberFormat="1" applyFont="1" applyFill="1" applyBorder="1" applyAlignment="1" applyProtection="1">
      <alignment horizontal="left"/>
    </xf>
    <xf numFmtId="0" fontId="17" fillId="10" borderId="0" xfId="0" applyFont="1" applyFill="1" applyBorder="1" applyProtection="1"/>
    <xf numFmtId="0" fontId="37" fillId="0" borderId="25" xfId="0" applyFont="1" applyFill="1" applyBorder="1" applyProtection="1"/>
    <xf numFmtId="0" fontId="37" fillId="12" borderId="26" xfId="0" applyFont="1" applyFill="1" applyBorder="1" applyProtection="1"/>
    <xf numFmtId="0" fontId="2" fillId="12" borderId="26" xfId="0" applyFont="1" applyFill="1" applyBorder="1" applyProtection="1"/>
    <xf numFmtId="0" fontId="2" fillId="12" borderId="24" xfId="0" applyFont="1" applyFill="1" applyBorder="1" applyProtection="1"/>
    <xf numFmtId="10" fontId="3" fillId="10" borderId="12" xfId="0" applyNumberFormat="1" applyFont="1" applyFill="1" applyBorder="1" applyProtection="1"/>
    <xf numFmtId="42" fontId="2" fillId="10" borderId="0" xfId="0" applyNumberFormat="1" applyFont="1" applyFill="1" applyBorder="1" applyProtection="1"/>
    <xf numFmtId="42" fontId="2" fillId="8" borderId="0" xfId="0" applyNumberFormat="1" applyFont="1" applyFill="1" applyBorder="1" applyProtection="1"/>
    <xf numFmtId="42" fontId="2" fillId="11" borderId="0" xfId="0" applyNumberFormat="1" applyFont="1" applyFill="1" applyBorder="1" applyProtection="1"/>
    <xf numFmtId="42" fontId="3" fillId="11" borderId="0" xfId="0" applyNumberFormat="1" applyFont="1" applyFill="1" applyBorder="1" applyProtection="1"/>
    <xf numFmtId="42" fontId="2" fillId="10" borderId="12" xfId="0" applyNumberFormat="1" applyFont="1" applyFill="1" applyBorder="1" applyProtection="1"/>
    <xf numFmtId="42" fontId="3" fillId="10" borderId="12" xfId="0" applyNumberFormat="1" applyFont="1" applyFill="1" applyBorder="1" applyProtection="1"/>
    <xf numFmtId="165" fontId="3" fillId="0" borderId="25" xfId="0" applyNumberFormat="1" applyFont="1" applyFill="1" applyBorder="1" applyProtection="1"/>
    <xf numFmtId="0" fontId="48" fillId="10" borderId="27" xfId="0" applyFont="1" applyFill="1" applyBorder="1" applyAlignment="1" applyProtection="1">
      <alignment vertical="top"/>
    </xf>
    <xf numFmtId="0" fontId="31" fillId="10" borderId="12" xfId="0" applyFont="1" applyFill="1" applyBorder="1" applyAlignment="1" applyProtection="1">
      <alignment vertical="top"/>
    </xf>
    <xf numFmtId="0" fontId="46" fillId="10" borderId="12" xfId="0" applyFont="1" applyFill="1" applyBorder="1" applyAlignment="1" applyProtection="1">
      <alignment vertical="top"/>
    </xf>
    <xf numFmtId="0" fontId="47" fillId="10" borderId="12" xfId="0" applyFont="1" applyFill="1" applyBorder="1" applyAlignment="1" applyProtection="1">
      <alignment vertical="top"/>
    </xf>
    <xf numFmtId="42" fontId="3" fillId="8" borderId="12" xfId="0" applyNumberFormat="1" applyFont="1" applyFill="1" applyBorder="1" applyProtection="1"/>
    <xf numFmtId="42" fontId="3" fillId="0" borderId="12" xfId="0" applyNumberFormat="1" applyFont="1" applyFill="1" applyBorder="1" applyProtection="1"/>
    <xf numFmtId="42" fontId="17" fillId="8" borderId="12" xfId="0" applyNumberFormat="1" applyFont="1" applyFill="1" applyBorder="1" applyAlignment="1" applyProtection="1">
      <alignment horizontal="left"/>
    </xf>
    <xf numFmtId="42" fontId="17" fillId="0" borderId="12" xfId="0" applyNumberFormat="1" applyFont="1" applyFill="1" applyBorder="1" applyAlignment="1" applyProtection="1">
      <alignment horizontal="left"/>
    </xf>
    <xf numFmtId="42" fontId="22" fillId="5" borderId="12" xfId="0" applyNumberFormat="1" applyFont="1" applyFill="1" applyBorder="1" applyAlignment="1" applyProtection="1">
      <alignment horizontal="right"/>
    </xf>
    <xf numFmtId="42" fontId="2" fillId="11" borderId="12" xfId="0" applyNumberFormat="1" applyFont="1" applyFill="1" applyBorder="1" applyProtection="1"/>
    <xf numFmtId="42" fontId="3" fillId="5" borderId="12" xfId="0" applyNumberFormat="1" applyFont="1" applyFill="1" applyBorder="1" applyProtection="1"/>
    <xf numFmtId="42" fontId="3" fillId="11" borderId="12" xfId="0" applyNumberFormat="1" applyFont="1" applyFill="1" applyBorder="1" applyProtection="1"/>
    <xf numFmtId="42" fontId="2" fillId="11" borderId="12" xfId="0" applyNumberFormat="1" applyFont="1" applyFill="1" applyBorder="1" applyProtection="1">
      <protection locked="0"/>
    </xf>
    <xf numFmtId="175" fontId="2" fillId="10" borderId="0" xfId="0" applyNumberFormat="1" applyFont="1" applyFill="1" applyBorder="1" applyProtection="1"/>
    <xf numFmtId="170" fontId="3" fillId="10" borderId="0" xfId="0" applyNumberFormat="1" applyFont="1" applyFill="1" applyBorder="1" applyProtection="1"/>
    <xf numFmtId="0" fontId="2" fillId="4" borderId="28" xfId="0" applyFont="1" applyFill="1" applyBorder="1" applyProtection="1"/>
    <xf numFmtId="4" fontId="2" fillId="10" borderId="29" xfId="0" applyNumberFormat="1" applyFont="1" applyFill="1" applyBorder="1" applyProtection="1"/>
    <xf numFmtId="0" fontId="2" fillId="10" borderId="30" xfId="0" applyFont="1" applyFill="1" applyBorder="1" applyProtection="1"/>
    <xf numFmtId="4" fontId="2" fillId="10" borderId="31" xfId="0" applyNumberFormat="1" applyFont="1" applyFill="1" applyBorder="1" applyProtection="1"/>
    <xf numFmtId="0" fontId="2" fillId="10" borderId="32" xfId="0" applyFont="1" applyFill="1" applyBorder="1" applyProtection="1"/>
    <xf numFmtId="4" fontId="3" fillId="10" borderId="34" xfId="0" applyNumberFormat="1" applyFont="1" applyFill="1" applyBorder="1" applyProtection="1"/>
    <xf numFmtId="0" fontId="3" fillId="10" borderId="33" xfId="0" applyFont="1" applyFill="1" applyBorder="1" applyProtection="1"/>
    <xf numFmtId="0" fontId="49" fillId="0" borderId="0" xfId="0" applyFont="1" applyAlignment="1">
      <alignment vertical="center"/>
    </xf>
    <xf numFmtId="0" fontId="50" fillId="0" borderId="0" xfId="0" applyFont="1"/>
    <xf numFmtId="0" fontId="51" fillId="0" borderId="0" xfId="0" applyFont="1" applyAlignment="1">
      <alignment horizontal="left" vertical="center" indent="2"/>
    </xf>
    <xf numFmtId="0" fontId="51" fillId="0" borderId="0" xfId="0" applyFont="1" applyAlignment="1">
      <alignment vertical="center"/>
    </xf>
    <xf numFmtId="0" fontId="53" fillId="0" borderId="0" xfId="0" applyFont="1" applyAlignment="1">
      <alignment vertical="center"/>
    </xf>
    <xf numFmtId="0" fontId="54" fillId="0" borderId="0" xfId="0" applyFont="1"/>
    <xf numFmtId="0" fontId="49" fillId="10" borderId="0" xfId="0" applyFont="1" applyFill="1" applyAlignment="1">
      <alignment vertical="center"/>
    </xf>
    <xf numFmtId="0" fontId="50" fillId="10" borderId="0" xfId="0" applyFont="1" applyFill="1"/>
    <xf numFmtId="0" fontId="51" fillId="10" borderId="0" xfId="0" applyFont="1" applyFill="1" applyAlignment="1">
      <alignment horizontal="left" vertical="center" indent="2"/>
    </xf>
    <xf numFmtId="0" fontId="51" fillId="10" borderId="0" xfId="0" applyFont="1" applyFill="1" applyAlignment="1">
      <alignment vertical="center"/>
    </xf>
    <xf numFmtId="0" fontId="53" fillId="10" borderId="0" xfId="0" applyFont="1" applyFill="1" applyAlignment="1">
      <alignment vertical="center"/>
    </xf>
    <xf numFmtId="0" fontId="54" fillId="10" borderId="0" xfId="0" applyFont="1" applyFill="1"/>
    <xf numFmtId="0" fontId="7" fillId="4" borderId="0" xfId="0" applyFont="1" applyFill="1" applyBorder="1" applyAlignment="1" applyProtection="1">
      <alignment horizontal="left"/>
    </xf>
    <xf numFmtId="0" fontId="31" fillId="13" borderId="0" xfId="0" applyFont="1" applyFill="1" applyAlignment="1">
      <alignment horizontal="center"/>
    </xf>
    <xf numFmtId="0" fontId="31" fillId="13" borderId="0" xfId="0" applyFont="1" applyFill="1" applyAlignment="1">
      <alignment horizontal="left"/>
    </xf>
    <xf numFmtId="0" fontId="46" fillId="13" borderId="0" xfId="0" applyFont="1" applyFill="1" applyAlignment="1">
      <alignment horizontal="center"/>
    </xf>
    <xf numFmtId="0" fontId="55" fillId="13" borderId="0" xfId="0" applyFont="1" applyFill="1" applyAlignment="1">
      <alignment horizontal="center"/>
    </xf>
    <xf numFmtId="0" fontId="56" fillId="13" borderId="0" xfId="0" applyFont="1" applyFill="1" applyAlignment="1">
      <alignment horizontal="center"/>
    </xf>
    <xf numFmtId="0" fontId="57" fillId="13" borderId="0" xfId="0" applyFont="1" applyFill="1" applyAlignment="1">
      <alignment horizontal="center"/>
    </xf>
    <xf numFmtId="0" fontId="58" fillId="13" borderId="0" xfId="0" applyFont="1" applyFill="1" applyAlignment="1">
      <alignment horizontal="center"/>
    </xf>
    <xf numFmtId="0" fontId="58" fillId="13" borderId="0" xfId="0" applyFont="1" applyFill="1"/>
    <xf numFmtId="0" fontId="31" fillId="4" borderId="35" xfId="0" applyFont="1" applyFill="1" applyBorder="1" applyAlignment="1">
      <alignment horizontal="center"/>
    </xf>
    <xf numFmtId="0" fontId="31" fillId="4" borderId="36" xfId="0" applyFont="1" applyFill="1" applyBorder="1" applyAlignment="1">
      <alignment horizontal="center"/>
    </xf>
    <xf numFmtId="0" fontId="31" fillId="4" borderId="36" xfId="0" applyFont="1" applyFill="1" applyBorder="1" applyAlignment="1">
      <alignment horizontal="left"/>
    </xf>
    <xf numFmtId="0" fontId="46" fillId="4" borderId="36" xfId="0" applyFont="1" applyFill="1" applyBorder="1" applyAlignment="1">
      <alignment horizontal="center"/>
    </xf>
    <xf numFmtId="0" fontId="55" fillId="4" borderId="36" xfId="0" applyFont="1" applyFill="1" applyBorder="1" applyAlignment="1">
      <alignment horizontal="center"/>
    </xf>
    <xf numFmtId="0" fontId="56" fillId="4" borderId="36" xfId="0" applyFont="1" applyFill="1" applyBorder="1" applyAlignment="1">
      <alignment horizontal="center"/>
    </xf>
    <xf numFmtId="0" fontId="57" fillId="4" borderId="36" xfId="0" applyFont="1" applyFill="1" applyBorder="1" applyAlignment="1">
      <alignment horizontal="center"/>
    </xf>
    <xf numFmtId="0" fontId="31" fillId="4" borderId="37" xfId="0" applyFont="1" applyFill="1" applyBorder="1" applyAlignment="1">
      <alignment horizontal="center"/>
    </xf>
    <xf numFmtId="0" fontId="31" fillId="3" borderId="0" xfId="0" applyFont="1" applyFill="1" applyAlignment="1">
      <alignment horizontal="center"/>
    </xf>
    <xf numFmtId="0" fontId="31" fillId="4" borderId="38" xfId="0" applyFont="1" applyFill="1" applyBorder="1" applyAlignment="1">
      <alignment horizontal="center"/>
    </xf>
    <xf numFmtId="0" fontId="31" fillId="4" borderId="0" xfId="0" applyFont="1" applyFill="1" applyAlignment="1">
      <alignment horizontal="center"/>
    </xf>
    <xf numFmtId="0" fontId="31" fillId="4" borderId="0" xfId="0" applyFont="1" applyFill="1" applyAlignment="1">
      <alignment horizontal="left"/>
    </xf>
    <xf numFmtId="0" fontId="46" fillId="4" borderId="0" xfId="0" applyFont="1" applyFill="1" applyAlignment="1">
      <alignment horizontal="center"/>
    </xf>
    <xf numFmtId="0" fontId="55" fillId="4" borderId="0" xfId="0" applyFont="1" applyFill="1" applyAlignment="1">
      <alignment horizontal="center"/>
    </xf>
    <xf numFmtId="0" fontId="56" fillId="4" borderId="0" xfId="0" applyFont="1" applyFill="1" applyAlignment="1">
      <alignment horizontal="center"/>
    </xf>
    <xf numFmtId="0" fontId="57" fillId="4" borderId="0" xfId="0" applyFont="1" applyFill="1" applyAlignment="1">
      <alignment horizontal="center"/>
    </xf>
    <xf numFmtId="0" fontId="31" fillId="4" borderId="39" xfId="0" applyFont="1" applyFill="1" applyBorder="1" applyAlignment="1">
      <alignment horizontal="center"/>
    </xf>
    <xf numFmtId="0" fontId="59" fillId="13" borderId="0" xfId="0" applyFont="1" applyFill="1" applyAlignment="1">
      <alignment horizontal="center"/>
    </xf>
    <xf numFmtId="0" fontId="59" fillId="4" borderId="38" xfId="0" applyFont="1" applyFill="1" applyBorder="1" applyAlignment="1">
      <alignment horizontal="center"/>
    </xf>
    <xf numFmtId="0" fontId="60" fillId="4" borderId="0" xfId="0" applyFont="1" applyFill="1" applyAlignment="1">
      <alignment horizontal="left"/>
    </xf>
    <xf numFmtId="0" fontId="59" fillId="4" borderId="0" xfId="0" applyFont="1" applyFill="1" applyAlignment="1">
      <alignment horizontal="left"/>
    </xf>
    <xf numFmtId="0" fontId="59" fillId="4" borderId="0" xfId="0" applyFont="1" applyFill="1" applyAlignment="1">
      <alignment horizontal="center"/>
    </xf>
    <xf numFmtId="170" fontId="60" fillId="4" borderId="0" xfId="0" applyNumberFormat="1" applyFont="1" applyFill="1" applyAlignment="1">
      <alignment horizontal="center"/>
    </xf>
    <xf numFmtId="170" fontId="60" fillId="0" borderId="0" xfId="0" applyNumberFormat="1" applyFont="1" applyAlignment="1">
      <alignment horizontal="center"/>
    </xf>
    <xf numFmtId="0" fontId="61" fillId="4" borderId="0" xfId="0" applyFont="1" applyFill="1" applyAlignment="1">
      <alignment horizontal="center"/>
    </xf>
    <xf numFmtId="174" fontId="59" fillId="4" borderId="0" xfId="0" applyNumberFormat="1" applyFont="1" applyFill="1" applyAlignment="1">
      <alignment horizontal="center"/>
    </xf>
    <xf numFmtId="0" fontId="62" fillId="4" borderId="0" xfId="0" applyFont="1" applyFill="1" applyAlignment="1">
      <alignment horizontal="center"/>
    </xf>
    <xf numFmtId="0" fontId="63" fillId="4" borderId="0" xfId="0" applyFont="1" applyFill="1" applyAlignment="1">
      <alignment horizontal="center"/>
    </xf>
    <xf numFmtId="0" fontId="64" fillId="4" borderId="0" xfId="0" applyFont="1" applyFill="1" applyAlignment="1">
      <alignment horizontal="center"/>
    </xf>
    <xf numFmtId="0" fontId="59" fillId="4" borderId="39" xfId="0" applyFont="1" applyFill="1" applyBorder="1" applyAlignment="1">
      <alignment horizontal="center"/>
    </xf>
    <xf numFmtId="0" fontId="65" fillId="13" borderId="0" xfId="0" applyFont="1" applyFill="1" applyAlignment="1">
      <alignment horizontal="center"/>
    </xf>
    <xf numFmtId="174" fontId="65" fillId="13" borderId="0" xfId="0" applyNumberFormat="1" applyFont="1" applyFill="1" applyAlignment="1">
      <alignment horizontal="center"/>
    </xf>
    <xf numFmtId="0" fontId="65" fillId="13" borderId="0" xfId="0" applyFont="1" applyFill="1"/>
    <xf numFmtId="0" fontId="59" fillId="3" borderId="0" xfId="0" applyFont="1" applyFill="1" applyAlignment="1">
      <alignment horizontal="center"/>
    </xf>
    <xf numFmtId="0" fontId="66" fillId="4" borderId="0" xfId="0" applyFont="1" applyFill="1" applyAlignment="1">
      <alignment horizontal="left"/>
    </xf>
    <xf numFmtId="0" fontId="67" fillId="13" borderId="0" xfId="0" applyFont="1" applyFill="1" applyAlignment="1">
      <alignment horizontal="center"/>
    </xf>
    <xf numFmtId="0" fontId="67" fillId="4" borderId="38" xfId="0" applyFont="1" applyFill="1" applyBorder="1" applyAlignment="1">
      <alignment horizontal="center"/>
    </xf>
    <xf numFmtId="0" fontId="67" fillId="4" borderId="0" xfId="0" applyFont="1" applyFill="1" applyAlignment="1">
      <alignment horizontal="center"/>
    </xf>
    <xf numFmtId="0" fontId="67" fillId="4" borderId="0" xfId="0" applyFont="1" applyFill="1" applyAlignment="1">
      <alignment horizontal="left"/>
    </xf>
    <xf numFmtId="165" fontId="68" fillId="4" borderId="0" xfId="0" applyNumberFormat="1" applyFont="1" applyFill="1" applyAlignment="1">
      <alignment horizontal="center"/>
    </xf>
    <xf numFmtId="0" fontId="68" fillId="4" borderId="0" xfId="0" applyFont="1" applyFill="1" applyAlignment="1">
      <alignment horizontal="center"/>
    </xf>
    <xf numFmtId="0" fontId="69" fillId="4" borderId="0" xfId="0" applyFont="1" applyFill="1" applyAlignment="1">
      <alignment horizontal="center"/>
    </xf>
    <xf numFmtId="0" fontId="70" fillId="4" borderId="0" xfId="0" applyFont="1" applyFill="1" applyAlignment="1">
      <alignment horizontal="center"/>
    </xf>
    <xf numFmtId="0" fontId="71" fillId="4" borderId="0" xfId="0" applyFont="1" applyFill="1" applyAlignment="1">
      <alignment horizontal="center"/>
    </xf>
    <xf numFmtId="0" fontId="67" fillId="4" borderId="39" xfId="0" applyFont="1" applyFill="1" applyBorder="1" applyAlignment="1">
      <alignment horizontal="center"/>
    </xf>
    <xf numFmtId="0" fontId="72" fillId="13" borderId="0" xfId="0" applyFont="1" applyFill="1" applyAlignment="1">
      <alignment horizontal="center"/>
    </xf>
    <xf numFmtId="0" fontId="72" fillId="13" borderId="0" xfId="0" applyFont="1" applyFill="1"/>
    <xf numFmtId="0" fontId="67" fillId="3" borderId="0" xfId="0" applyFont="1" applyFill="1" applyAlignment="1">
      <alignment horizontal="center"/>
    </xf>
    <xf numFmtId="0" fontId="73" fillId="13" borderId="0" xfId="0" applyFont="1" applyFill="1" applyAlignment="1">
      <alignment horizontal="center"/>
    </xf>
    <xf numFmtId="0" fontId="73" fillId="4" borderId="38" xfId="0" applyFont="1" applyFill="1" applyBorder="1" applyAlignment="1">
      <alignment horizontal="center"/>
    </xf>
    <xf numFmtId="0" fontId="73" fillId="4" borderId="0" xfId="0" applyFont="1" applyFill="1" applyAlignment="1">
      <alignment horizontal="center"/>
    </xf>
    <xf numFmtId="0" fontId="74" fillId="4" borderId="0" xfId="0" applyFont="1" applyFill="1"/>
    <xf numFmtId="165" fontId="75" fillId="4" borderId="0" xfId="0" applyNumberFormat="1" applyFont="1" applyFill="1" applyAlignment="1">
      <alignment horizontal="center"/>
    </xf>
    <xf numFmtId="0" fontId="73" fillId="12" borderId="0" xfId="0" applyFont="1" applyFill="1" applyAlignment="1">
      <alignment horizontal="center"/>
    </xf>
    <xf numFmtId="0" fontId="75" fillId="4" borderId="0" xfId="0" applyFont="1" applyFill="1" applyAlignment="1">
      <alignment horizontal="left"/>
    </xf>
    <xf numFmtId="0" fontId="69" fillId="12" borderId="0" xfId="0" applyFont="1" applyFill="1" applyAlignment="1">
      <alignment horizontal="center"/>
    </xf>
    <xf numFmtId="165" fontId="67" fillId="4" borderId="0" xfId="0" applyNumberFormat="1" applyFont="1" applyFill="1" applyAlignment="1">
      <alignment horizontal="center"/>
    </xf>
    <xf numFmtId="0" fontId="71" fillId="12" borderId="0" xfId="0" applyFont="1" applyFill="1" applyAlignment="1">
      <alignment horizontal="center"/>
    </xf>
    <xf numFmtId="0" fontId="73" fillId="4" borderId="39" xfId="0" applyFont="1" applyFill="1" applyBorder="1" applyAlignment="1">
      <alignment horizontal="center"/>
    </xf>
    <xf numFmtId="0" fontId="72" fillId="13" borderId="0" xfId="0" applyFont="1" applyFill="1" applyAlignment="1">
      <alignment horizontal="left"/>
    </xf>
    <xf numFmtId="0" fontId="73" fillId="3" borderId="0" xfId="0" applyFont="1" applyFill="1" applyAlignment="1">
      <alignment horizontal="center"/>
    </xf>
    <xf numFmtId="0" fontId="76" fillId="4" borderId="0" xfId="0" applyFont="1" applyFill="1" applyAlignment="1">
      <alignment horizontal="center"/>
    </xf>
    <xf numFmtId="10" fontId="77" fillId="4" borderId="0" xfId="0" applyNumberFormat="1" applyFont="1" applyFill="1" applyAlignment="1">
      <alignment horizontal="center"/>
    </xf>
    <xf numFmtId="0" fontId="79" fillId="4" borderId="0" xfId="0" applyFont="1" applyFill="1" applyAlignment="1">
      <alignment horizontal="center"/>
    </xf>
    <xf numFmtId="0" fontId="79" fillId="12" borderId="0" xfId="0" applyFont="1" applyFill="1"/>
    <xf numFmtId="0" fontId="79" fillId="4" borderId="0" xfId="0" applyFont="1" applyFill="1" applyAlignment="1">
      <alignment horizontal="left"/>
    </xf>
    <xf numFmtId="0" fontId="80" fillId="4" borderId="0" xfId="0" applyFont="1" applyFill="1" applyAlignment="1">
      <alignment horizontal="center"/>
    </xf>
    <xf numFmtId="0" fontId="80" fillId="12" borderId="0" xfId="0" applyFont="1" applyFill="1" applyAlignment="1">
      <alignment horizontal="center"/>
    </xf>
    <xf numFmtId="17" fontId="67" fillId="4" borderId="0" xfId="0" applyNumberFormat="1" applyFont="1" applyFill="1" applyAlignment="1">
      <alignment horizontal="center"/>
    </xf>
    <xf numFmtId="0" fontId="77" fillId="12" borderId="0" xfId="0" applyFont="1" applyFill="1" applyAlignment="1">
      <alignment horizontal="center"/>
    </xf>
    <xf numFmtId="0" fontId="68" fillId="12" borderId="0" xfId="0" applyFont="1" applyFill="1" applyAlignment="1">
      <alignment horizontal="center"/>
    </xf>
    <xf numFmtId="14" fontId="72" fillId="13" borderId="0" xfId="0" applyNumberFormat="1" applyFont="1" applyFill="1" applyAlignment="1">
      <alignment horizontal="center"/>
    </xf>
    <xf numFmtId="0" fontId="81" fillId="13" borderId="0" xfId="0" applyFont="1" applyFill="1" applyAlignment="1">
      <alignment horizontal="center"/>
    </xf>
    <xf numFmtId="0" fontId="82" fillId="4" borderId="0" xfId="0" applyFont="1" applyFill="1" applyAlignment="1">
      <alignment horizontal="center"/>
    </xf>
    <xf numFmtId="0" fontId="83" fillId="4" borderId="0" xfId="0" applyFont="1" applyFill="1" applyAlignment="1">
      <alignment horizontal="center"/>
    </xf>
    <xf numFmtId="0" fontId="67" fillId="3" borderId="41" xfId="0" applyFont="1" applyFill="1" applyBorder="1" applyAlignment="1">
      <alignment horizontal="center"/>
    </xf>
    <xf numFmtId="0" fontId="67" fillId="3" borderId="41" xfId="0" applyFont="1" applyFill="1" applyBorder="1" applyAlignment="1">
      <alignment horizontal="left"/>
    </xf>
    <xf numFmtId="174" fontId="76" fillId="14" borderId="41" xfId="0" applyNumberFormat="1" applyFont="1" applyFill="1" applyBorder="1" applyAlignment="1">
      <alignment horizontal="center"/>
    </xf>
    <xf numFmtId="0" fontId="68" fillId="3" borderId="41" xfId="0" applyFont="1" applyFill="1" applyBorder="1" applyAlignment="1">
      <alignment horizontal="center"/>
    </xf>
    <xf numFmtId="0" fontId="82" fillId="3" borderId="41" xfId="0" applyFont="1" applyFill="1" applyBorder="1" applyAlignment="1">
      <alignment horizontal="center"/>
    </xf>
    <xf numFmtId="0" fontId="70" fillId="3" borderId="41" xfId="0" applyFont="1" applyFill="1" applyBorder="1" applyAlignment="1">
      <alignment horizontal="center"/>
    </xf>
    <xf numFmtId="0" fontId="83" fillId="3" borderId="41" xfId="0" applyFont="1" applyFill="1" applyBorder="1" applyAlignment="1">
      <alignment horizontal="center"/>
    </xf>
    <xf numFmtId="0" fontId="80" fillId="3" borderId="41" xfId="0" applyFont="1" applyFill="1" applyBorder="1" applyAlignment="1">
      <alignment horizontal="center"/>
    </xf>
    <xf numFmtId="170" fontId="76" fillId="14" borderId="41" xfId="2" applyNumberFormat="1" applyFont="1" applyFill="1" applyBorder="1" applyAlignment="1">
      <alignment horizontal="center"/>
    </xf>
    <xf numFmtId="0" fontId="67" fillId="4" borderId="41" xfId="0" applyFont="1" applyFill="1" applyBorder="1" applyAlignment="1" applyProtection="1">
      <alignment horizontal="left"/>
      <protection locked="0"/>
    </xf>
    <xf numFmtId="14" fontId="67" fillId="4" borderId="41" xfId="0" applyNumberFormat="1" applyFont="1" applyFill="1" applyBorder="1" applyAlignment="1" applyProtection="1">
      <alignment horizontal="center"/>
      <protection locked="0"/>
    </xf>
    <xf numFmtId="0" fontId="67" fillId="4" borderId="41" xfId="0" applyFont="1" applyFill="1" applyBorder="1" applyAlignment="1" applyProtection="1">
      <alignment horizontal="center"/>
      <protection locked="0"/>
    </xf>
    <xf numFmtId="166" fontId="67" fillId="4" borderId="41" xfId="0" applyNumberFormat="1" applyFont="1" applyFill="1" applyBorder="1" applyAlignment="1" applyProtection="1">
      <alignment horizontal="center"/>
      <protection locked="0"/>
    </xf>
    <xf numFmtId="0" fontId="67" fillId="4" borderId="41" xfId="2" applyNumberFormat="1" applyFont="1" applyFill="1" applyBorder="1" applyAlignment="1" applyProtection="1">
      <alignment horizontal="center"/>
      <protection locked="0"/>
    </xf>
    <xf numFmtId="174" fontId="67" fillId="8" borderId="41" xfId="0" applyNumberFormat="1" applyFont="1" applyFill="1" applyBorder="1" applyAlignment="1">
      <alignment horizontal="center"/>
    </xf>
    <xf numFmtId="174" fontId="67" fillId="14" borderId="41" xfId="0" applyNumberFormat="1" applyFont="1" applyFill="1" applyBorder="1" applyAlignment="1">
      <alignment horizontal="center"/>
    </xf>
    <xf numFmtId="174" fontId="68" fillId="8" borderId="41" xfId="0" applyNumberFormat="1" applyFont="1" applyFill="1" applyBorder="1" applyAlignment="1">
      <alignment horizontal="center"/>
    </xf>
    <xf numFmtId="174" fontId="82" fillId="8" borderId="41" xfId="0" applyNumberFormat="1" applyFont="1" applyFill="1" applyBorder="1" applyAlignment="1">
      <alignment horizontal="center"/>
    </xf>
    <xf numFmtId="174" fontId="83" fillId="8" borderId="41" xfId="0" applyNumberFormat="1" applyFont="1" applyFill="1" applyBorder="1" applyAlignment="1">
      <alignment horizontal="center"/>
    </xf>
    <xf numFmtId="174" fontId="80" fillId="0" borderId="41" xfId="0" applyNumberFormat="1" applyFont="1" applyBorder="1" applyAlignment="1" applyProtection="1">
      <alignment horizontal="center"/>
      <protection locked="0"/>
    </xf>
    <xf numFmtId="170" fontId="67" fillId="14" borderId="41" xfId="2" applyNumberFormat="1" applyFont="1" applyFill="1" applyBorder="1" applyAlignment="1">
      <alignment horizontal="center"/>
    </xf>
    <xf numFmtId="1" fontId="72" fillId="13" borderId="0" xfId="0" applyNumberFormat="1" applyFont="1" applyFill="1" applyAlignment="1">
      <alignment horizontal="center"/>
    </xf>
    <xf numFmtId="9" fontId="72" fillId="13" borderId="0" xfId="0" applyNumberFormat="1" applyFont="1" applyFill="1" applyAlignment="1">
      <alignment horizontal="center"/>
    </xf>
    <xf numFmtId="10" fontId="72" fillId="13" borderId="0" xfId="0" applyNumberFormat="1" applyFont="1" applyFill="1" applyAlignment="1">
      <alignment horizontal="center"/>
    </xf>
    <xf numFmtId="165" fontId="72" fillId="13" borderId="0" xfId="0" applyNumberFormat="1" applyFont="1" applyFill="1" applyAlignment="1">
      <alignment horizontal="left"/>
    </xf>
    <xf numFmtId="165" fontId="72" fillId="13" borderId="0" xfId="0" applyNumberFormat="1" applyFont="1" applyFill="1" applyAlignment="1">
      <alignment horizontal="right"/>
    </xf>
    <xf numFmtId="165" fontId="72" fillId="13" borderId="0" xfId="0" applyNumberFormat="1" applyFont="1" applyFill="1"/>
    <xf numFmtId="176" fontId="72" fillId="13" borderId="0" xfId="0" applyNumberFormat="1" applyFont="1" applyFill="1"/>
    <xf numFmtId="2" fontId="72" fillId="13" borderId="0" xfId="0" applyNumberFormat="1" applyFont="1" applyFill="1" applyAlignment="1">
      <alignment horizontal="center"/>
    </xf>
    <xf numFmtId="0" fontId="69" fillId="3" borderId="41" xfId="0" applyFont="1" applyFill="1" applyBorder="1" applyAlignment="1">
      <alignment horizontal="center"/>
    </xf>
    <xf numFmtId="0" fontId="71" fillId="3" borderId="41" xfId="0" applyFont="1" applyFill="1" applyBorder="1" applyAlignment="1">
      <alignment horizontal="center"/>
    </xf>
    <xf numFmtId="0" fontId="67" fillId="4" borderId="42" xfId="0" applyFont="1" applyFill="1" applyBorder="1" applyAlignment="1">
      <alignment horizontal="center"/>
    </xf>
    <xf numFmtId="0" fontId="67" fillId="4" borderId="43" xfId="0" applyFont="1" applyFill="1" applyBorder="1" applyAlignment="1">
      <alignment horizontal="center"/>
    </xf>
    <xf numFmtId="0" fontId="67" fillId="4" borderId="43" xfId="0" applyFont="1" applyFill="1" applyBorder="1" applyAlignment="1">
      <alignment horizontal="left"/>
    </xf>
    <xf numFmtId="0" fontId="68" fillId="4" borderId="43" xfId="0" applyFont="1" applyFill="1" applyBorder="1" applyAlignment="1">
      <alignment horizontal="center"/>
    </xf>
    <xf numFmtId="0" fontId="69" fillId="4" borderId="43" xfId="0" applyFont="1" applyFill="1" applyBorder="1" applyAlignment="1">
      <alignment horizontal="center"/>
    </xf>
    <xf numFmtId="0" fontId="70" fillId="4" borderId="43" xfId="0" applyFont="1" applyFill="1" applyBorder="1" applyAlignment="1">
      <alignment horizontal="center"/>
    </xf>
    <xf numFmtId="0" fontId="71" fillId="4" borderId="43" xfId="0" applyFont="1" applyFill="1" applyBorder="1" applyAlignment="1">
      <alignment horizontal="center"/>
    </xf>
    <xf numFmtId="0" fontId="67" fillId="4" borderId="44" xfId="0" applyFont="1" applyFill="1" applyBorder="1" applyAlignment="1">
      <alignment horizontal="center"/>
    </xf>
    <xf numFmtId="0" fontId="84" fillId="13" borderId="0" xfId="0" applyFont="1" applyFill="1" applyAlignment="1">
      <alignment horizontal="center"/>
    </xf>
    <xf numFmtId="0" fontId="84" fillId="13" borderId="0" xfId="0" applyFont="1" applyFill="1" applyAlignment="1">
      <alignment horizontal="left"/>
    </xf>
    <xf numFmtId="0" fontId="86" fillId="13" borderId="0" xfId="0" applyFont="1" applyFill="1" applyAlignment="1">
      <alignment horizontal="center"/>
    </xf>
    <xf numFmtId="0" fontId="85" fillId="13" borderId="0" xfId="0" applyFont="1" applyFill="1" applyAlignment="1">
      <alignment horizontal="left"/>
    </xf>
    <xf numFmtId="0" fontId="31" fillId="3" borderId="0" xfId="0" applyFont="1" applyFill="1" applyAlignment="1">
      <alignment horizontal="left"/>
    </xf>
    <xf numFmtId="0" fontId="46" fillId="3" borderId="0" xfId="0" applyFont="1" applyFill="1" applyAlignment="1">
      <alignment horizontal="center"/>
    </xf>
    <xf numFmtId="0" fontId="55" fillId="3" borderId="0" xfId="0" applyFont="1" applyFill="1" applyAlignment="1">
      <alignment horizontal="center"/>
    </xf>
    <xf numFmtId="0" fontId="56" fillId="3" borderId="0" xfId="0" applyFont="1" applyFill="1" applyAlignment="1">
      <alignment horizontal="center"/>
    </xf>
    <xf numFmtId="0" fontId="57" fillId="3" borderId="0" xfId="0" applyFont="1" applyFill="1" applyAlignment="1">
      <alignment horizontal="center"/>
    </xf>
    <xf numFmtId="1" fontId="88" fillId="13" borderId="0" xfId="0" applyNumberFormat="1" applyFont="1" applyFill="1" applyAlignment="1" applyProtection="1">
      <alignment horizontal="right"/>
    </xf>
    <xf numFmtId="0" fontId="67" fillId="4" borderId="0" xfId="0" applyFont="1" applyFill="1" applyAlignment="1">
      <alignment horizontal="center"/>
    </xf>
    <xf numFmtId="0" fontId="78" fillId="15" borderId="0" xfId="0" applyFont="1" applyFill="1" applyAlignment="1">
      <alignment horizontal="center"/>
    </xf>
    <xf numFmtId="0" fontId="79" fillId="4" borderId="41" xfId="0" applyFont="1" applyFill="1" applyBorder="1" applyAlignment="1" applyProtection="1">
      <alignment horizontal="left"/>
      <protection locked="0"/>
    </xf>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67" fillId="4" borderId="0" xfId="0" applyFont="1" applyFill="1" applyAlignment="1">
      <alignment horizontal="center"/>
    </xf>
    <xf numFmtId="0" fontId="79" fillId="12" borderId="0" xfId="0" applyFont="1" applyFill="1" applyAlignment="1">
      <alignment horizontal="center" wrapText="1"/>
    </xf>
    <xf numFmtId="0" fontId="79" fillId="12" borderId="40" xfId="0" applyFont="1" applyFill="1" applyBorder="1" applyAlignment="1">
      <alignment horizontal="center" wrapText="1"/>
    </xf>
    <xf numFmtId="0" fontId="67" fillId="4" borderId="0" xfId="0" applyFont="1" applyFill="1" applyAlignment="1">
      <alignment horizontal="center" wrapText="1"/>
    </xf>
    <xf numFmtId="0" fontId="67" fillId="4" borderId="40" xfId="0" applyFont="1" applyFill="1" applyBorder="1" applyAlignment="1">
      <alignment horizontal="center" wrapText="1"/>
    </xf>
    <xf numFmtId="0" fontId="76" fillId="12" borderId="0" xfId="0" applyFont="1" applyFill="1" applyAlignment="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5"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FFFF99"/>
      <color rgb="FF99CCFF"/>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332815</xdr:colOff>
      <xdr:row>2</xdr:row>
      <xdr:rowOff>17369</xdr:rowOff>
    </xdr:from>
    <xdr:to>
      <xdr:col>14</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17</xdr:row>
      <xdr:rowOff>47624</xdr:rowOff>
    </xdr:from>
    <xdr:to>
      <xdr:col>7</xdr:col>
      <xdr:colOff>317500</xdr:colOff>
      <xdr:row>21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bbe/Documents/Instrumenten/toolbox%202019/po/Werkgeverslasten%20PO%202019%20vs%204%20maar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wgl"/>
      <sheetName val="Blad1"/>
      <sheetName val="wgl tot"/>
      <sheetName val="tabellen"/>
      <sheetName val="Blad2"/>
    </sheetNames>
    <sheetDataSet>
      <sheetData sheetId="0"/>
      <sheetData sheetId="1">
        <row r="5">
          <cell r="C5" t="str">
            <v xml:space="preserve"> vanaf 1 januari  2019</v>
          </cell>
        </row>
      </sheetData>
      <sheetData sheetId="2"/>
      <sheetData sheetId="3">
        <row r="12">
          <cell r="BM12">
            <v>2929.4995333333336</v>
          </cell>
          <cell r="BN12">
            <v>203.6</v>
          </cell>
          <cell r="BU12"/>
        </row>
        <row r="13">
          <cell r="BL13">
            <v>102.57304999999999</v>
          </cell>
          <cell r="BM13">
            <v>2421.67695</v>
          </cell>
          <cell r="BN13">
            <v>168.31</v>
          </cell>
        </row>
        <row r="14">
          <cell r="BL14" t="e">
            <v>#DIV/0!</v>
          </cell>
          <cell r="BM14" t="e">
            <v>#DIV/0!</v>
          </cell>
          <cell r="BN14" t="e">
            <v>#DIV/0!</v>
          </cell>
        </row>
        <row r="15">
          <cell r="BL15" t="e">
            <v>#DIV/0!</v>
          </cell>
          <cell r="BM15" t="e">
            <v>#DIV/0!</v>
          </cell>
          <cell r="BN15" t="e">
            <v>#DIV/0!</v>
          </cell>
        </row>
        <row r="16">
          <cell r="BL16" t="e">
            <v>#DIV/0!</v>
          </cell>
          <cell r="BM16" t="e">
            <v>#DIV/0!</v>
          </cell>
          <cell r="BN16" t="e">
            <v>#DIV/0!</v>
          </cell>
        </row>
        <row r="17">
          <cell r="BL17" t="e">
            <v>#DIV/0!</v>
          </cell>
          <cell r="BM17" t="e">
            <v>#DIV/0!</v>
          </cell>
          <cell r="BN17" t="e">
            <v>#DIV/0!</v>
          </cell>
        </row>
        <row r="18">
          <cell r="BL18" t="e">
            <v>#DIV/0!</v>
          </cell>
          <cell r="BM18" t="e">
            <v>#DIV/0!</v>
          </cell>
          <cell r="BN18" t="e">
            <v>#DIV/0!</v>
          </cell>
        </row>
        <row r="19">
          <cell r="BL19" t="e">
            <v>#DIV/0!</v>
          </cell>
          <cell r="BM19" t="e">
            <v>#DIV/0!</v>
          </cell>
          <cell r="BN19" t="e">
            <v>#DIV/0!</v>
          </cell>
        </row>
        <row r="20">
          <cell r="BL20" t="e">
            <v>#DIV/0!</v>
          </cell>
          <cell r="BM20" t="e">
            <v>#DIV/0!</v>
          </cell>
          <cell r="BN20" t="e">
            <v>#DIV/0!</v>
          </cell>
        </row>
        <row r="21">
          <cell r="BL21" t="e">
            <v>#DIV/0!</v>
          </cell>
          <cell r="BM21" t="e">
            <v>#DIV/0!</v>
          </cell>
          <cell r="BN21" t="e">
            <v>#DIV/0!</v>
          </cell>
        </row>
        <row r="22">
          <cell r="BL22" t="e">
            <v>#DIV/0!</v>
          </cell>
          <cell r="BM22" t="e">
            <v>#DIV/0!</v>
          </cell>
          <cell r="BN22" t="e">
            <v>#DIV/0!</v>
          </cell>
        </row>
        <row r="23">
          <cell r="BL23" t="e">
            <v>#DIV/0!</v>
          </cell>
          <cell r="BM23" t="e">
            <v>#DIV/0!</v>
          </cell>
          <cell r="BN23" t="e">
            <v>#DIV/0!</v>
          </cell>
        </row>
        <row r="24">
          <cell r="BL24" t="e">
            <v>#DIV/0!</v>
          </cell>
          <cell r="BM24" t="e">
            <v>#DIV/0!</v>
          </cell>
          <cell r="BN24" t="e">
            <v>#DIV/0!</v>
          </cell>
        </row>
        <row r="25">
          <cell r="BL25" t="e">
            <v>#DIV/0!</v>
          </cell>
          <cell r="BM25" t="e">
            <v>#DIV/0!</v>
          </cell>
          <cell r="BN25" t="e">
            <v>#DIV/0!</v>
          </cell>
        </row>
        <row r="26">
          <cell r="BL26" t="e">
            <v>#DIV/0!</v>
          </cell>
          <cell r="BM26" t="e">
            <v>#DIV/0!</v>
          </cell>
          <cell r="BN26" t="e">
            <v>#DIV/0!</v>
          </cell>
        </row>
        <row r="27">
          <cell r="BL27" t="e">
            <v>#DIV/0!</v>
          </cell>
          <cell r="BM27" t="e">
            <v>#DIV/0!</v>
          </cell>
          <cell r="BN27" t="e">
            <v>#DIV/0!</v>
          </cell>
        </row>
        <row r="28">
          <cell r="BL28" t="e">
            <v>#DIV/0!</v>
          </cell>
          <cell r="BM28" t="e">
            <v>#DIV/0!</v>
          </cell>
          <cell r="BN28" t="e">
            <v>#DIV/0!</v>
          </cell>
        </row>
        <row r="29">
          <cell r="BL29" t="e">
            <v>#DIV/0!</v>
          </cell>
          <cell r="BM29" t="e">
            <v>#DIV/0!</v>
          </cell>
          <cell r="BN29" t="e">
            <v>#DIV/0!</v>
          </cell>
        </row>
        <row r="30">
          <cell r="BL30" t="e">
            <v>#DIV/0!</v>
          </cell>
          <cell r="BM30" t="e">
            <v>#DIV/0!</v>
          </cell>
          <cell r="BN30" t="e">
            <v>#DIV/0!</v>
          </cell>
        </row>
        <row r="31">
          <cell r="BL31" t="e">
            <v>#DIV/0!</v>
          </cell>
          <cell r="BM31" t="e">
            <v>#DIV/0!</v>
          </cell>
          <cell r="BN31" t="e">
            <v>#DIV/0!</v>
          </cell>
        </row>
        <row r="32">
          <cell r="BL32" t="e">
            <v>#DIV/0!</v>
          </cell>
          <cell r="BM32" t="e">
            <v>#DIV/0!</v>
          </cell>
          <cell r="BN32" t="e">
            <v>#DIV/0!</v>
          </cell>
        </row>
        <row r="33">
          <cell r="BL33" t="e">
            <v>#DIV/0!</v>
          </cell>
          <cell r="BM33" t="e">
            <v>#DIV/0!</v>
          </cell>
          <cell r="BN33" t="e">
            <v>#DIV/0!</v>
          </cell>
        </row>
        <row r="34">
          <cell r="BL34" t="e">
            <v>#DIV/0!</v>
          </cell>
          <cell r="BM34" t="e">
            <v>#DIV/0!</v>
          </cell>
          <cell r="BN34" t="e">
            <v>#DIV/0!</v>
          </cell>
        </row>
        <row r="35">
          <cell r="BL35" t="e">
            <v>#DIV/0!</v>
          </cell>
          <cell r="BM35" t="e">
            <v>#DIV/0!</v>
          </cell>
          <cell r="BN35" t="e">
            <v>#DIV/0!</v>
          </cell>
        </row>
        <row r="36">
          <cell r="BL36" t="e">
            <v>#DIV/0!</v>
          </cell>
          <cell r="BM36" t="e">
            <v>#DIV/0!</v>
          </cell>
          <cell r="BN36" t="e">
            <v>#DIV/0!</v>
          </cell>
        </row>
        <row r="37">
          <cell r="BL37" t="e">
            <v>#DIV/0!</v>
          </cell>
          <cell r="BM37" t="e">
            <v>#DIV/0!</v>
          </cell>
          <cell r="BN37" t="e">
            <v>#DIV/0!</v>
          </cell>
        </row>
        <row r="38">
          <cell r="BL38" t="e">
            <v>#DIV/0!</v>
          </cell>
          <cell r="BM38" t="e">
            <v>#DIV/0!</v>
          </cell>
          <cell r="BN38" t="e">
            <v>#DIV/0!</v>
          </cell>
        </row>
        <row r="39">
          <cell r="BL39" t="e">
            <v>#DIV/0!</v>
          </cell>
          <cell r="BM39" t="e">
            <v>#DIV/0!</v>
          </cell>
          <cell r="BN39" t="e">
            <v>#DIV/0!</v>
          </cell>
        </row>
        <row r="40">
          <cell r="BL40" t="e">
            <v>#DIV/0!</v>
          </cell>
          <cell r="BM40" t="e">
            <v>#DIV/0!</v>
          </cell>
          <cell r="BN40" t="e">
            <v>#DIV/0!</v>
          </cell>
        </row>
        <row r="41">
          <cell r="BL41" t="e">
            <v>#DIV/0!</v>
          </cell>
          <cell r="BM41" t="e">
            <v>#DIV/0!</v>
          </cell>
          <cell r="BN41" t="e">
            <v>#DIV/0!</v>
          </cell>
        </row>
        <row r="42">
          <cell r="BL42" t="e">
            <v>#DIV/0!</v>
          </cell>
          <cell r="BM42" t="e">
            <v>#DIV/0!</v>
          </cell>
          <cell r="BN42" t="e">
            <v>#DIV/0!</v>
          </cell>
        </row>
        <row r="43">
          <cell r="BL43" t="e">
            <v>#DIV/0!</v>
          </cell>
          <cell r="BM43" t="e">
            <v>#DIV/0!</v>
          </cell>
          <cell r="BN43" t="e">
            <v>#DIV/0!</v>
          </cell>
        </row>
        <row r="44">
          <cell r="BL44" t="e">
            <v>#DIV/0!</v>
          </cell>
          <cell r="BM44" t="e">
            <v>#DIV/0!</v>
          </cell>
          <cell r="BN44" t="e">
            <v>#DIV/0!</v>
          </cell>
        </row>
        <row r="45">
          <cell r="BL45" t="e">
            <v>#DIV/0!</v>
          </cell>
          <cell r="BM45" t="e">
            <v>#DIV/0!</v>
          </cell>
          <cell r="BN45" t="e">
            <v>#DIV/0!</v>
          </cell>
        </row>
        <row r="46">
          <cell r="BL46" t="e">
            <v>#DIV/0!</v>
          </cell>
          <cell r="BM46" t="e">
            <v>#DIV/0!</v>
          </cell>
          <cell r="BN46" t="e">
            <v>#DIV/0!</v>
          </cell>
        </row>
        <row r="47">
          <cell r="BL47" t="e">
            <v>#DIV/0!</v>
          </cell>
          <cell r="BM47" t="e">
            <v>#DIV/0!</v>
          </cell>
          <cell r="BN47" t="e">
            <v>#DIV/0!</v>
          </cell>
        </row>
        <row r="48">
          <cell r="BL48" t="e">
            <v>#DIV/0!</v>
          </cell>
          <cell r="BM48" t="e">
            <v>#DIV/0!</v>
          </cell>
          <cell r="BN48" t="e">
            <v>#DIV/0!</v>
          </cell>
        </row>
        <row r="49">
          <cell r="BL49" t="e">
            <v>#DIV/0!</v>
          </cell>
          <cell r="BM49" t="e">
            <v>#DIV/0!</v>
          </cell>
          <cell r="BN49" t="e">
            <v>#DIV/0!</v>
          </cell>
        </row>
        <row r="50">
          <cell r="BL50" t="e">
            <v>#DIV/0!</v>
          </cell>
          <cell r="BM50" t="e">
            <v>#DIV/0!</v>
          </cell>
          <cell r="BN50" t="e">
            <v>#DIV/0!</v>
          </cell>
        </row>
        <row r="51">
          <cell r="BL51" t="e">
            <v>#DIV/0!</v>
          </cell>
          <cell r="BM51" t="e">
            <v>#DIV/0!</v>
          </cell>
          <cell r="BN51" t="e">
            <v>#DIV/0!</v>
          </cell>
        </row>
        <row r="52">
          <cell r="BL52" t="e">
            <v>#DIV/0!</v>
          </cell>
          <cell r="BM52" t="e">
            <v>#DIV/0!</v>
          </cell>
          <cell r="BN52" t="e">
            <v>#DIV/0!</v>
          </cell>
        </row>
        <row r="53">
          <cell r="BL53" t="e">
            <v>#DIV/0!</v>
          </cell>
          <cell r="BM53" t="e">
            <v>#DIV/0!</v>
          </cell>
          <cell r="BN53" t="e">
            <v>#DIV/0!</v>
          </cell>
        </row>
        <row r="54">
          <cell r="BL54" t="e">
            <v>#DIV/0!</v>
          </cell>
          <cell r="BM54" t="e">
            <v>#DIV/0!</v>
          </cell>
          <cell r="BN54" t="e">
            <v>#DIV/0!</v>
          </cell>
        </row>
        <row r="55">
          <cell r="BL55" t="e">
            <v>#DIV/0!</v>
          </cell>
          <cell r="BM55" t="e">
            <v>#DIV/0!</v>
          </cell>
          <cell r="BN55" t="e">
            <v>#DIV/0!</v>
          </cell>
        </row>
        <row r="56">
          <cell r="BL56" t="e">
            <v>#DIV/0!</v>
          </cell>
          <cell r="BM56" t="e">
            <v>#DIV/0!</v>
          </cell>
          <cell r="BN56" t="e">
            <v>#DIV/0!</v>
          </cell>
        </row>
        <row r="57">
          <cell r="BL57" t="e">
            <v>#DIV/0!</v>
          </cell>
          <cell r="BM57" t="e">
            <v>#DIV/0!</v>
          </cell>
          <cell r="BN57" t="e">
            <v>#DIV/0!</v>
          </cell>
        </row>
        <row r="58">
          <cell r="BL58" t="e">
            <v>#DIV/0!</v>
          </cell>
          <cell r="BM58" t="e">
            <v>#DIV/0!</v>
          </cell>
          <cell r="BN58" t="e">
            <v>#DIV/0!</v>
          </cell>
        </row>
        <row r="59">
          <cell r="BL59" t="e">
            <v>#DIV/0!</v>
          </cell>
          <cell r="BM59" t="e">
            <v>#DIV/0!</v>
          </cell>
          <cell r="BN59" t="e">
            <v>#DIV/0!</v>
          </cell>
        </row>
        <row r="60">
          <cell r="BL60" t="e">
            <v>#DIV/0!</v>
          </cell>
          <cell r="BM60" t="e">
            <v>#DIV/0!</v>
          </cell>
          <cell r="BN60" t="e">
            <v>#DIV/0!</v>
          </cell>
        </row>
        <row r="61">
          <cell r="BL61" t="e">
            <v>#DIV/0!</v>
          </cell>
          <cell r="BM61" t="e">
            <v>#DIV/0!</v>
          </cell>
          <cell r="BN61" t="e">
            <v>#DIV/0!</v>
          </cell>
        </row>
        <row r="62">
          <cell r="BL62" t="e">
            <v>#DIV/0!</v>
          </cell>
          <cell r="BM62" t="e">
            <v>#DIV/0!</v>
          </cell>
          <cell r="BN62" t="e">
            <v>#DIV/0!</v>
          </cell>
        </row>
        <row r="63">
          <cell r="BL63" t="e">
            <v>#DIV/0!</v>
          </cell>
          <cell r="BM63" t="e">
            <v>#DIV/0!</v>
          </cell>
          <cell r="BN63" t="e">
            <v>#DIV/0!</v>
          </cell>
        </row>
        <row r="64">
          <cell r="BL64" t="e">
            <v>#DIV/0!</v>
          </cell>
          <cell r="BM64" t="e">
            <v>#DIV/0!</v>
          </cell>
          <cell r="BN64" t="e">
            <v>#DIV/0!</v>
          </cell>
        </row>
        <row r="65">
          <cell r="BL65" t="e">
            <v>#DIV/0!</v>
          </cell>
          <cell r="BM65" t="e">
            <v>#DIV/0!</v>
          </cell>
          <cell r="BN65" t="e">
            <v>#DIV/0!</v>
          </cell>
        </row>
        <row r="66">
          <cell r="BL66" t="e">
            <v>#DIV/0!</v>
          </cell>
          <cell r="BM66" t="e">
            <v>#DIV/0!</v>
          </cell>
          <cell r="BN66" t="e">
            <v>#DIV/0!</v>
          </cell>
        </row>
        <row r="67">
          <cell r="BL67" t="e">
            <v>#DIV/0!</v>
          </cell>
          <cell r="BM67" t="e">
            <v>#DIV/0!</v>
          </cell>
          <cell r="BN67" t="e">
            <v>#DIV/0!</v>
          </cell>
        </row>
        <row r="68">
          <cell r="BL68" t="e">
            <v>#DIV/0!</v>
          </cell>
          <cell r="BM68" t="e">
            <v>#DIV/0!</v>
          </cell>
          <cell r="BN68" t="e">
            <v>#DIV/0!</v>
          </cell>
        </row>
        <row r="69">
          <cell r="BL69" t="e">
            <v>#DIV/0!</v>
          </cell>
          <cell r="BM69" t="e">
            <v>#DIV/0!</v>
          </cell>
          <cell r="BN69" t="e">
            <v>#DIV/0!</v>
          </cell>
        </row>
        <row r="70">
          <cell r="BL70" t="e">
            <v>#DIV/0!</v>
          </cell>
          <cell r="BM70" t="e">
            <v>#DIV/0!</v>
          </cell>
          <cell r="BN70" t="e">
            <v>#DIV/0!</v>
          </cell>
        </row>
        <row r="71">
          <cell r="BL71" t="e">
            <v>#DIV/0!</v>
          </cell>
          <cell r="BM71" t="e">
            <v>#DIV/0!</v>
          </cell>
          <cell r="BN71" t="e">
            <v>#DIV/0!</v>
          </cell>
        </row>
        <row r="72">
          <cell r="BL72" t="e">
            <v>#DIV/0!</v>
          </cell>
          <cell r="BM72" t="e">
            <v>#DIV/0!</v>
          </cell>
          <cell r="BN72" t="e">
            <v>#DIV/0!</v>
          </cell>
        </row>
        <row r="73">
          <cell r="BL73" t="e">
            <v>#DIV/0!</v>
          </cell>
          <cell r="BM73" t="e">
            <v>#DIV/0!</v>
          </cell>
          <cell r="BN73" t="e">
            <v>#DIV/0!</v>
          </cell>
        </row>
        <row r="74">
          <cell r="BL74" t="e">
            <v>#DIV/0!</v>
          </cell>
          <cell r="BM74" t="e">
            <v>#DIV/0!</v>
          </cell>
          <cell r="BN74" t="e">
            <v>#DIV/0!</v>
          </cell>
        </row>
        <row r="75">
          <cell r="BL75" t="e">
            <v>#DIV/0!</v>
          </cell>
          <cell r="BM75" t="e">
            <v>#DIV/0!</v>
          </cell>
          <cell r="BN75" t="e">
            <v>#DIV/0!</v>
          </cell>
        </row>
        <row r="76">
          <cell r="BL76" t="e">
            <v>#DIV/0!</v>
          </cell>
          <cell r="BM76" t="e">
            <v>#DIV/0!</v>
          </cell>
          <cell r="BN76" t="e">
            <v>#DIV/0!</v>
          </cell>
        </row>
        <row r="77">
          <cell r="BL77" t="e">
            <v>#DIV/0!</v>
          </cell>
          <cell r="BM77" t="e">
            <v>#DIV/0!</v>
          </cell>
          <cell r="BN77" t="e">
            <v>#DIV/0!</v>
          </cell>
        </row>
        <row r="78">
          <cell r="BL78" t="e">
            <v>#DIV/0!</v>
          </cell>
          <cell r="BM78" t="e">
            <v>#DIV/0!</v>
          </cell>
          <cell r="BN78" t="e">
            <v>#DIV/0!</v>
          </cell>
        </row>
        <row r="79">
          <cell r="BL79" t="e">
            <v>#DIV/0!</v>
          </cell>
          <cell r="BM79" t="e">
            <v>#DIV/0!</v>
          </cell>
          <cell r="BN79" t="e">
            <v>#DIV/0!</v>
          </cell>
        </row>
        <row r="80">
          <cell r="BL80" t="e">
            <v>#DIV/0!</v>
          </cell>
          <cell r="BM80" t="e">
            <v>#DIV/0!</v>
          </cell>
          <cell r="BN80" t="e">
            <v>#DIV/0!</v>
          </cell>
        </row>
        <row r="81">
          <cell r="BL81" t="e">
            <v>#DIV/0!</v>
          </cell>
          <cell r="BM81" t="e">
            <v>#DIV/0!</v>
          </cell>
          <cell r="BN81" t="e">
            <v>#DIV/0!</v>
          </cell>
        </row>
        <row r="82">
          <cell r="BL82" t="e">
            <v>#DIV/0!</v>
          </cell>
          <cell r="BM82" t="e">
            <v>#DIV/0!</v>
          </cell>
          <cell r="BN82" t="e">
            <v>#DIV/0!</v>
          </cell>
        </row>
        <row r="83">
          <cell r="BL83" t="e">
            <v>#DIV/0!</v>
          </cell>
          <cell r="BM83" t="e">
            <v>#DIV/0!</v>
          </cell>
          <cell r="BN83" t="e">
            <v>#DIV/0!</v>
          </cell>
        </row>
        <row r="84">
          <cell r="BL84" t="e">
            <v>#DIV/0!</v>
          </cell>
          <cell r="BM84" t="e">
            <v>#DIV/0!</v>
          </cell>
          <cell r="BN84" t="e">
            <v>#DIV/0!</v>
          </cell>
        </row>
        <row r="85">
          <cell r="BL85" t="e">
            <v>#DIV/0!</v>
          </cell>
          <cell r="BM85" t="e">
            <v>#DIV/0!</v>
          </cell>
          <cell r="BN85" t="e">
            <v>#DIV/0!</v>
          </cell>
        </row>
        <row r="86">
          <cell r="BL86" t="e">
            <v>#DIV/0!</v>
          </cell>
          <cell r="BM86" t="e">
            <v>#DIV/0!</v>
          </cell>
          <cell r="BN86" t="e">
            <v>#DIV/0!</v>
          </cell>
        </row>
      </sheetData>
      <sheetData sheetId="4">
        <row r="11">
          <cell r="C11">
            <v>6.9500000000000006E-2</v>
          </cell>
          <cell r="H11">
            <v>4660.583333333333</v>
          </cell>
        </row>
      </sheetData>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3"/>
  <sheetViews>
    <sheetView zoomScale="85" zoomScaleNormal="85" workbookViewId="0">
      <selection activeCell="B2" sqref="B2"/>
    </sheetView>
  </sheetViews>
  <sheetFormatPr defaultRowHeight="12.75" x14ac:dyDescent="0.2"/>
  <cols>
    <col min="1" max="3" width="2.7109375" style="57" customWidth="1"/>
    <col min="4" max="15" width="9.140625" style="57"/>
    <col min="16" max="16" width="19" style="57" bestFit="1" customWidth="1"/>
    <col min="17" max="17" width="9.140625" style="57"/>
    <col min="18" max="20" width="2.7109375" style="57" customWidth="1"/>
    <col min="21" max="16384" width="9.140625" style="57"/>
  </cols>
  <sheetData>
    <row r="1" spans="2:19" ht="13.5" thickBot="1" x14ac:dyDescent="0.25"/>
    <row r="2" spans="2:19" x14ac:dyDescent="0.2">
      <c r="B2" s="19"/>
      <c r="C2" s="20"/>
      <c r="D2" s="20"/>
      <c r="E2" s="20"/>
      <c r="F2" s="20"/>
      <c r="G2" s="20"/>
      <c r="H2" s="20"/>
      <c r="I2" s="20"/>
      <c r="J2" s="20"/>
      <c r="K2" s="20"/>
      <c r="L2" s="20"/>
      <c r="M2" s="20"/>
      <c r="N2" s="20"/>
      <c r="O2" s="20"/>
      <c r="P2" s="20"/>
      <c r="Q2" s="20"/>
      <c r="R2" s="20"/>
      <c r="S2" s="23"/>
    </row>
    <row r="3" spans="2:19" x14ac:dyDescent="0.2">
      <c r="B3" s="24"/>
      <c r="C3" s="25"/>
      <c r="D3" s="25"/>
      <c r="E3" s="25"/>
      <c r="F3" s="25"/>
      <c r="G3" s="25"/>
      <c r="H3" s="25"/>
      <c r="I3" s="25"/>
      <c r="J3" s="25"/>
      <c r="K3" s="25"/>
      <c r="L3" s="25"/>
      <c r="M3" s="25"/>
      <c r="N3" s="25"/>
      <c r="O3" s="25"/>
      <c r="P3" s="25"/>
      <c r="Q3" s="25"/>
      <c r="R3" s="25"/>
      <c r="S3" s="28"/>
    </row>
    <row r="4" spans="2:19" ht="18" x14ac:dyDescent="0.25">
      <c r="B4" s="24"/>
      <c r="C4" s="30" t="s">
        <v>76</v>
      </c>
      <c r="D4" s="25"/>
      <c r="E4" s="25"/>
      <c r="F4" s="25"/>
      <c r="G4" s="25"/>
      <c r="H4" s="25"/>
      <c r="I4" s="25"/>
      <c r="J4" s="25"/>
      <c r="K4" s="25"/>
      <c r="L4" s="25"/>
      <c r="M4" s="25"/>
      <c r="N4" s="25"/>
      <c r="O4" s="25"/>
      <c r="P4" s="25"/>
      <c r="Q4" s="25"/>
      <c r="R4" s="25"/>
      <c r="S4" s="28"/>
    </row>
    <row r="5" spans="2:19" ht="15.75" x14ac:dyDescent="0.25">
      <c r="B5" s="24"/>
      <c r="C5" s="58"/>
      <c r="D5" s="25"/>
      <c r="E5" s="25"/>
      <c r="F5" s="25"/>
      <c r="G5" s="25"/>
      <c r="H5" s="25"/>
      <c r="I5" s="25"/>
      <c r="J5" s="25"/>
      <c r="K5" s="25"/>
      <c r="L5" s="25"/>
      <c r="M5" s="25"/>
      <c r="N5" s="25"/>
      <c r="O5" s="25"/>
      <c r="P5" s="25"/>
      <c r="Q5" s="25"/>
      <c r="R5" s="25"/>
      <c r="S5" s="28"/>
    </row>
    <row r="6" spans="2:19" x14ac:dyDescent="0.2">
      <c r="B6" s="24"/>
      <c r="C6" s="130"/>
      <c r="D6" s="131"/>
      <c r="E6" s="130"/>
      <c r="F6" s="130"/>
      <c r="G6" s="130"/>
      <c r="H6" s="130"/>
      <c r="I6" s="130"/>
      <c r="J6" s="130"/>
      <c r="K6" s="130"/>
      <c r="L6" s="130"/>
      <c r="M6" s="130"/>
      <c r="N6" s="131"/>
      <c r="O6" s="132"/>
      <c r="P6" s="130"/>
      <c r="Q6" s="130"/>
      <c r="R6" s="130"/>
      <c r="S6" s="28"/>
    </row>
    <row r="7" spans="2:19" x14ac:dyDescent="0.2">
      <c r="B7" s="24"/>
      <c r="C7" s="130"/>
      <c r="D7" s="130" t="s">
        <v>77</v>
      </c>
      <c r="E7" s="130"/>
      <c r="F7" s="130"/>
      <c r="G7" s="130"/>
      <c r="H7" s="130"/>
      <c r="I7" s="133" t="s">
        <v>78</v>
      </c>
      <c r="J7" s="130"/>
      <c r="K7" s="130"/>
      <c r="L7" s="130"/>
      <c r="M7" s="130"/>
      <c r="N7" s="130"/>
      <c r="O7" s="131" t="s">
        <v>79</v>
      </c>
      <c r="P7" s="134">
        <v>43831</v>
      </c>
      <c r="Q7" s="130"/>
      <c r="R7" s="130"/>
      <c r="S7" s="28"/>
    </row>
    <row r="8" spans="2:19" s="59" customFormat="1" x14ac:dyDescent="0.2">
      <c r="B8" s="29"/>
      <c r="C8" s="130"/>
      <c r="D8" s="130" t="s">
        <v>80</v>
      </c>
      <c r="E8" s="130"/>
      <c r="F8" s="130"/>
      <c r="G8" s="130"/>
      <c r="H8" s="130"/>
      <c r="I8" s="130"/>
      <c r="J8" s="130"/>
      <c r="K8" s="130"/>
      <c r="L8" s="130"/>
      <c r="M8" s="130"/>
      <c r="N8" s="130"/>
      <c r="O8" s="130"/>
      <c r="P8" s="135"/>
      <c r="Q8" s="136"/>
      <c r="R8" s="135"/>
      <c r="S8" s="35"/>
    </row>
    <row r="9" spans="2:19" x14ac:dyDescent="0.2">
      <c r="B9" s="24"/>
      <c r="C9" s="130"/>
      <c r="D9" s="130"/>
      <c r="E9" s="130"/>
      <c r="F9" s="130"/>
      <c r="G9" s="130"/>
      <c r="H9" s="130"/>
      <c r="I9" s="130"/>
      <c r="J9" s="130"/>
      <c r="K9" s="130"/>
      <c r="L9" s="130"/>
      <c r="M9" s="130"/>
      <c r="N9" s="130"/>
      <c r="O9" s="130"/>
      <c r="P9" s="130"/>
      <c r="Q9" s="137"/>
      <c r="R9" s="138"/>
      <c r="S9" s="28"/>
    </row>
    <row r="10" spans="2:19" x14ac:dyDescent="0.2">
      <c r="B10" s="24"/>
      <c r="C10" s="130"/>
      <c r="D10" s="130" t="s">
        <v>287</v>
      </c>
      <c r="E10" s="130"/>
      <c r="F10" s="130"/>
      <c r="G10" s="130"/>
      <c r="H10" s="130"/>
      <c r="I10" s="130"/>
      <c r="J10" s="130"/>
      <c r="K10" s="130"/>
      <c r="L10" s="130"/>
      <c r="M10" s="130"/>
      <c r="N10" s="130"/>
      <c r="O10" s="130"/>
      <c r="P10" s="130"/>
      <c r="Q10" s="137"/>
      <c r="R10" s="138"/>
      <c r="S10" s="28"/>
    </row>
    <row r="11" spans="2:19" x14ac:dyDescent="0.2">
      <c r="B11" s="24"/>
      <c r="C11" s="130"/>
      <c r="D11" s="130" t="s">
        <v>408</v>
      </c>
      <c r="E11" s="130"/>
      <c r="F11" s="130"/>
      <c r="G11" s="130"/>
      <c r="H11" s="130"/>
      <c r="I11" s="130"/>
      <c r="J11" s="130"/>
      <c r="K11" s="130"/>
      <c r="L11" s="130"/>
      <c r="M11" s="130"/>
      <c r="N11" s="130"/>
      <c r="O11" s="130"/>
      <c r="P11" s="130"/>
      <c r="Q11" s="137"/>
      <c r="R11" s="138"/>
      <c r="S11" s="28"/>
    </row>
    <row r="12" spans="2:19" x14ac:dyDescent="0.2">
      <c r="B12" s="24"/>
      <c r="C12" s="130"/>
      <c r="D12" s="130" t="s">
        <v>273</v>
      </c>
      <c r="E12" s="130"/>
      <c r="F12" s="130"/>
      <c r="G12" s="130"/>
      <c r="H12" s="130"/>
      <c r="I12" s="130"/>
      <c r="J12" s="130"/>
      <c r="K12" s="130"/>
      <c r="L12" s="130"/>
      <c r="M12" s="130"/>
      <c r="N12" s="130"/>
      <c r="O12" s="130"/>
      <c r="P12" s="130"/>
      <c r="Q12" s="130"/>
      <c r="R12" s="138"/>
      <c r="S12" s="28"/>
    </row>
    <row r="13" spans="2:19" x14ac:dyDescent="0.2">
      <c r="B13" s="24"/>
      <c r="C13" s="130"/>
      <c r="D13" s="130" t="s">
        <v>402</v>
      </c>
      <c r="E13" s="130"/>
      <c r="F13" s="130"/>
      <c r="G13" s="130"/>
      <c r="H13" s="130"/>
      <c r="I13" s="130"/>
      <c r="J13" s="130"/>
      <c r="K13" s="130"/>
      <c r="L13" s="130"/>
      <c r="M13" s="130"/>
      <c r="N13" s="130"/>
      <c r="O13" s="130"/>
      <c r="P13" s="130"/>
      <c r="Q13" s="130"/>
      <c r="R13" s="130"/>
      <c r="S13" s="28"/>
    </row>
    <row r="14" spans="2:19" x14ac:dyDescent="0.2">
      <c r="B14" s="24"/>
      <c r="C14" s="130"/>
      <c r="D14" s="130" t="s">
        <v>409</v>
      </c>
      <c r="E14" s="130"/>
      <c r="F14" s="130"/>
      <c r="G14" s="130"/>
      <c r="H14" s="130"/>
      <c r="I14" s="130"/>
      <c r="J14" s="130"/>
      <c r="K14" s="130"/>
      <c r="L14" s="130"/>
      <c r="M14" s="130"/>
      <c r="N14" s="130"/>
      <c r="O14" s="130"/>
      <c r="P14" s="130"/>
      <c r="Q14" s="130"/>
      <c r="R14" s="130"/>
      <c r="S14" s="28"/>
    </row>
    <row r="15" spans="2:19" x14ac:dyDescent="0.2">
      <c r="B15" s="24"/>
      <c r="C15" s="130"/>
      <c r="D15" s="130" t="s">
        <v>410</v>
      </c>
      <c r="E15" s="130"/>
      <c r="F15" s="130"/>
      <c r="G15" s="130"/>
      <c r="H15" s="130"/>
      <c r="I15" s="130"/>
      <c r="J15" s="130"/>
      <c r="K15" s="130"/>
      <c r="L15" s="130"/>
      <c r="M15" s="130"/>
      <c r="N15" s="130"/>
      <c r="O15" s="130"/>
      <c r="P15" s="130"/>
      <c r="Q15" s="130"/>
      <c r="R15" s="130"/>
      <c r="S15" s="28"/>
    </row>
    <row r="16" spans="2:19" x14ac:dyDescent="0.2">
      <c r="B16" s="24"/>
      <c r="C16" s="130"/>
      <c r="D16" s="130"/>
      <c r="E16" s="130"/>
      <c r="F16" s="130"/>
      <c r="G16" s="130"/>
      <c r="H16" s="130"/>
      <c r="I16" s="130"/>
      <c r="J16" s="130"/>
      <c r="K16" s="130"/>
      <c r="L16" s="130"/>
      <c r="M16" s="130"/>
      <c r="N16" s="130"/>
      <c r="O16" s="130"/>
      <c r="P16" s="130"/>
      <c r="Q16" s="130"/>
      <c r="R16" s="130"/>
      <c r="S16" s="28"/>
    </row>
    <row r="17" spans="2:19" x14ac:dyDescent="0.2">
      <c r="B17" s="24"/>
      <c r="C17" s="137" t="s">
        <v>81</v>
      </c>
      <c r="D17" s="131" t="s">
        <v>82</v>
      </c>
      <c r="E17" s="130"/>
      <c r="F17" s="130"/>
      <c r="G17" s="130"/>
      <c r="H17" s="130"/>
      <c r="I17" s="130"/>
      <c r="J17" s="130"/>
      <c r="K17" s="130"/>
      <c r="L17" s="130"/>
      <c r="M17" s="130"/>
      <c r="N17" s="130"/>
      <c r="O17" s="130"/>
      <c r="P17" s="130"/>
      <c r="Q17" s="130"/>
      <c r="R17" s="130"/>
      <c r="S17" s="28"/>
    </row>
    <row r="18" spans="2:19" x14ac:dyDescent="0.2">
      <c r="B18" s="24"/>
      <c r="C18" s="137"/>
      <c r="D18" s="131"/>
      <c r="E18" s="130"/>
      <c r="F18" s="130"/>
      <c r="G18" s="130"/>
      <c r="H18" s="130"/>
      <c r="I18" s="130"/>
      <c r="J18" s="130"/>
      <c r="K18" s="130"/>
      <c r="L18" s="130"/>
      <c r="M18" s="130"/>
      <c r="N18" s="130"/>
      <c r="O18" s="130"/>
      <c r="P18" s="130"/>
      <c r="Q18" s="130"/>
      <c r="R18" s="130"/>
      <c r="S18" s="28"/>
    </row>
    <row r="19" spans="2:19" x14ac:dyDescent="0.2">
      <c r="B19" s="24"/>
      <c r="C19" s="130"/>
      <c r="D19" s="131" t="s">
        <v>83</v>
      </c>
      <c r="E19" s="130"/>
      <c r="F19" s="130"/>
      <c r="G19" s="130"/>
      <c r="H19" s="130"/>
      <c r="I19" s="130"/>
      <c r="J19" s="130"/>
      <c r="K19" s="130"/>
      <c r="L19" s="130"/>
      <c r="M19" s="130"/>
      <c r="N19" s="130"/>
      <c r="O19" s="130"/>
      <c r="P19" s="130"/>
      <c r="Q19" s="130"/>
      <c r="R19" s="130"/>
      <c r="S19" s="28"/>
    </row>
    <row r="20" spans="2:19" x14ac:dyDescent="0.2">
      <c r="B20" s="24"/>
      <c r="C20" s="130"/>
      <c r="D20" s="281" t="s">
        <v>264</v>
      </c>
      <c r="E20" s="130"/>
      <c r="F20" s="130"/>
      <c r="G20" s="130"/>
      <c r="H20" s="130"/>
      <c r="I20" s="130"/>
      <c r="J20" s="130"/>
      <c r="K20" s="130"/>
      <c r="L20" s="130"/>
      <c r="M20" s="130"/>
      <c r="N20" s="130"/>
      <c r="O20" s="130"/>
      <c r="P20" s="130"/>
      <c r="Q20" s="130"/>
      <c r="R20" s="130"/>
      <c r="S20" s="28"/>
    </row>
    <row r="21" spans="2:19" x14ac:dyDescent="0.2">
      <c r="B21" s="24"/>
      <c r="C21" s="130"/>
      <c r="D21" s="281" t="s">
        <v>84</v>
      </c>
      <c r="E21" s="130"/>
      <c r="F21" s="130"/>
      <c r="G21" s="130"/>
      <c r="H21" s="130"/>
      <c r="I21" s="130"/>
      <c r="J21" s="130"/>
      <c r="K21" s="130"/>
      <c r="L21" s="130"/>
      <c r="M21" s="130"/>
      <c r="N21" s="130"/>
      <c r="O21" s="130"/>
      <c r="P21" s="130"/>
      <c r="Q21" s="130"/>
      <c r="R21" s="130"/>
      <c r="S21" s="28"/>
    </row>
    <row r="22" spans="2:19" x14ac:dyDescent="0.2">
      <c r="B22" s="24"/>
      <c r="C22" s="130"/>
      <c r="D22" s="281" t="s">
        <v>85</v>
      </c>
      <c r="E22" s="130"/>
      <c r="F22" s="130"/>
      <c r="G22" s="130"/>
      <c r="H22" s="130"/>
      <c r="I22" s="130"/>
      <c r="J22" s="130"/>
      <c r="K22" s="130"/>
      <c r="L22" s="130"/>
      <c r="M22" s="130"/>
      <c r="N22" s="130"/>
      <c r="O22" s="130"/>
      <c r="P22" s="130"/>
      <c r="Q22" s="130"/>
      <c r="R22" s="130"/>
      <c r="S22" s="28"/>
    </row>
    <row r="23" spans="2:19" x14ac:dyDescent="0.2">
      <c r="B23" s="24"/>
      <c r="C23" s="130"/>
      <c r="D23" s="281" t="s">
        <v>86</v>
      </c>
      <c r="E23" s="130"/>
      <c r="F23" s="130"/>
      <c r="G23" s="130"/>
      <c r="H23" s="130"/>
      <c r="I23" s="130"/>
      <c r="J23" s="130"/>
      <c r="K23" s="130"/>
      <c r="L23" s="130"/>
      <c r="M23" s="130"/>
      <c r="N23" s="130"/>
      <c r="O23" s="130"/>
      <c r="P23" s="130"/>
      <c r="Q23" s="130"/>
      <c r="R23" s="130"/>
      <c r="S23" s="28"/>
    </row>
    <row r="24" spans="2:19" x14ac:dyDescent="0.2">
      <c r="B24" s="24"/>
      <c r="C24" s="130"/>
      <c r="D24" s="281" t="s">
        <v>87</v>
      </c>
      <c r="E24" s="130"/>
      <c r="F24" s="130"/>
      <c r="G24" s="130"/>
      <c r="H24" s="130"/>
      <c r="I24" s="130"/>
      <c r="J24" s="130"/>
      <c r="K24" s="130"/>
      <c r="L24" s="130"/>
      <c r="M24" s="130"/>
      <c r="N24" s="130"/>
      <c r="O24" s="130"/>
      <c r="P24" s="130"/>
      <c r="Q24" s="130"/>
      <c r="R24" s="130"/>
      <c r="S24" s="28"/>
    </row>
    <row r="25" spans="2:19" x14ac:dyDescent="0.2">
      <c r="B25" s="24"/>
      <c r="C25" s="130"/>
      <c r="D25" s="281" t="s">
        <v>88</v>
      </c>
      <c r="E25" s="130"/>
      <c r="F25" s="130"/>
      <c r="G25" s="130"/>
      <c r="H25" s="130"/>
      <c r="I25" s="130"/>
      <c r="J25" s="130"/>
      <c r="K25" s="130"/>
      <c r="L25" s="130"/>
      <c r="M25" s="130"/>
      <c r="N25" s="130"/>
      <c r="O25" s="130"/>
      <c r="P25" s="130"/>
      <c r="Q25" s="130"/>
      <c r="R25" s="130"/>
      <c r="S25" s="28"/>
    </row>
    <row r="26" spans="2:19" x14ac:dyDescent="0.2">
      <c r="B26" s="24"/>
      <c r="C26" s="130"/>
      <c r="D26" s="281"/>
      <c r="E26" s="130"/>
      <c r="F26" s="130"/>
      <c r="G26" s="130"/>
      <c r="H26" s="130"/>
      <c r="I26" s="130"/>
      <c r="J26" s="130"/>
      <c r="K26" s="130"/>
      <c r="L26" s="130"/>
      <c r="M26" s="130"/>
      <c r="N26" s="130"/>
      <c r="O26" s="130"/>
      <c r="P26" s="130"/>
      <c r="Q26" s="130"/>
      <c r="R26" s="130"/>
      <c r="S26" s="28"/>
    </row>
    <row r="27" spans="2:19" x14ac:dyDescent="0.2">
      <c r="B27" s="24"/>
      <c r="C27" s="130"/>
      <c r="D27" s="281" t="s">
        <v>89</v>
      </c>
      <c r="E27" s="130"/>
      <c r="F27" s="130"/>
      <c r="G27" s="130"/>
      <c r="H27" s="130"/>
      <c r="I27" s="130"/>
      <c r="J27" s="130"/>
      <c r="K27" s="130"/>
      <c r="L27" s="130"/>
      <c r="M27" s="130"/>
      <c r="N27" s="130"/>
      <c r="O27" s="130"/>
      <c r="P27" s="130"/>
      <c r="Q27" s="130"/>
      <c r="R27" s="130"/>
      <c r="S27" s="28"/>
    </row>
    <row r="28" spans="2:19" x14ac:dyDescent="0.2">
      <c r="B28" s="24"/>
      <c r="C28" s="130"/>
      <c r="D28" s="281" t="s">
        <v>90</v>
      </c>
      <c r="E28" s="130"/>
      <c r="F28" s="130"/>
      <c r="G28" s="130"/>
      <c r="H28" s="130"/>
      <c r="I28" s="130"/>
      <c r="J28" s="130"/>
      <c r="K28" s="130"/>
      <c r="L28" s="130"/>
      <c r="M28" s="130"/>
      <c r="N28" s="130"/>
      <c r="O28" s="130"/>
      <c r="P28" s="130"/>
      <c r="Q28" s="130"/>
      <c r="R28" s="130"/>
      <c r="S28" s="28"/>
    </row>
    <row r="29" spans="2:19" x14ac:dyDescent="0.2">
      <c r="B29" s="24"/>
      <c r="C29" s="130"/>
      <c r="D29" s="281" t="s">
        <v>271</v>
      </c>
      <c r="E29" s="130"/>
      <c r="F29" s="130"/>
      <c r="G29" s="130"/>
      <c r="H29" s="130"/>
      <c r="I29" s="130"/>
      <c r="J29" s="130"/>
      <c r="K29" s="130"/>
      <c r="L29" s="130"/>
      <c r="M29" s="130"/>
      <c r="N29" s="130"/>
      <c r="O29" s="130"/>
      <c r="P29" s="130"/>
      <c r="Q29" s="130"/>
      <c r="R29" s="130"/>
      <c r="S29" s="28"/>
    </row>
    <row r="30" spans="2:19" x14ac:dyDescent="0.2">
      <c r="B30" s="24"/>
      <c r="C30" s="130"/>
      <c r="D30" s="131"/>
      <c r="E30" s="130"/>
      <c r="F30" s="130"/>
      <c r="G30" s="130"/>
      <c r="H30" s="130"/>
      <c r="I30" s="130"/>
      <c r="J30" s="130"/>
      <c r="K30" s="130"/>
      <c r="L30" s="130"/>
      <c r="M30" s="130"/>
      <c r="N30" s="130"/>
      <c r="O30" s="130"/>
      <c r="P30" s="130"/>
      <c r="Q30" s="130"/>
      <c r="R30" s="130"/>
      <c r="S30" s="28"/>
    </row>
    <row r="31" spans="2:19" x14ac:dyDescent="0.2">
      <c r="B31" s="24"/>
      <c r="C31" s="130"/>
      <c r="D31" s="130" t="s">
        <v>91</v>
      </c>
      <c r="E31" s="130"/>
      <c r="F31" s="130"/>
      <c r="G31" s="130"/>
      <c r="H31" s="130"/>
      <c r="I31" s="130"/>
      <c r="J31" s="130"/>
      <c r="K31" s="130"/>
      <c r="L31" s="130"/>
      <c r="M31" s="130"/>
      <c r="N31" s="130"/>
      <c r="O31" s="130"/>
      <c r="P31" s="130"/>
      <c r="Q31" s="130"/>
      <c r="R31" s="130"/>
      <c r="S31" s="28"/>
    </row>
    <row r="32" spans="2:19" x14ac:dyDescent="0.2">
      <c r="B32" s="24"/>
      <c r="C32" s="130"/>
      <c r="D32" s="130" t="s">
        <v>92</v>
      </c>
      <c r="E32" s="130"/>
      <c r="F32" s="130"/>
      <c r="G32" s="130"/>
      <c r="H32" s="130"/>
      <c r="I32" s="130"/>
      <c r="J32" s="130"/>
      <c r="K32" s="130"/>
      <c r="L32" s="130"/>
      <c r="M32" s="130"/>
      <c r="N32" s="130"/>
      <c r="O32" s="130"/>
      <c r="P32" s="130"/>
      <c r="Q32" s="130"/>
      <c r="R32" s="130"/>
      <c r="S32" s="28"/>
    </row>
    <row r="33" spans="2:19" x14ac:dyDescent="0.2">
      <c r="B33" s="24"/>
      <c r="C33" s="130"/>
      <c r="D33" s="130" t="s">
        <v>93</v>
      </c>
      <c r="E33" s="130"/>
      <c r="F33" s="130"/>
      <c r="G33" s="130"/>
      <c r="H33" s="130"/>
      <c r="I33" s="130"/>
      <c r="J33" s="130"/>
      <c r="K33" s="130"/>
      <c r="L33" s="130"/>
      <c r="M33" s="130"/>
      <c r="N33" s="130"/>
      <c r="O33" s="130"/>
      <c r="P33" s="130"/>
      <c r="Q33" s="130"/>
      <c r="R33" s="130"/>
      <c r="S33" s="28"/>
    </row>
    <row r="34" spans="2:19" x14ac:dyDescent="0.2">
      <c r="B34" s="24"/>
      <c r="C34" s="130"/>
      <c r="D34" s="130"/>
      <c r="E34" s="130"/>
      <c r="F34" s="130"/>
      <c r="G34" s="130"/>
      <c r="H34" s="130"/>
      <c r="I34" s="130"/>
      <c r="J34" s="130"/>
      <c r="K34" s="130"/>
      <c r="L34" s="130"/>
      <c r="M34" s="130"/>
      <c r="N34" s="130"/>
      <c r="O34" s="130"/>
      <c r="P34" s="130"/>
      <c r="Q34" s="130"/>
      <c r="R34" s="130"/>
      <c r="S34" s="28"/>
    </row>
    <row r="35" spans="2:19" x14ac:dyDescent="0.2">
      <c r="B35" s="24"/>
      <c r="C35" s="130"/>
      <c r="D35" s="140" t="s">
        <v>239</v>
      </c>
      <c r="E35" s="130"/>
      <c r="F35" s="130"/>
      <c r="G35" s="130"/>
      <c r="H35" s="130"/>
      <c r="I35" s="130"/>
      <c r="J35" s="130"/>
      <c r="K35" s="130"/>
      <c r="L35" s="130"/>
      <c r="M35" s="130"/>
      <c r="N35" s="130"/>
      <c r="O35" s="130"/>
      <c r="P35" s="130"/>
      <c r="Q35" s="130"/>
      <c r="R35" s="130"/>
      <c r="S35" s="28"/>
    </row>
    <row r="36" spans="2:19" x14ac:dyDescent="0.2">
      <c r="B36" s="24"/>
      <c r="C36" s="130"/>
      <c r="D36" s="141" t="s">
        <v>261</v>
      </c>
      <c r="E36" s="130"/>
      <c r="F36" s="130"/>
      <c r="G36" s="130"/>
      <c r="H36" s="130"/>
      <c r="I36" s="130"/>
      <c r="J36" s="130"/>
      <c r="K36" s="130"/>
      <c r="L36" s="130"/>
      <c r="M36" s="130"/>
      <c r="N36" s="130"/>
      <c r="O36" s="130"/>
      <c r="P36" s="130"/>
      <c r="Q36" s="130"/>
      <c r="R36" s="130"/>
      <c r="S36" s="28"/>
    </row>
    <row r="37" spans="2:19" x14ac:dyDescent="0.2">
      <c r="B37" s="24"/>
      <c r="C37" s="130"/>
      <c r="D37" s="141" t="s">
        <v>240</v>
      </c>
      <c r="E37" s="130"/>
      <c r="F37" s="130"/>
      <c r="G37" s="130"/>
      <c r="H37" s="130"/>
      <c r="I37" s="130"/>
      <c r="J37" s="130"/>
      <c r="K37" s="130"/>
      <c r="L37" s="130"/>
      <c r="M37" s="130"/>
      <c r="N37" s="130"/>
      <c r="O37" s="130"/>
      <c r="P37" s="130"/>
      <c r="Q37" s="130"/>
      <c r="R37" s="130"/>
      <c r="S37" s="28"/>
    </row>
    <row r="38" spans="2:19" x14ac:dyDescent="0.2">
      <c r="B38" s="24"/>
      <c r="C38" s="130"/>
      <c r="D38" s="142" t="s">
        <v>241</v>
      </c>
      <c r="E38" s="130"/>
      <c r="F38" s="130"/>
      <c r="G38" s="130"/>
      <c r="H38" s="130"/>
      <c r="I38" s="130"/>
      <c r="J38" s="130"/>
      <c r="K38" s="130"/>
      <c r="L38" s="130"/>
      <c r="M38" s="130"/>
      <c r="N38" s="130"/>
      <c r="O38" s="130"/>
      <c r="P38" s="130"/>
      <c r="Q38" s="130"/>
      <c r="R38" s="130"/>
      <c r="S38" s="28"/>
    </row>
    <row r="39" spans="2:19" x14ac:dyDescent="0.2">
      <c r="B39" s="24"/>
      <c r="C39" s="130"/>
      <c r="D39" s="143" t="s">
        <v>242</v>
      </c>
      <c r="E39" s="130"/>
      <c r="F39" s="130"/>
      <c r="G39" s="130"/>
      <c r="H39" s="130"/>
      <c r="I39" s="130"/>
      <c r="J39" s="130"/>
      <c r="K39" s="130"/>
      <c r="L39" s="130"/>
      <c r="M39" s="130"/>
      <c r="N39" s="130"/>
      <c r="O39" s="130"/>
      <c r="P39" s="130"/>
      <c r="Q39" s="130"/>
      <c r="R39" s="130"/>
      <c r="S39" s="28"/>
    </row>
    <row r="40" spans="2:19" x14ac:dyDescent="0.2">
      <c r="B40" s="24"/>
      <c r="C40" s="130"/>
      <c r="D40" s="141" t="s">
        <v>263</v>
      </c>
      <c r="E40" s="130"/>
      <c r="F40" s="130"/>
      <c r="G40" s="130"/>
      <c r="H40" s="130"/>
      <c r="I40" s="130"/>
      <c r="J40" s="130"/>
      <c r="K40" s="130"/>
      <c r="L40" s="130"/>
      <c r="M40" s="130"/>
      <c r="N40" s="130"/>
      <c r="O40" s="130"/>
      <c r="P40" s="130"/>
      <c r="Q40" s="130"/>
      <c r="R40" s="130"/>
      <c r="S40" s="28"/>
    </row>
    <row r="41" spans="2:19" x14ac:dyDescent="0.2">
      <c r="B41" s="24"/>
      <c r="C41" s="130"/>
      <c r="D41" s="141" t="s">
        <v>243</v>
      </c>
      <c r="E41" s="130"/>
      <c r="F41" s="130"/>
      <c r="G41" s="130"/>
      <c r="H41" s="130"/>
      <c r="I41" s="130"/>
      <c r="J41" s="130"/>
      <c r="K41" s="130"/>
      <c r="L41" s="130"/>
      <c r="M41" s="130"/>
      <c r="N41" s="130"/>
      <c r="O41" s="130"/>
      <c r="P41" s="130"/>
      <c r="Q41" s="130"/>
      <c r="R41" s="130"/>
      <c r="S41" s="28"/>
    </row>
    <row r="42" spans="2:19" x14ac:dyDescent="0.2">
      <c r="B42" s="24"/>
      <c r="C42" s="130"/>
      <c r="D42" s="143" t="s">
        <v>244</v>
      </c>
      <c r="E42" s="130"/>
      <c r="F42" s="130"/>
      <c r="G42" s="130"/>
      <c r="H42" s="130"/>
      <c r="I42" s="130"/>
      <c r="J42" s="130"/>
      <c r="K42" s="130"/>
      <c r="L42" s="130"/>
      <c r="M42" s="130"/>
      <c r="N42" s="130"/>
      <c r="O42" s="130"/>
      <c r="P42" s="130"/>
      <c r="Q42" s="130"/>
      <c r="R42" s="130"/>
      <c r="S42" s="28"/>
    </row>
    <row r="43" spans="2:19" x14ac:dyDescent="0.2">
      <c r="B43" s="24"/>
      <c r="C43" s="130"/>
      <c r="D43" s="141" t="s">
        <v>249</v>
      </c>
      <c r="E43" s="130"/>
      <c r="F43" s="130"/>
      <c r="G43" s="130"/>
      <c r="H43" s="130"/>
      <c r="I43" s="130"/>
      <c r="J43" s="130"/>
      <c r="K43" s="130"/>
      <c r="L43" s="130"/>
      <c r="M43" s="130"/>
      <c r="N43" s="130"/>
      <c r="O43" s="130"/>
      <c r="P43" s="130"/>
      <c r="Q43" s="130"/>
      <c r="R43" s="130"/>
      <c r="S43" s="28"/>
    </row>
    <row r="44" spans="2:19" x14ac:dyDescent="0.2">
      <c r="B44" s="24"/>
      <c r="C44" s="130"/>
      <c r="D44" s="144" t="s">
        <v>250</v>
      </c>
      <c r="E44" s="130"/>
      <c r="F44" s="130"/>
      <c r="G44" s="130"/>
      <c r="H44" s="130"/>
      <c r="I44" s="130"/>
      <c r="J44" s="130"/>
      <c r="K44" s="130"/>
      <c r="L44" s="130"/>
      <c r="M44" s="130"/>
      <c r="N44" s="130"/>
      <c r="O44" s="130"/>
      <c r="P44" s="130"/>
      <c r="Q44" s="130"/>
      <c r="R44" s="130"/>
      <c r="S44" s="28"/>
    </row>
    <row r="45" spans="2:19" x14ac:dyDescent="0.2">
      <c r="B45" s="24"/>
      <c r="C45" s="130"/>
      <c r="D45" s="143" t="s">
        <v>245</v>
      </c>
      <c r="E45" s="130"/>
      <c r="F45" s="130"/>
      <c r="G45" s="130"/>
      <c r="H45" s="130"/>
      <c r="I45" s="130"/>
      <c r="J45" s="130"/>
      <c r="K45" s="130"/>
      <c r="L45" s="130"/>
      <c r="M45" s="130"/>
      <c r="N45" s="130"/>
      <c r="O45" s="130"/>
      <c r="P45" s="130"/>
      <c r="Q45" s="130"/>
      <c r="R45" s="130"/>
      <c r="S45" s="28"/>
    </row>
    <row r="46" spans="2:19" x14ac:dyDescent="0.2">
      <c r="B46" s="24"/>
      <c r="C46" s="130"/>
      <c r="D46" s="141" t="s">
        <v>265</v>
      </c>
      <c r="E46" s="130"/>
      <c r="F46" s="130"/>
      <c r="G46" s="130"/>
      <c r="H46" s="130"/>
      <c r="I46" s="130"/>
      <c r="J46" s="130"/>
      <c r="K46" s="130"/>
      <c r="L46" s="130"/>
      <c r="M46" s="130"/>
      <c r="N46" s="130"/>
      <c r="O46" s="130"/>
      <c r="P46" s="130"/>
      <c r="Q46" s="130"/>
      <c r="R46" s="130"/>
      <c r="S46" s="28"/>
    </row>
    <row r="47" spans="2:19" x14ac:dyDescent="0.2">
      <c r="B47" s="24"/>
      <c r="C47" s="130"/>
      <c r="D47" s="141" t="s">
        <v>246</v>
      </c>
      <c r="E47" s="130"/>
      <c r="F47" s="130"/>
      <c r="G47" s="130"/>
      <c r="H47" s="130"/>
      <c r="I47" s="130"/>
      <c r="J47" s="130"/>
      <c r="K47" s="130"/>
      <c r="L47" s="130"/>
      <c r="M47" s="130"/>
      <c r="N47" s="130"/>
      <c r="O47" s="130"/>
      <c r="P47" s="130"/>
      <c r="Q47" s="130"/>
      <c r="R47" s="130"/>
      <c r="S47" s="28"/>
    </row>
    <row r="48" spans="2:19" x14ac:dyDescent="0.2">
      <c r="B48" s="24"/>
      <c r="C48" s="130"/>
      <c r="D48" s="141" t="s">
        <v>251</v>
      </c>
      <c r="E48" s="130"/>
      <c r="F48" s="130"/>
      <c r="G48" s="130"/>
      <c r="H48" s="130"/>
      <c r="I48" s="130"/>
      <c r="J48" s="130"/>
      <c r="K48" s="130"/>
      <c r="L48" s="130"/>
      <c r="M48" s="130"/>
      <c r="N48" s="130"/>
      <c r="O48" s="130"/>
      <c r="P48" s="130"/>
      <c r="Q48" s="130"/>
      <c r="R48" s="130"/>
      <c r="S48" s="28"/>
    </row>
    <row r="49" spans="2:19" x14ac:dyDescent="0.2">
      <c r="B49" s="24"/>
      <c r="C49" s="130"/>
      <c r="D49" s="141"/>
      <c r="E49" s="130"/>
      <c r="F49" s="130"/>
      <c r="G49" s="130"/>
      <c r="H49" s="130"/>
      <c r="I49" s="130"/>
      <c r="J49" s="130"/>
      <c r="K49" s="130"/>
      <c r="L49" s="130"/>
      <c r="M49" s="130"/>
      <c r="N49" s="130"/>
      <c r="O49" s="130"/>
      <c r="P49" s="130"/>
      <c r="Q49" s="130"/>
      <c r="R49" s="130"/>
      <c r="S49" s="28"/>
    </row>
    <row r="50" spans="2:19" x14ac:dyDescent="0.2">
      <c r="B50" s="24"/>
      <c r="C50" s="130"/>
      <c r="D50" s="145" t="s">
        <v>247</v>
      </c>
      <c r="E50" s="130"/>
      <c r="F50" s="130"/>
      <c r="G50" s="130"/>
      <c r="H50" s="130"/>
      <c r="I50" s="130"/>
      <c r="J50" s="130"/>
      <c r="K50" s="130"/>
      <c r="L50" s="130"/>
      <c r="M50" s="130"/>
      <c r="N50" s="130"/>
      <c r="O50" s="130"/>
      <c r="P50" s="130"/>
      <c r="Q50" s="130"/>
      <c r="R50" s="130"/>
      <c r="S50" s="28"/>
    </row>
    <row r="51" spans="2:19" x14ac:dyDescent="0.2">
      <c r="B51" s="24"/>
      <c r="C51" s="130"/>
      <c r="D51" s="130" t="s">
        <v>94</v>
      </c>
      <c r="E51" s="130"/>
      <c r="F51" s="130"/>
      <c r="G51" s="130"/>
      <c r="H51" s="130"/>
      <c r="I51" s="130"/>
      <c r="J51" s="130"/>
      <c r="K51" s="130"/>
      <c r="L51" s="130"/>
      <c r="M51" s="130"/>
      <c r="N51" s="130"/>
      <c r="O51" s="130"/>
      <c r="P51" s="130"/>
      <c r="Q51" s="130"/>
      <c r="R51" s="130"/>
      <c r="S51" s="28"/>
    </row>
    <row r="52" spans="2:19" x14ac:dyDescent="0.2">
      <c r="B52" s="24"/>
      <c r="C52" s="130"/>
      <c r="D52" s="130" t="s">
        <v>95</v>
      </c>
      <c r="E52" s="130"/>
      <c r="F52" s="130"/>
      <c r="G52" s="130"/>
      <c r="H52" s="130"/>
      <c r="I52" s="130"/>
      <c r="J52" s="130"/>
      <c r="K52" s="130"/>
      <c r="L52" s="130"/>
      <c r="M52" s="130"/>
      <c r="N52" s="130"/>
      <c r="O52" s="130"/>
      <c r="P52" s="130"/>
      <c r="Q52" s="130"/>
      <c r="R52" s="130"/>
      <c r="S52" s="28"/>
    </row>
    <row r="53" spans="2:19" x14ac:dyDescent="0.2">
      <c r="B53" s="24"/>
      <c r="C53" s="130"/>
      <c r="D53" s="130" t="s">
        <v>96</v>
      </c>
      <c r="E53" s="130"/>
      <c r="F53" s="130"/>
      <c r="G53" s="130"/>
      <c r="H53" s="130"/>
      <c r="I53" s="130"/>
      <c r="J53" s="130"/>
      <c r="K53" s="130"/>
      <c r="L53" s="130"/>
      <c r="M53" s="130"/>
      <c r="N53" s="130"/>
      <c r="O53" s="130"/>
      <c r="P53" s="130"/>
      <c r="Q53" s="130"/>
      <c r="R53" s="130"/>
      <c r="S53" s="28"/>
    </row>
    <row r="54" spans="2:19" x14ac:dyDescent="0.2">
      <c r="B54" s="24"/>
      <c r="C54" s="130"/>
      <c r="D54" s="130" t="s">
        <v>97</v>
      </c>
      <c r="E54" s="130"/>
      <c r="F54" s="130"/>
      <c r="G54" s="130"/>
      <c r="H54" s="130"/>
      <c r="I54" s="130"/>
      <c r="J54" s="130"/>
      <c r="K54" s="130"/>
      <c r="L54" s="130"/>
      <c r="M54" s="130"/>
      <c r="N54" s="130"/>
      <c r="O54" s="130"/>
      <c r="P54" s="130"/>
      <c r="Q54" s="130"/>
      <c r="R54" s="130"/>
      <c r="S54" s="28"/>
    </row>
    <row r="55" spans="2:19" x14ac:dyDescent="0.2">
      <c r="B55" s="24"/>
      <c r="C55" s="130"/>
      <c r="D55" s="130"/>
      <c r="E55" s="130"/>
      <c r="F55" s="130"/>
      <c r="G55" s="130"/>
      <c r="H55" s="130"/>
      <c r="I55" s="130"/>
      <c r="J55" s="130"/>
      <c r="K55" s="130"/>
      <c r="L55" s="130"/>
      <c r="M55" s="130"/>
      <c r="N55" s="130"/>
      <c r="O55" s="130"/>
      <c r="P55" s="130"/>
      <c r="Q55" s="130"/>
      <c r="R55" s="130"/>
      <c r="S55" s="28"/>
    </row>
    <row r="56" spans="2:19" x14ac:dyDescent="0.2">
      <c r="B56" s="24"/>
      <c r="C56" s="130"/>
      <c r="D56" s="130" t="s">
        <v>98</v>
      </c>
      <c r="E56" s="130"/>
      <c r="F56" s="130"/>
      <c r="G56" s="130"/>
      <c r="H56" s="130"/>
      <c r="I56" s="130"/>
      <c r="J56" s="130"/>
      <c r="K56" s="130"/>
      <c r="L56" s="130"/>
      <c r="M56" s="130"/>
      <c r="N56" s="130"/>
      <c r="O56" s="130"/>
      <c r="P56" s="130"/>
      <c r="Q56" s="130"/>
      <c r="R56" s="130"/>
      <c r="S56" s="28"/>
    </row>
    <row r="57" spans="2:19" x14ac:dyDescent="0.2">
      <c r="B57" s="24"/>
      <c r="C57" s="130"/>
      <c r="D57" s="141" t="s">
        <v>248</v>
      </c>
      <c r="E57" s="130"/>
      <c r="F57" s="130"/>
      <c r="G57" s="130"/>
      <c r="H57" s="130"/>
      <c r="I57" s="130"/>
      <c r="J57" s="130"/>
      <c r="K57" s="130"/>
      <c r="L57" s="130"/>
      <c r="M57" s="130"/>
      <c r="N57" s="130"/>
      <c r="O57" s="130"/>
      <c r="P57" s="130"/>
      <c r="Q57" s="130"/>
      <c r="R57" s="130"/>
      <c r="S57" s="28"/>
    </row>
    <row r="58" spans="2:19" x14ac:dyDescent="0.2">
      <c r="B58" s="24"/>
      <c r="C58" s="130"/>
      <c r="D58" s="130" t="s">
        <v>99</v>
      </c>
      <c r="E58" s="130"/>
      <c r="F58" s="130"/>
      <c r="G58" s="130"/>
      <c r="H58" s="130"/>
      <c r="I58" s="130"/>
      <c r="J58" s="130"/>
      <c r="K58" s="130"/>
      <c r="L58" s="130"/>
      <c r="M58" s="130"/>
      <c r="N58" s="130"/>
      <c r="O58" s="130"/>
      <c r="P58" s="130"/>
      <c r="Q58" s="130"/>
      <c r="R58" s="130"/>
      <c r="S58" s="28"/>
    </row>
    <row r="59" spans="2:19" x14ac:dyDescent="0.2">
      <c r="B59" s="24"/>
      <c r="C59" s="130"/>
      <c r="D59" s="130" t="s">
        <v>100</v>
      </c>
      <c r="E59" s="130"/>
      <c r="F59" s="130"/>
      <c r="G59" s="130"/>
      <c r="H59" s="130"/>
      <c r="I59" s="130"/>
      <c r="J59" s="130"/>
      <c r="K59" s="130"/>
      <c r="L59" s="130"/>
      <c r="M59" s="130"/>
      <c r="N59" s="130"/>
      <c r="O59" s="130"/>
      <c r="P59" s="130"/>
      <c r="Q59" s="130"/>
      <c r="R59" s="130"/>
      <c r="S59" s="28"/>
    </row>
    <row r="60" spans="2:19" x14ac:dyDescent="0.2">
      <c r="B60" s="24"/>
      <c r="C60" s="130"/>
      <c r="D60" s="130"/>
      <c r="E60" s="130"/>
      <c r="F60" s="130"/>
      <c r="G60" s="130"/>
      <c r="H60" s="130"/>
      <c r="I60" s="130"/>
      <c r="J60" s="130"/>
      <c r="K60" s="130"/>
      <c r="L60" s="130"/>
      <c r="M60" s="130"/>
      <c r="N60" s="130"/>
      <c r="O60" s="130"/>
      <c r="P60" s="130"/>
      <c r="Q60" s="130"/>
      <c r="R60" s="130"/>
      <c r="S60" s="28"/>
    </row>
    <row r="61" spans="2:19" x14ac:dyDescent="0.2">
      <c r="B61" s="24"/>
      <c r="C61" s="130"/>
      <c r="D61" s="130" t="s">
        <v>101</v>
      </c>
      <c r="E61" s="130"/>
      <c r="F61" s="130"/>
      <c r="G61" s="130"/>
      <c r="H61" s="130"/>
      <c r="I61" s="130"/>
      <c r="J61" s="130"/>
      <c r="K61" s="130"/>
      <c r="L61" s="130"/>
      <c r="M61" s="130"/>
      <c r="N61" s="130"/>
      <c r="O61" s="130"/>
      <c r="P61" s="130"/>
      <c r="Q61" s="130"/>
      <c r="R61" s="130"/>
      <c r="S61" s="28"/>
    </row>
    <row r="62" spans="2:19" x14ac:dyDescent="0.2">
      <c r="B62" s="24"/>
      <c r="C62" s="130"/>
      <c r="D62" s="130" t="s">
        <v>102</v>
      </c>
      <c r="E62" s="130"/>
      <c r="F62" s="130"/>
      <c r="G62" s="130"/>
      <c r="H62" s="130"/>
      <c r="I62" s="130"/>
      <c r="J62" s="130"/>
      <c r="K62" s="130"/>
      <c r="L62" s="130"/>
      <c r="M62" s="130"/>
      <c r="N62" s="130"/>
      <c r="O62" s="130"/>
      <c r="P62" s="130"/>
      <c r="Q62" s="130"/>
      <c r="R62" s="130"/>
      <c r="S62" s="28"/>
    </row>
    <row r="63" spans="2:19" x14ac:dyDescent="0.2">
      <c r="B63" s="24"/>
      <c r="C63" s="130"/>
      <c r="D63" s="130" t="s">
        <v>103</v>
      </c>
      <c r="E63" s="130"/>
      <c r="F63" s="130"/>
      <c r="G63" s="130"/>
      <c r="H63" s="130"/>
      <c r="I63" s="130"/>
      <c r="J63" s="130"/>
      <c r="K63" s="130"/>
      <c r="L63" s="130"/>
      <c r="M63" s="130"/>
      <c r="N63" s="130"/>
      <c r="O63" s="130"/>
      <c r="P63" s="130"/>
      <c r="Q63" s="130"/>
      <c r="R63" s="130"/>
      <c r="S63" s="28"/>
    </row>
    <row r="64" spans="2:19" x14ac:dyDescent="0.2">
      <c r="B64" s="24"/>
      <c r="C64" s="130"/>
      <c r="D64" s="130" t="s">
        <v>104</v>
      </c>
      <c r="E64" s="130"/>
      <c r="F64" s="130"/>
      <c r="G64" s="130"/>
      <c r="H64" s="130"/>
      <c r="I64" s="130"/>
      <c r="J64" s="130"/>
      <c r="K64" s="130"/>
      <c r="L64" s="130"/>
      <c r="M64" s="130"/>
      <c r="N64" s="130"/>
      <c r="O64" s="130"/>
      <c r="P64" s="130"/>
      <c r="Q64" s="130"/>
      <c r="R64" s="130"/>
      <c r="S64" s="28"/>
    </row>
    <row r="65" spans="2:21" x14ac:dyDescent="0.2">
      <c r="B65" s="24"/>
      <c r="C65" s="130"/>
      <c r="D65" s="130"/>
      <c r="E65" s="130"/>
      <c r="F65" s="130"/>
      <c r="G65" s="130"/>
      <c r="H65" s="130"/>
      <c r="I65" s="130"/>
      <c r="J65" s="130"/>
      <c r="K65" s="130"/>
      <c r="L65" s="130"/>
      <c r="M65" s="130"/>
      <c r="N65" s="130"/>
      <c r="O65" s="130"/>
      <c r="P65" s="130"/>
      <c r="Q65" s="130"/>
      <c r="R65" s="130"/>
      <c r="S65" s="28"/>
      <c r="U65" s="128"/>
    </row>
    <row r="66" spans="2:21" x14ac:dyDescent="0.2">
      <c r="B66" s="24"/>
      <c r="C66" s="130"/>
      <c r="D66" s="281" t="s">
        <v>105</v>
      </c>
      <c r="E66" s="130"/>
      <c r="F66" s="130"/>
      <c r="G66" s="130"/>
      <c r="H66" s="130"/>
      <c r="I66" s="130"/>
      <c r="J66" s="130"/>
      <c r="K66" s="130"/>
      <c r="L66" s="130"/>
      <c r="M66" s="130"/>
      <c r="N66" s="130"/>
      <c r="O66" s="130"/>
      <c r="P66" s="130"/>
      <c r="Q66" s="130"/>
      <c r="R66" s="130"/>
      <c r="S66" s="28"/>
      <c r="U66" s="129"/>
    </row>
    <row r="67" spans="2:21" x14ac:dyDescent="0.2">
      <c r="B67" s="24"/>
      <c r="C67" s="130"/>
      <c r="D67" s="281" t="s">
        <v>233</v>
      </c>
      <c r="E67" s="130"/>
      <c r="F67" s="130"/>
      <c r="G67" s="130"/>
      <c r="H67" s="130"/>
      <c r="I67" s="130"/>
      <c r="J67" s="130"/>
      <c r="K67" s="130"/>
      <c r="L67" s="130"/>
      <c r="M67" s="130"/>
      <c r="N67" s="130"/>
      <c r="O67" s="130"/>
      <c r="P67" s="130"/>
      <c r="Q67" s="130"/>
      <c r="R67" s="130"/>
      <c r="S67" s="28"/>
      <c r="U67" s="128"/>
    </row>
    <row r="68" spans="2:21" x14ac:dyDescent="0.2">
      <c r="B68" s="24"/>
      <c r="C68" s="130"/>
      <c r="D68" s="281" t="s">
        <v>234</v>
      </c>
      <c r="E68" s="130"/>
      <c r="F68" s="130"/>
      <c r="G68" s="130"/>
      <c r="H68" s="130"/>
      <c r="I68" s="130"/>
      <c r="J68" s="130"/>
      <c r="K68" s="130"/>
      <c r="L68" s="130"/>
      <c r="M68" s="130"/>
      <c r="N68" s="130"/>
      <c r="O68" s="130"/>
      <c r="P68" s="130"/>
      <c r="Q68" s="130"/>
      <c r="R68" s="130"/>
      <c r="S68" s="28"/>
    </row>
    <row r="69" spans="2:21" x14ac:dyDescent="0.2">
      <c r="B69" s="24"/>
      <c r="C69" s="130"/>
      <c r="D69" s="281" t="s">
        <v>231</v>
      </c>
      <c r="E69" s="130"/>
      <c r="F69" s="130"/>
      <c r="G69" s="130"/>
      <c r="H69" s="130"/>
      <c r="I69" s="130"/>
      <c r="J69" s="130"/>
      <c r="K69" s="130"/>
      <c r="L69" s="130"/>
      <c r="M69" s="130"/>
      <c r="N69" s="130"/>
      <c r="O69" s="130"/>
      <c r="P69" s="130"/>
      <c r="Q69" s="130"/>
      <c r="R69" s="130"/>
      <c r="S69" s="28"/>
    </row>
    <row r="70" spans="2:21" x14ac:dyDescent="0.2">
      <c r="B70" s="24"/>
      <c r="C70" s="130"/>
      <c r="D70" s="130"/>
      <c r="E70" s="130"/>
      <c r="F70" s="130"/>
      <c r="G70" s="130"/>
      <c r="H70" s="130"/>
      <c r="I70" s="130"/>
      <c r="J70" s="130"/>
      <c r="K70" s="130"/>
      <c r="L70" s="130"/>
      <c r="M70" s="130"/>
      <c r="N70" s="130"/>
      <c r="O70" s="130"/>
      <c r="P70" s="130"/>
      <c r="Q70" s="130"/>
      <c r="R70" s="130"/>
      <c r="S70" s="28"/>
    </row>
    <row r="71" spans="2:21" x14ac:dyDescent="0.2">
      <c r="B71" s="24"/>
      <c r="C71" s="130"/>
      <c r="D71" s="130" t="s">
        <v>257</v>
      </c>
      <c r="E71" s="130"/>
      <c r="F71" s="130"/>
      <c r="G71" s="130"/>
      <c r="H71" s="130"/>
      <c r="I71" s="130"/>
      <c r="J71" s="130"/>
      <c r="K71" s="130"/>
      <c r="L71" s="130"/>
      <c r="M71" s="130"/>
      <c r="N71" s="130"/>
      <c r="O71" s="130"/>
      <c r="P71" s="130"/>
      <c r="Q71" s="130"/>
      <c r="R71" s="130"/>
      <c r="S71" s="28"/>
    </row>
    <row r="72" spans="2:21" x14ac:dyDescent="0.2">
      <c r="B72" s="24"/>
      <c r="C72" s="130"/>
      <c r="D72" s="130" t="s">
        <v>255</v>
      </c>
      <c r="E72" s="130"/>
      <c r="F72" s="130"/>
      <c r="G72" s="130"/>
      <c r="H72" s="130"/>
      <c r="I72" s="130"/>
      <c r="J72" s="130"/>
      <c r="K72" s="130"/>
      <c r="L72" s="130"/>
      <c r="M72" s="130"/>
      <c r="N72" s="130"/>
      <c r="O72" s="130"/>
      <c r="P72" s="130"/>
      <c r="Q72" s="130"/>
      <c r="R72" s="130"/>
      <c r="S72" s="28"/>
    </row>
    <row r="73" spans="2:21" x14ac:dyDescent="0.2">
      <c r="B73" s="24"/>
      <c r="C73" s="130"/>
      <c r="D73" s="130" t="s">
        <v>256</v>
      </c>
      <c r="E73" s="130"/>
      <c r="F73" s="130"/>
      <c r="G73" s="130"/>
      <c r="H73" s="130"/>
      <c r="I73" s="130"/>
      <c r="J73" s="130"/>
      <c r="K73" s="130"/>
      <c r="L73" s="130"/>
      <c r="M73" s="130"/>
      <c r="N73" s="130"/>
      <c r="O73" s="130"/>
      <c r="P73" s="130"/>
      <c r="Q73" s="130"/>
      <c r="R73" s="130"/>
      <c r="S73" s="28"/>
    </row>
    <row r="74" spans="2:21" x14ac:dyDescent="0.2">
      <c r="B74" s="24"/>
      <c r="C74" s="130"/>
      <c r="D74" s="130"/>
      <c r="E74" s="130"/>
      <c r="F74" s="130"/>
      <c r="G74" s="130"/>
      <c r="H74" s="130"/>
      <c r="I74" s="130"/>
      <c r="J74" s="130"/>
      <c r="K74" s="130"/>
      <c r="L74" s="130"/>
      <c r="M74" s="130"/>
      <c r="N74" s="130"/>
      <c r="O74" s="130"/>
      <c r="P74" s="130"/>
      <c r="Q74" s="130"/>
      <c r="R74" s="130"/>
      <c r="S74" s="28"/>
    </row>
    <row r="75" spans="2:21" x14ac:dyDescent="0.2">
      <c r="B75" s="24"/>
      <c r="C75" s="130"/>
      <c r="D75" s="139" t="s">
        <v>28</v>
      </c>
      <c r="E75" s="130"/>
      <c r="F75" s="130"/>
      <c r="G75" s="130"/>
      <c r="H75" s="130"/>
      <c r="I75" s="130"/>
      <c r="J75" s="130"/>
      <c r="K75" s="130"/>
      <c r="L75" s="130"/>
      <c r="M75" s="130"/>
      <c r="N75" s="130"/>
      <c r="O75" s="130"/>
      <c r="P75" s="130"/>
      <c r="Q75" s="130"/>
      <c r="R75" s="130"/>
      <c r="S75" s="28"/>
    </row>
    <row r="76" spans="2:21" x14ac:dyDescent="0.2">
      <c r="B76" s="24"/>
      <c r="C76" s="130"/>
      <c r="D76" s="130" t="s">
        <v>266</v>
      </c>
      <c r="E76" s="130"/>
      <c r="F76" s="130"/>
      <c r="G76" s="130"/>
      <c r="H76" s="130"/>
      <c r="I76" s="130"/>
      <c r="J76" s="130"/>
      <c r="K76" s="130"/>
      <c r="L76" s="130"/>
      <c r="M76" s="130"/>
      <c r="N76" s="130"/>
      <c r="O76" s="130"/>
      <c r="P76" s="130"/>
      <c r="Q76" s="130"/>
      <c r="R76" s="130"/>
      <c r="S76" s="28"/>
    </row>
    <row r="77" spans="2:21" x14ac:dyDescent="0.2">
      <c r="B77" s="24"/>
      <c r="C77" s="130"/>
      <c r="D77" s="130"/>
      <c r="E77" s="130"/>
      <c r="F77" s="130"/>
      <c r="G77" s="130"/>
      <c r="H77" s="130"/>
      <c r="I77" s="130"/>
      <c r="J77" s="130"/>
      <c r="K77" s="130"/>
      <c r="L77" s="130"/>
      <c r="M77" s="130"/>
      <c r="N77" s="130"/>
      <c r="O77" s="130"/>
      <c r="P77" s="130"/>
      <c r="Q77" s="130"/>
      <c r="R77" s="130"/>
      <c r="S77" s="28"/>
    </row>
    <row r="78" spans="2:21" hidden="1" x14ac:dyDescent="0.2">
      <c r="B78" s="24"/>
      <c r="C78" s="130"/>
      <c r="D78" s="139" t="s">
        <v>106</v>
      </c>
      <c r="E78" s="130"/>
      <c r="F78" s="130"/>
      <c r="G78" s="130"/>
      <c r="H78" s="130"/>
      <c r="I78" s="130"/>
      <c r="J78" s="130"/>
      <c r="K78" s="130"/>
      <c r="L78" s="130"/>
      <c r="M78" s="130"/>
      <c r="N78" s="130"/>
      <c r="O78" s="130"/>
      <c r="P78" s="130"/>
      <c r="Q78" s="130"/>
      <c r="R78" s="130"/>
      <c r="S78" s="28"/>
    </row>
    <row r="79" spans="2:21" hidden="1" x14ac:dyDescent="0.2">
      <c r="B79" s="24"/>
      <c r="C79" s="130"/>
      <c r="D79" s="130" t="s">
        <v>285</v>
      </c>
      <c r="E79" s="130"/>
      <c r="F79" s="130"/>
      <c r="G79" s="130"/>
      <c r="H79" s="130"/>
      <c r="I79" s="130"/>
      <c r="J79" s="130"/>
      <c r="K79" s="130"/>
      <c r="L79" s="130"/>
      <c r="M79" s="130"/>
      <c r="N79" s="130"/>
      <c r="O79" s="130"/>
      <c r="P79" s="130"/>
      <c r="Q79" s="130"/>
      <c r="R79" s="130"/>
      <c r="S79" s="28"/>
    </row>
    <row r="80" spans="2:21" hidden="1" x14ac:dyDescent="0.2">
      <c r="B80" s="24"/>
      <c r="C80" s="130"/>
      <c r="D80" s="130"/>
      <c r="E80" s="130"/>
      <c r="F80" s="130"/>
      <c r="G80" s="130"/>
      <c r="H80" s="130"/>
      <c r="I80" s="130"/>
      <c r="J80" s="130"/>
      <c r="K80" s="130"/>
      <c r="L80" s="130"/>
      <c r="M80" s="130"/>
      <c r="N80" s="130"/>
      <c r="O80" s="130"/>
      <c r="P80" s="130"/>
      <c r="Q80" s="130"/>
      <c r="R80" s="130"/>
      <c r="S80" s="28"/>
    </row>
    <row r="81" spans="2:19" x14ac:dyDescent="0.2">
      <c r="B81" s="24"/>
      <c r="C81" s="130"/>
      <c r="D81" s="139" t="s">
        <v>107</v>
      </c>
      <c r="E81" s="130"/>
      <c r="F81" s="130"/>
      <c r="G81" s="130"/>
      <c r="H81" s="130"/>
      <c r="I81" s="130"/>
      <c r="J81" s="130"/>
      <c r="K81" s="130"/>
      <c r="L81" s="130"/>
      <c r="M81" s="130"/>
      <c r="N81" s="130"/>
      <c r="O81" s="130"/>
      <c r="P81" s="130"/>
      <c r="Q81" s="130"/>
      <c r="R81" s="130"/>
      <c r="S81" s="28"/>
    </row>
    <row r="82" spans="2:19" x14ac:dyDescent="0.2">
      <c r="B82" s="24"/>
      <c r="C82" s="130"/>
      <c r="D82" s="130" t="s">
        <v>108</v>
      </c>
      <c r="E82" s="130"/>
      <c r="F82" s="130"/>
      <c r="G82" s="130"/>
      <c r="H82" s="130"/>
      <c r="I82" s="130"/>
      <c r="J82" s="130"/>
      <c r="K82" s="130"/>
      <c r="L82" s="130"/>
      <c r="M82" s="130"/>
      <c r="N82" s="130"/>
      <c r="O82" s="130"/>
      <c r="P82" s="130"/>
      <c r="Q82" s="138"/>
      <c r="R82" s="130"/>
      <c r="S82" s="28"/>
    </row>
    <row r="83" spans="2:19" x14ac:dyDescent="0.2">
      <c r="B83" s="24"/>
      <c r="C83" s="130"/>
      <c r="D83" s="130"/>
      <c r="E83" s="130"/>
      <c r="F83" s="130"/>
      <c r="G83" s="130"/>
      <c r="H83" s="130"/>
      <c r="I83" s="130"/>
      <c r="J83" s="130"/>
      <c r="K83" s="130"/>
      <c r="L83" s="130"/>
      <c r="M83" s="130"/>
      <c r="N83" s="130"/>
      <c r="O83" s="130"/>
      <c r="P83" s="130"/>
      <c r="Q83" s="138"/>
      <c r="R83" s="130"/>
      <c r="S83" s="28"/>
    </row>
    <row r="84" spans="2:19" x14ac:dyDescent="0.2">
      <c r="B84" s="24"/>
      <c r="C84" s="130"/>
      <c r="D84" s="139" t="s">
        <v>109</v>
      </c>
      <c r="E84" s="130"/>
      <c r="F84" s="130"/>
      <c r="G84" s="130"/>
      <c r="H84" s="130"/>
      <c r="I84" s="130"/>
      <c r="J84" s="130"/>
      <c r="K84" s="130"/>
      <c r="L84" s="130"/>
      <c r="M84" s="130"/>
      <c r="N84" s="130"/>
      <c r="O84" s="130"/>
      <c r="P84" s="130"/>
      <c r="Q84" s="138"/>
      <c r="R84" s="130"/>
      <c r="S84" s="28"/>
    </row>
    <row r="85" spans="2:19" x14ac:dyDescent="0.2">
      <c r="B85" s="24"/>
      <c r="C85" s="130"/>
      <c r="D85" s="130" t="s">
        <v>258</v>
      </c>
      <c r="E85" s="130"/>
      <c r="F85" s="130"/>
      <c r="G85" s="130"/>
      <c r="H85" s="130"/>
      <c r="I85" s="130"/>
      <c r="J85" s="130"/>
      <c r="K85" s="130"/>
      <c r="L85" s="130"/>
      <c r="M85" s="130"/>
      <c r="N85" s="130"/>
      <c r="O85" s="130"/>
      <c r="P85" s="130"/>
      <c r="Q85" s="130"/>
      <c r="R85" s="130"/>
      <c r="S85" s="28"/>
    </row>
    <row r="86" spans="2:19" x14ac:dyDescent="0.2">
      <c r="B86" s="24"/>
      <c r="C86" s="130"/>
      <c r="D86" s="130" t="s">
        <v>259</v>
      </c>
      <c r="E86" s="130"/>
      <c r="F86" s="130"/>
      <c r="G86" s="130"/>
      <c r="H86" s="130"/>
      <c r="I86" s="130"/>
      <c r="J86" s="130"/>
      <c r="K86" s="130"/>
      <c r="L86" s="130"/>
      <c r="M86" s="130"/>
      <c r="N86" s="130"/>
      <c r="O86" s="130"/>
      <c r="P86" s="130"/>
      <c r="Q86" s="130"/>
      <c r="R86" s="130"/>
      <c r="S86" s="28"/>
    </row>
    <row r="87" spans="2:19" ht="13.5" thickBot="1" x14ac:dyDescent="0.25">
      <c r="B87" s="120"/>
      <c r="C87" s="146"/>
      <c r="D87" s="146"/>
      <c r="E87" s="146"/>
      <c r="F87" s="146"/>
      <c r="G87" s="146"/>
      <c r="H87" s="146"/>
      <c r="I87" s="146"/>
      <c r="J87" s="146"/>
      <c r="K87" s="146"/>
      <c r="L87" s="146"/>
      <c r="M87" s="146"/>
      <c r="N87" s="146"/>
      <c r="O87" s="146"/>
      <c r="P87" s="146"/>
      <c r="Q87" s="146"/>
      <c r="R87" s="146"/>
      <c r="S87" s="121"/>
    </row>
    <row r="88" spans="2:19" x14ac:dyDescent="0.2">
      <c r="B88" s="19"/>
      <c r="C88" s="147"/>
      <c r="D88" s="147"/>
      <c r="E88" s="147"/>
      <c r="F88" s="147"/>
      <c r="G88" s="147"/>
      <c r="H88" s="147"/>
      <c r="I88" s="147"/>
      <c r="J88" s="147"/>
      <c r="K88" s="147"/>
      <c r="L88" s="147"/>
      <c r="M88" s="147"/>
      <c r="N88" s="147"/>
      <c r="O88" s="147"/>
      <c r="P88" s="147"/>
      <c r="Q88" s="147"/>
      <c r="R88" s="147"/>
      <c r="S88" s="23"/>
    </row>
    <row r="89" spans="2:19" x14ac:dyDescent="0.2">
      <c r="B89" s="24"/>
      <c r="C89" s="137" t="s">
        <v>110</v>
      </c>
      <c r="D89" s="131" t="s">
        <v>111</v>
      </c>
      <c r="E89" s="130"/>
      <c r="F89" s="130"/>
      <c r="G89" s="130"/>
      <c r="H89" s="130"/>
      <c r="I89" s="130"/>
      <c r="J89" s="130"/>
      <c r="K89" s="130"/>
      <c r="L89" s="130"/>
      <c r="M89" s="130"/>
      <c r="N89" s="130"/>
      <c r="O89" s="130"/>
      <c r="P89" s="130"/>
      <c r="Q89" s="130"/>
      <c r="R89" s="130"/>
      <c r="S89" s="28"/>
    </row>
    <row r="90" spans="2:19" x14ac:dyDescent="0.2">
      <c r="B90" s="24"/>
      <c r="C90" s="137"/>
      <c r="D90" s="131"/>
      <c r="E90" s="130"/>
      <c r="F90" s="130"/>
      <c r="G90" s="130"/>
      <c r="H90" s="130"/>
      <c r="I90" s="130"/>
      <c r="J90" s="130"/>
      <c r="K90" s="130"/>
      <c r="L90" s="130"/>
      <c r="M90" s="130"/>
      <c r="N90" s="130"/>
      <c r="O90" s="130"/>
      <c r="P90" s="130"/>
      <c r="Q90" s="130"/>
      <c r="R90" s="130"/>
      <c r="S90" s="28"/>
    </row>
    <row r="91" spans="2:19" x14ac:dyDescent="0.2">
      <c r="B91" s="24"/>
      <c r="C91" s="137"/>
      <c r="D91" s="139" t="s">
        <v>43</v>
      </c>
      <c r="E91" s="130"/>
      <c r="F91" s="130"/>
      <c r="G91" s="130"/>
      <c r="H91" s="130"/>
      <c r="I91" s="130"/>
      <c r="J91" s="130"/>
      <c r="K91" s="130"/>
      <c r="L91" s="130"/>
      <c r="M91" s="130"/>
      <c r="N91" s="130"/>
      <c r="O91" s="130"/>
      <c r="P91" s="130"/>
      <c r="Q91" s="130"/>
      <c r="R91" s="130"/>
      <c r="S91" s="28"/>
    </row>
    <row r="92" spans="2:19" x14ac:dyDescent="0.2">
      <c r="B92" s="24"/>
      <c r="C92" s="137"/>
      <c r="D92" s="130" t="s">
        <v>112</v>
      </c>
      <c r="E92" s="130"/>
      <c r="F92" s="130"/>
      <c r="G92" s="130"/>
      <c r="H92" s="130"/>
      <c r="I92" s="130"/>
      <c r="J92" s="130"/>
      <c r="K92" s="130"/>
      <c r="L92" s="130"/>
      <c r="M92" s="130"/>
      <c r="N92" s="130"/>
      <c r="O92" s="130"/>
      <c r="P92" s="130"/>
      <c r="Q92" s="130"/>
      <c r="R92" s="130"/>
      <c r="S92" s="28"/>
    </row>
    <row r="93" spans="2:19" x14ac:dyDescent="0.2">
      <c r="B93" s="24"/>
      <c r="C93" s="137"/>
      <c r="D93" s="130" t="s">
        <v>260</v>
      </c>
      <c r="E93" s="130"/>
      <c r="F93" s="130"/>
      <c r="G93" s="130"/>
      <c r="H93" s="130"/>
      <c r="I93" s="130"/>
      <c r="J93" s="130"/>
      <c r="K93" s="130"/>
      <c r="L93" s="130"/>
      <c r="M93" s="130"/>
      <c r="N93" s="130"/>
      <c r="O93" s="130"/>
      <c r="P93" s="130"/>
      <c r="Q93" s="130"/>
      <c r="R93" s="130"/>
      <c r="S93" s="28"/>
    </row>
    <row r="94" spans="2:19" x14ac:dyDescent="0.2">
      <c r="B94" s="24"/>
      <c r="C94" s="137"/>
      <c r="D94" s="130" t="s">
        <v>113</v>
      </c>
      <c r="E94" s="130"/>
      <c r="F94" s="130"/>
      <c r="G94" s="130"/>
      <c r="H94" s="130"/>
      <c r="I94" s="130"/>
      <c r="J94" s="130"/>
      <c r="K94" s="130"/>
      <c r="L94" s="130"/>
      <c r="M94" s="130"/>
      <c r="N94" s="130"/>
      <c r="O94" s="130"/>
      <c r="P94" s="130"/>
      <c r="Q94" s="130"/>
      <c r="R94" s="130"/>
      <c r="S94" s="28"/>
    </row>
    <row r="95" spans="2:19" x14ac:dyDescent="0.2">
      <c r="B95" s="24"/>
      <c r="C95" s="137"/>
      <c r="D95" s="130"/>
      <c r="E95" s="130"/>
      <c r="F95" s="130"/>
      <c r="G95" s="130"/>
      <c r="H95" s="130"/>
      <c r="I95" s="130"/>
      <c r="J95" s="130"/>
      <c r="K95" s="130"/>
      <c r="L95" s="130"/>
      <c r="M95" s="130"/>
      <c r="N95" s="130"/>
      <c r="O95" s="130"/>
      <c r="P95" s="130"/>
      <c r="Q95" s="130"/>
      <c r="R95" s="130"/>
      <c r="S95" s="28"/>
    </row>
    <row r="96" spans="2:19" x14ac:dyDescent="0.2">
      <c r="B96" s="24"/>
      <c r="C96" s="137"/>
      <c r="D96" s="139" t="s">
        <v>114</v>
      </c>
      <c r="E96" s="130"/>
      <c r="F96" s="130"/>
      <c r="G96" s="130"/>
      <c r="H96" s="130"/>
      <c r="I96" s="130"/>
      <c r="J96" s="130"/>
      <c r="K96" s="130"/>
      <c r="L96" s="130"/>
      <c r="M96" s="130"/>
      <c r="N96" s="130"/>
      <c r="O96" s="130"/>
      <c r="P96" s="130"/>
      <c r="Q96" s="130"/>
      <c r="R96" s="130"/>
      <c r="S96" s="28"/>
    </row>
    <row r="97" spans="2:19" x14ac:dyDescent="0.2">
      <c r="B97" s="24"/>
      <c r="C97" s="137"/>
      <c r="D97" s="130" t="s">
        <v>115</v>
      </c>
      <c r="E97" s="130"/>
      <c r="F97" s="130"/>
      <c r="G97" s="130"/>
      <c r="H97" s="130"/>
      <c r="I97" s="130"/>
      <c r="J97" s="130"/>
      <c r="K97" s="130"/>
      <c r="L97" s="130"/>
      <c r="M97" s="130"/>
      <c r="N97" s="130"/>
      <c r="O97" s="130"/>
      <c r="P97" s="130"/>
      <c r="Q97" s="130"/>
      <c r="R97" s="130"/>
      <c r="S97" s="28"/>
    </row>
    <row r="98" spans="2:19" x14ac:dyDescent="0.2">
      <c r="B98" s="24"/>
      <c r="C98" s="137"/>
      <c r="D98" s="130" t="s">
        <v>116</v>
      </c>
      <c r="E98" s="130"/>
      <c r="F98" s="130"/>
      <c r="G98" s="130"/>
      <c r="H98" s="130"/>
      <c r="I98" s="130"/>
      <c r="J98" s="130"/>
      <c r="K98" s="130"/>
      <c r="L98" s="130"/>
      <c r="M98" s="130"/>
      <c r="N98" s="130"/>
      <c r="O98" s="130"/>
      <c r="P98" s="130"/>
      <c r="Q98" s="130"/>
      <c r="R98" s="130"/>
      <c r="S98" s="28"/>
    </row>
    <row r="99" spans="2:19" x14ac:dyDescent="0.2">
      <c r="B99" s="24"/>
      <c r="C99" s="137"/>
      <c r="D99" s="130" t="s">
        <v>117</v>
      </c>
      <c r="E99" s="130"/>
      <c r="F99" s="130"/>
      <c r="G99" s="130"/>
      <c r="H99" s="130"/>
      <c r="I99" s="130"/>
      <c r="J99" s="130"/>
      <c r="K99" s="130"/>
      <c r="L99" s="130"/>
      <c r="M99" s="130"/>
      <c r="N99" s="130"/>
      <c r="O99" s="130"/>
      <c r="P99" s="130"/>
      <c r="Q99" s="130"/>
      <c r="R99" s="130"/>
      <c r="S99" s="28"/>
    </row>
    <row r="100" spans="2:19" x14ac:dyDescent="0.2">
      <c r="B100" s="24"/>
      <c r="C100" s="137"/>
      <c r="D100" s="130" t="s">
        <v>118</v>
      </c>
      <c r="E100" s="130"/>
      <c r="F100" s="130"/>
      <c r="G100" s="130"/>
      <c r="H100" s="130"/>
      <c r="I100" s="130"/>
      <c r="J100" s="130"/>
      <c r="K100" s="130"/>
      <c r="L100" s="130"/>
      <c r="M100" s="130"/>
      <c r="N100" s="130"/>
      <c r="O100" s="130"/>
      <c r="P100" s="130"/>
      <c r="Q100" s="130"/>
      <c r="R100" s="130"/>
      <c r="S100" s="28"/>
    </row>
    <row r="101" spans="2:19" x14ac:dyDescent="0.2">
      <c r="B101" s="24"/>
      <c r="C101" s="137"/>
      <c r="D101" s="130"/>
      <c r="E101" s="130"/>
      <c r="F101" s="130"/>
      <c r="G101" s="130"/>
      <c r="H101" s="130"/>
      <c r="I101" s="130"/>
      <c r="J101" s="130"/>
      <c r="K101" s="130"/>
      <c r="L101" s="130"/>
      <c r="M101" s="130"/>
      <c r="N101" s="130"/>
      <c r="O101" s="130"/>
      <c r="P101" s="130"/>
      <c r="Q101" s="130"/>
      <c r="R101" s="130"/>
      <c r="S101" s="28"/>
    </row>
    <row r="102" spans="2:19" x14ac:dyDescent="0.2">
      <c r="B102" s="24"/>
      <c r="C102" s="137" t="s">
        <v>119</v>
      </c>
      <c r="D102" s="131" t="s">
        <v>120</v>
      </c>
      <c r="E102" s="130"/>
      <c r="F102" s="130"/>
      <c r="G102" s="130"/>
      <c r="H102" s="130"/>
      <c r="I102" s="130"/>
      <c r="J102" s="130"/>
      <c r="K102" s="130"/>
      <c r="L102" s="130"/>
      <c r="M102" s="130"/>
      <c r="N102" s="130"/>
      <c r="O102" s="130"/>
      <c r="P102" s="130"/>
      <c r="Q102" s="130"/>
      <c r="R102" s="130"/>
      <c r="S102" s="28"/>
    </row>
    <row r="103" spans="2:19" x14ac:dyDescent="0.2">
      <c r="B103" s="24"/>
      <c r="C103" s="137"/>
      <c r="D103" s="131"/>
      <c r="E103" s="130"/>
      <c r="F103" s="130"/>
      <c r="G103" s="130"/>
      <c r="H103" s="130"/>
      <c r="I103" s="130"/>
      <c r="J103" s="130"/>
      <c r="K103" s="130"/>
      <c r="L103" s="130"/>
      <c r="M103" s="130"/>
      <c r="N103" s="130"/>
      <c r="O103" s="130"/>
      <c r="P103" s="130"/>
      <c r="Q103" s="130"/>
      <c r="R103" s="130"/>
      <c r="S103" s="28"/>
    </row>
    <row r="104" spans="2:19" x14ac:dyDescent="0.2">
      <c r="B104" s="24"/>
      <c r="C104" s="137"/>
      <c r="D104" s="130" t="s">
        <v>121</v>
      </c>
      <c r="E104" s="130"/>
      <c r="F104" s="130"/>
      <c r="G104" s="130"/>
      <c r="H104" s="130"/>
      <c r="I104" s="130"/>
      <c r="J104" s="130"/>
      <c r="K104" s="130"/>
      <c r="L104" s="130"/>
      <c r="M104" s="130"/>
      <c r="N104" s="130"/>
      <c r="O104" s="130"/>
      <c r="P104" s="130"/>
      <c r="Q104" s="130"/>
      <c r="R104" s="130"/>
      <c r="S104" s="28"/>
    </row>
    <row r="105" spans="2:19" x14ac:dyDescent="0.2">
      <c r="B105" s="24"/>
      <c r="C105" s="137"/>
      <c r="D105" s="130" t="s">
        <v>122</v>
      </c>
      <c r="E105" s="130"/>
      <c r="F105" s="130"/>
      <c r="G105" s="130"/>
      <c r="H105" s="130"/>
      <c r="I105" s="130"/>
      <c r="J105" s="130"/>
      <c r="K105" s="130"/>
      <c r="L105" s="130"/>
      <c r="M105" s="130"/>
      <c r="N105" s="130"/>
      <c r="O105" s="130"/>
      <c r="P105" s="130"/>
      <c r="Q105" s="130"/>
      <c r="R105" s="130"/>
      <c r="S105" s="28"/>
    </row>
    <row r="106" spans="2:19" x14ac:dyDescent="0.2">
      <c r="B106" s="24"/>
      <c r="C106" s="137"/>
      <c r="D106" s="130" t="s">
        <v>123</v>
      </c>
      <c r="E106" s="130"/>
      <c r="F106" s="130"/>
      <c r="G106" s="130"/>
      <c r="H106" s="130"/>
      <c r="I106" s="130"/>
      <c r="J106" s="130"/>
      <c r="K106" s="130"/>
      <c r="L106" s="130"/>
      <c r="M106" s="130"/>
      <c r="N106" s="130"/>
      <c r="O106" s="130"/>
      <c r="P106" s="130"/>
      <c r="Q106" s="130"/>
      <c r="R106" s="130"/>
      <c r="S106" s="28"/>
    </row>
    <row r="107" spans="2:19" x14ac:dyDescent="0.2">
      <c r="B107" s="24"/>
      <c r="C107" s="137"/>
      <c r="D107" s="130" t="s">
        <v>252</v>
      </c>
      <c r="E107" s="130"/>
      <c r="F107" s="130"/>
      <c r="G107" s="130"/>
      <c r="H107" s="130"/>
      <c r="I107" s="130"/>
      <c r="J107" s="130"/>
      <c r="K107" s="130"/>
      <c r="L107" s="130"/>
      <c r="M107" s="130"/>
      <c r="N107" s="130"/>
      <c r="O107" s="130"/>
      <c r="P107" s="130"/>
      <c r="Q107" s="130"/>
      <c r="R107" s="130"/>
      <c r="S107" s="28"/>
    </row>
    <row r="108" spans="2:19" x14ac:dyDescent="0.2">
      <c r="B108" s="24"/>
      <c r="C108" s="137"/>
      <c r="D108" s="130" t="s">
        <v>124</v>
      </c>
      <c r="E108" s="130"/>
      <c r="F108" s="130"/>
      <c r="G108" s="130"/>
      <c r="H108" s="130"/>
      <c r="I108" s="130"/>
      <c r="J108" s="130"/>
      <c r="K108" s="130"/>
      <c r="L108" s="130"/>
      <c r="M108" s="130"/>
      <c r="N108" s="130"/>
      <c r="O108" s="130"/>
      <c r="P108" s="130"/>
      <c r="Q108" s="130"/>
      <c r="R108" s="130"/>
      <c r="S108" s="28"/>
    </row>
    <row r="109" spans="2:19" x14ac:dyDescent="0.2">
      <c r="B109" s="24"/>
      <c r="C109" s="137"/>
      <c r="D109" s="130" t="s">
        <v>125</v>
      </c>
      <c r="E109" s="130"/>
      <c r="F109" s="130"/>
      <c r="G109" s="130"/>
      <c r="H109" s="130"/>
      <c r="I109" s="130"/>
      <c r="J109" s="130"/>
      <c r="K109" s="130"/>
      <c r="L109" s="130"/>
      <c r="M109" s="130"/>
      <c r="N109" s="130"/>
      <c r="O109" s="130"/>
      <c r="P109" s="130"/>
      <c r="Q109" s="130"/>
      <c r="R109" s="130"/>
      <c r="S109" s="28"/>
    </row>
    <row r="110" spans="2:19" x14ac:dyDescent="0.2">
      <c r="B110" s="24"/>
      <c r="C110" s="137"/>
      <c r="D110" s="130" t="s">
        <v>126</v>
      </c>
      <c r="E110" s="130"/>
      <c r="F110" s="130"/>
      <c r="G110" s="130"/>
      <c r="H110" s="130"/>
      <c r="I110" s="130"/>
      <c r="J110" s="130"/>
      <c r="K110" s="130"/>
      <c r="L110" s="130"/>
      <c r="M110" s="130"/>
      <c r="N110" s="130"/>
      <c r="O110" s="130"/>
      <c r="P110" s="130"/>
      <c r="Q110" s="130"/>
      <c r="R110" s="130"/>
      <c r="S110" s="28"/>
    </row>
    <row r="111" spans="2:19" x14ac:dyDescent="0.2">
      <c r="B111" s="24"/>
      <c r="C111" s="137"/>
      <c r="D111" s="130"/>
      <c r="E111" s="130"/>
      <c r="F111" s="130"/>
      <c r="G111" s="130"/>
      <c r="H111" s="130"/>
      <c r="I111" s="130"/>
      <c r="J111" s="130"/>
      <c r="K111" s="130"/>
      <c r="L111" s="130"/>
      <c r="M111" s="130"/>
      <c r="N111" s="130"/>
      <c r="O111" s="130"/>
      <c r="P111" s="130"/>
      <c r="Q111" s="130"/>
      <c r="R111" s="130"/>
      <c r="S111" s="28"/>
    </row>
    <row r="112" spans="2:19" x14ac:dyDescent="0.2">
      <c r="B112" s="24"/>
      <c r="C112" s="137"/>
      <c r="D112" s="130" t="s">
        <v>127</v>
      </c>
      <c r="E112" s="130"/>
      <c r="F112" s="130"/>
      <c r="G112" s="130"/>
      <c r="H112" s="130"/>
      <c r="I112" s="130"/>
      <c r="J112" s="130"/>
      <c r="K112" s="130"/>
      <c r="L112" s="130"/>
      <c r="M112" s="130"/>
      <c r="N112" s="130"/>
      <c r="O112" s="130"/>
      <c r="P112" s="130"/>
      <c r="Q112" s="130"/>
      <c r="R112" s="130"/>
      <c r="S112" s="28"/>
    </row>
    <row r="113" spans="2:19" x14ac:dyDescent="0.2">
      <c r="B113" s="24"/>
      <c r="C113" s="137"/>
      <c r="D113" s="130" t="s">
        <v>128</v>
      </c>
      <c r="E113" s="130"/>
      <c r="F113" s="130"/>
      <c r="G113" s="130"/>
      <c r="H113" s="130"/>
      <c r="I113" s="130"/>
      <c r="J113" s="130"/>
      <c r="K113" s="130"/>
      <c r="L113" s="130"/>
      <c r="M113" s="130"/>
      <c r="N113" s="130"/>
      <c r="O113" s="130"/>
      <c r="P113" s="130"/>
      <c r="Q113" s="130"/>
      <c r="R113" s="130"/>
      <c r="S113" s="28"/>
    </row>
    <row r="114" spans="2:19" x14ac:dyDescent="0.2">
      <c r="B114" s="24"/>
      <c r="C114" s="137"/>
      <c r="D114" s="130"/>
      <c r="E114" s="130"/>
      <c r="F114" s="130"/>
      <c r="G114" s="130"/>
      <c r="H114" s="130"/>
      <c r="I114" s="130"/>
      <c r="J114" s="130"/>
      <c r="K114" s="130"/>
      <c r="L114" s="130"/>
      <c r="M114" s="130"/>
      <c r="N114" s="130"/>
      <c r="O114" s="130"/>
      <c r="P114" s="130"/>
      <c r="Q114" s="130"/>
      <c r="R114" s="130"/>
      <c r="S114" s="28"/>
    </row>
    <row r="115" spans="2:19" x14ac:dyDescent="0.2">
      <c r="B115" s="24"/>
      <c r="C115" s="137"/>
      <c r="D115" s="130" t="s">
        <v>129</v>
      </c>
      <c r="E115" s="130"/>
      <c r="F115" s="130"/>
      <c r="G115" s="130"/>
      <c r="H115" s="130"/>
      <c r="I115" s="130"/>
      <c r="J115" s="130"/>
      <c r="K115" s="130"/>
      <c r="L115" s="130"/>
      <c r="M115" s="130"/>
      <c r="N115" s="130"/>
      <c r="O115" s="130"/>
      <c r="P115" s="130"/>
      <c r="Q115" s="130"/>
      <c r="R115" s="130"/>
      <c r="S115" s="28"/>
    </row>
    <row r="116" spans="2:19" x14ac:dyDescent="0.2">
      <c r="B116" s="24"/>
      <c r="C116" s="137"/>
      <c r="D116" s="130" t="s">
        <v>130</v>
      </c>
      <c r="E116" s="130"/>
      <c r="F116" s="130"/>
      <c r="G116" s="130"/>
      <c r="H116" s="130"/>
      <c r="I116" s="130"/>
      <c r="J116" s="130"/>
      <c r="K116" s="130"/>
      <c r="L116" s="130"/>
      <c r="M116" s="130"/>
      <c r="N116" s="130"/>
      <c r="O116" s="130"/>
      <c r="P116" s="130"/>
      <c r="Q116" s="130"/>
      <c r="R116" s="130"/>
      <c r="S116" s="28"/>
    </row>
    <row r="117" spans="2:19" x14ac:dyDescent="0.2">
      <c r="B117" s="24"/>
      <c r="C117" s="137"/>
      <c r="D117" s="130"/>
      <c r="E117" s="130"/>
      <c r="F117" s="130"/>
      <c r="G117" s="130"/>
      <c r="H117" s="130"/>
      <c r="I117" s="130"/>
      <c r="J117" s="130"/>
      <c r="K117" s="130"/>
      <c r="L117" s="130"/>
      <c r="M117" s="130"/>
      <c r="N117" s="130"/>
      <c r="O117" s="130"/>
      <c r="P117" s="130"/>
      <c r="Q117" s="130"/>
      <c r="R117" s="130"/>
      <c r="S117" s="28"/>
    </row>
    <row r="118" spans="2:19" x14ac:dyDescent="0.2">
      <c r="B118" s="24"/>
      <c r="C118" s="137"/>
      <c r="D118" s="130" t="s">
        <v>131</v>
      </c>
      <c r="E118" s="130"/>
      <c r="F118" s="130"/>
      <c r="G118" s="130"/>
      <c r="H118" s="130"/>
      <c r="I118" s="130"/>
      <c r="J118" s="130"/>
      <c r="K118" s="130"/>
      <c r="L118" s="130"/>
      <c r="M118" s="130"/>
      <c r="N118" s="130"/>
      <c r="O118" s="130"/>
      <c r="P118" s="130"/>
      <c r="Q118" s="130"/>
      <c r="R118" s="130"/>
      <c r="S118" s="28"/>
    </row>
    <row r="119" spans="2:19" x14ac:dyDescent="0.2">
      <c r="B119" s="24"/>
      <c r="C119" s="137"/>
      <c r="D119" s="130" t="s">
        <v>132</v>
      </c>
      <c r="E119" s="130"/>
      <c r="F119" s="130"/>
      <c r="G119" s="130"/>
      <c r="H119" s="130"/>
      <c r="I119" s="130"/>
      <c r="J119" s="130"/>
      <c r="K119" s="130"/>
      <c r="L119" s="130"/>
      <c r="M119" s="130"/>
      <c r="N119" s="130"/>
      <c r="O119" s="130"/>
      <c r="P119" s="130"/>
      <c r="Q119" s="130"/>
      <c r="R119" s="130"/>
      <c r="S119" s="28"/>
    </row>
    <row r="120" spans="2:19" x14ac:dyDescent="0.2">
      <c r="B120" s="24"/>
      <c r="C120" s="137"/>
      <c r="D120" s="130" t="s">
        <v>133</v>
      </c>
      <c r="E120" s="130"/>
      <c r="F120" s="130"/>
      <c r="G120" s="130"/>
      <c r="H120" s="130"/>
      <c r="I120" s="130"/>
      <c r="J120" s="130"/>
      <c r="K120" s="130"/>
      <c r="L120" s="130"/>
      <c r="M120" s="130"/>
      <c r="N120" s="130"/>
      <c r="O120" s="130"/>
      <c r="P120" s="130"/>
      <c r="Q120" s="130"/>
      <c r="R120" s="130"/>
      <c r="S120" s="28"/>
    </row>
    <row r="121" spans="2:19" x14ac:dyDescent="0.2">
      <c r="B121" s="24"/>
      <c r="C121" s="137"/>
      <c r="D121" s="130"/>
      <c r="E121" s="130"/>
      <c r="F121" s="130"/>
      <c r="G121" s="130"/>
      <c r="H121" s="130"/>
      <c r="I121" s="130"/>
      <c r="J121" s="130"/>
      <c r="K121" s="130"/>
      <c r="L121" s="130"/>
      <c r="M121" s="130"/>
      <c r="N121" s="130"/>
      <c r="O121" s="130"/>
      <c r="P121" s="130"/>
      <c r="Q121" s="130"/>
      <c r="R121" s="130"/>
      <c r="S121" s="28"/>
    </row>
    <row r="122" spans="2:19" x14ac:dyDescent="0.2">
      <c r="B122" s="24"/>
      <c r="C122" s="137"/>
      <c r="D122" s="130" t="s">
        <v>113</v>
      </c>
      <c r="E122" s="130"/>
      <c r="F122" s="130"/>
      <c r="G122" s="130"/>
      <c r="H122" s="130"/>
      <c r="I122" s="130"/>
      <c r="J122" s="130"/>
      <c r="K122" s="130"/>
      <c r="L122" s="130"/>
      <c r="M122" s="130"/>
      <c r="N122" s="130"/>
      <c r="O122" s="130"/>
      <c r="P122" s="130"/>
      <c r="Q122" s="130"/>
      <c r="R122" s="130"/>
      <c r="S122" s="28"/>
    </row>
    <row r="123" spans="2:19" x14ac:dyDescent="0.2">
      <c r="B123" s="24"/>
      <c r="C123" s="137"/>
      <c r="D123" s="130"/>
      <c r="E123" s="130"/>
      <c r="F123" s="130"/>
      <c r="G123" s="130"/>
      <c r="H123" s="130"/>
      <c r="I123" s="130"/>
      <c r="J123" s="130"/>
      <c r="K123" s="130"/>
      <c r="L123" s="130"/>
      <c r="M123" s="130"/>
      <c r="N123" s="130"/>
      <c r="O123" s="130"/>
      <c r="P123" s="130"/>
      <c r="Q123" s="130"/>
      <c r="R123" s="130"/>
      <c r="S123" s="28"/>
    </row>
    <row r="124" spans="2:19" x14ac:dyDescent="0.2">
      <c r="B124" s="24"/>
      <c r="C124" s="137"/>
      <c r="D124" s="130" t="s">
        <v>134</v>
      </c>
      <c r="E124" s="130"/>
      <c r="F124" s="130"/>
      <c r="G124" s="130"/>
      <c r="H124" s="130"/>
      <c r="I124" s="130"/>
      <c r="J124" s="130"/>
      <c r="K124" s="130"/>
      <c r="L124" s="130"/>
      <c r="M124" s="130"/>
      <c r="N124" s="130"/>
      <c r="O124" s="130"/>
      <c r="P124" s="130"/>
      <c r="Q124" s="130"/>
      <c r="R124" s="130"/>
      <c r="S124" s="28"/>
    </row>
    <row r="125" spans="2:19" x14ac:dyDescent="0.2">
      <c r="B125" s="24"/>
      <c r="C125" s="137"/>
      <c r="D125" s="130" t="s">
        <v>135</v>
      </c>
      <c r="E125" s="130"/>
      <c r="F125" s="130"/>
      <c r="G125" s="130"/>
      <c r="H125" s="130"/>
      <c r="I125" s="130"/>
      <c r="J125" s="130"/>
      <c r="K125" s="130"/>
      <c r="L125" s="130"/>
      <c r="M125" s="130"/>
      <c r="N125" s="130"/>
      <c r="O125" s="130"/>
      <c r="P125" s="130"/>
      <c r="Q125" s="130"/>
      <c r="R125" s="130"/>
      <c r="S125" s="28"/>
    </row>
    <row r="126" spans="2:19" x14ac:dyDescent="0.2">
      <c r="B126" s="24"/>
      <c r="C126" s="137"/>
      <c r="D126" s="130"/>
      <c r="E126" s="130"/>
      <c r="F126" s="130"/>
      <c r="G126" s="130"/>
      <c r="H126" s="130"/>
      <c r="I126" s="130"/>
      <c r="J126" s="130"/>
      <c r="K126" s="130"/>
      <c r="L126" s="130"/>
      <c r="M126" s="130"/>
      <c r="N126" s="130"/>
      <c r="O126" s="130"/>
      <c r="P126" s="130"/>
      <c r="Q126" s="130"/>
      <c r="R126" s="130"/>
      <c r="S126" s="28"/>
    </row>
    <row r="127" spans="2:19" x14ac:dyDescent="0.2">
      <c r="B127" s="24"/>
      <c r="C127" s="137" t="s">
        <v>136</v>
      </c>
      <c r="D127" s="131" t="s">
        <v>137</v>
      </c>
      <c r="E127" s="130"/>
      <c r="F127" s="130"/>
      <c r="G127" s="130"/>
      <c r="H127" s="130"/>
      <c r="I127" s="130"/>
      <c r="J127" s="130"/>
      <c r="K127" s="130"/>
      <c r="L127" s="130"/>
      <c r="M127" s="130"/>
      <c r="N127" s="130"/>
      <c r="O127" s="130"/>
      <c r="P127" s="130"/>
      <c r="Q127" s="130"/>
      <c r="R127" s="130"/>
      <c r="S127" s="28"/>
    </row>
    <row r="128" spans="2:19" x14ac:dyDescent="0.2">
      <c r="B128" s="24"/>
      <c r="C128" s="137"/>
      <c r="D128" s="131"/>
      <c r="E128" s="130"/>
      <c r="F128" s="130"/>
      <c r="G128" s="130"/>
      <c r="H128" s="130"/>
      <c r="I128" s="130"/>
      <c r="J128" s="130"/>
      <c r="K128" s="130"/>
      <c r="L128" s="130"/>
      <c r="M128" s="130"/>
      <c r="N128" s="130"/>
      <c r="O128" s="130"/>
      <c r="P128" s="130"/>
      <c r="Q128" s="130"/>
      <c r="R128" s="130"/>
      <c r="S128" s="28"/>
    </row>
    <row r="129" spans="2:19" x14ac:dyDescent="0.2">
      <c r="B129" s="24"/>
      <c r="C129" s="137"/>
      <c r="D129" s="130" t="s">
        <v>138</v>
      </c>
      <c r="E129" s="130"/>
      <c r="F129" s="130"/>
      <c r="G129" s="130"/>
      <c r="H129" s="130"/>
      <c r="I129" s="130"/>
      <c r="J129" s="130"/>
      <c r="K129" s="130"/>
      <c r="L129" s="130"/>
      <c r="M129" s="130"/>
      <c r="N129" s="130"/>
      <c r="O129" s="130"/>
      <c r="P129" s="130"/>
      <c r="Q129" s="130"/>
      <c r="R129" s="130"/>
      <c r="S129" s="28"/>
    </row>
    <row r="130" spans="2:19" x14ac:dyDescent="0.2">
      <c r="B130" s="24"/>
      <c r="C130" s="137"/>
      <c r="D130" s="130" t="s">
        <v>139</v>
      </c>
      <c r="E130" s="130"/>
      <c r="F130" s="130"/>
      <c r="G130" s="130"/>
      <c r="H130" s="130"/>
      <c r="I130" s="130"/>
      <c r="J130" s="130"/>
      <c r="K130" s="130"/>
      <c r="L130" s="130"/>
      <c r="M130" s="130"/>
      <c r="N130" s="130"/>
      <c r="O130" s="130"/>
      <c r="P130" s="130"/>
      <c r="Q130" s="130"/>
      <c r="R130" s="130"/>
      <c r="S130" s="28"/>
    </row>
    <row r="131" spans="2:19" x14ac:dyDescent="0.2">
      <c r="B131" s="24"/>
      <c r="C131" s="137"/>
      <c r="D131" s="130" t="s">
        <v>140</v>
      </c>
      <c r="E131" s="130"/>
      <c r="F131" s="130"/>
      <c r="G131" s="130"/>
      <c r="H131" s="130"/>
      <c r="I131" s="130"/>
      <c r="J131" s="130"/>
      <c r="K131" s="130"/>
      <c r="L131" s="130"/>
      <c r="M131" s="130"/>
      <c r="N131" s="130"/>
      <c r="O131" s="130"/>
      <c r="P131" s="130"/>
      <c r="Q131" s="130"/>
      <c r="R131" s="130"/>
      <c r="S131" s="28"/>
    </row>
    <row r="132" spans="2:19" x14ac:dyDescent="0.2">
      <c r="B132" s="24"/>
      <c r="C132" s="137"/>
      <c r="D132" s="130" t="s">
        <v>141</v>
      </c>
      <c r="E132" s="130"/>
      <c r="F132" s="130"/>
      <c r="G132" s="130"/>
      <c r="H132" s="130"/>
      <c r="I132" s="130"/>
      <c r="J132" s="130"/>
      <c r="K132" s="130"/>
      <c r="L132" s="130"/>
      <c r="M132" s="130"/>
      <c r="N132" s="130"/>
      <c r="O132" s="130"/>
      <c r="P132" s="130"/>
      <c r="Q132" s="130"/>
      <c r="R132" s="130"/>
      <c r="S132" s="28"/>
    </row>
    <row r="133" spans="2:19" x14ac:dyDescent="0.2">
      <c r="B133" s="24"/>
      <c r="C133" s="137"/>
      <c r="D133" s="130"/>
      <c r="E133" s="130"/>
      <c r="F133" s="130"/>
      <c r="G133" s="130"/>
      <c r="H133" s="130"/>
      <c r="I133" s="130"/>
      <c r="J133" s="130"/>
      <c r="K133" s="130"/>
      <c r="L133" s="130"/>
      <c r="M133" s="130"/>
      <c r="N133" s="130"/>
      <c r="O133" s="130"/>
      <c r="P133" s="130"/>
      <c r="Q133" s="130"/>
      <c r="R133" s="130"/>
      <c r="S133" s="28"/>
    </row>
    <row r="134" spans="2:19" x14ac:dyDescent="0.2">
      <c r="B134" s="24"/>
      <c r="C134" s="137"/>
      <c r="D134" s="130" t="s">
        <v>113</v>
      </c>
      <c r="E134" s="130"/>
      <c r="F134" s="130"/>
      <c r="G134" s="130"/>
      <c r="H134" s="130"/>
      <c r="I134" s="130"/>
      <c r="J134" s="130"/>
      <c r="K134" s="130"/>
      <c r="L134" s="130"/>
      <c r="M134" s="130"/>
      <c r="N134" s="130"/>
      <c r="O134" s="130"/>
      <c r="P134" s="130"/>
      <c r="Q134" s="130"/>
      <c r="R134" s="130"/>
      <c r="S134" s="28"/>
    </row>
    <row r="135" spans="2:19" x14ac:dyDescent="0.2">
      <c r="B135" s="24"/>
      <c r="C135" s="137"/>
      <c r="D135" s="130"/>
      <c r="E135" s="130"/>
      <c r="F135" s="130"/>
      <c r="G135" s="130"/>
      <c r="H135" s="130"/>
      <c r="I135" s="130"/>
      <c r="J135" s="130"/>
      <c r="K135" s="130"/>
      <c r="L135" s="130"/>
      <c r="M135" s="130"/>
      <c r="N135" s="130"/>
      <c r="O135" s="130"/>
      <c r="P135" s="130"/>
      <c r="Q135" s="130"/>
      <c r="R135" s="130"/>
      <c r="S135" s="28"/>
    </row>
    <row r="136" spans="2:19" x14ac:dyDescent="0.2">
      <c r="B136" s="24"/>
      <c r="C136" s="137"/>
      <c r="D136" s="130" t="s">
        <v>134</v>
      </c>
      <c r="E136" s="130"/>
      <c r="F136" s="130"/>
      <c r="G136" s="130"/>
      <c r="H136" s="130"/>
      <c r="I136" s="130"/>
      <c r="J136" s="130"/>
      <c r="K136" s="130"/>
      <c r="L136" s="130"/>
      <c r="M136" s="130"/>
      <c r="N136" s="130"/>
      <c r="O136" s="130"/>
      <c r="P136" s="130"/>
      <c r="Q136" s="130"/>
      <c r="R136" s="130"/>
      <c r="S136" s="28"/>
    </row>
    <row r="137" spans="2:19" x14ac:dyDescent="0.2">
      <c r="B137" s="24"/>
      <c r="C137" s="137"/>
      <c r="D137" s="130" t="s">
        <v>135</v>
      </c>
      <c r="E137" s="130"/>
      <c r="F137" s="130"/>
      <c r="G137" s="130"/>
      <c r="H137" s="130"/>
      <c r="I137" s="130"/>
      <c r="J137" s="130"/>
      <c r="K137" s="130"/>
      <c r="L137" s="130"/>
      <c r="M137" s="130"/>
      <c r="N137" s="130"/>
      <c r="O137" s="130"/>
      <c r="P137" s="130"/>
      <c r="Q137" s="130"/>
      <c r="R137" s="130"/>
      <c r="S137" s="28"/>
    </row>
    <row r="138" spans="2:19" x14ac:dyDescent="0.2">
      <c r="B138" s="24"/>
      <c r="C138" s="137"/>
      <c r="D138" s="130"/>
      <c r="E138" s="130"/>
      <c r="F138" s="130"/>
      <c r="G138" s="130"/>
      <c r="H138" s="130"/>
      <c r="I138" s="130"/>
      <c r="J138" s="130"/>
      <c r="K138" s="130"/>
      <c r="L138" s="130"/>
      <c r="M138" s="130"/>
      <c r="N138" s="130"/>
      <c r="O138" s="130"/>
      <c r="P138" s="130"/>
      <c r="Q138" s="130"/>
      <c r="R138" s="130"/>
      <c r="S138" s="28"/>
    </row>
    <row r="139" spans="2:19" x14ac:dyDescent="0.2">
      <c r="B139" s="24"/>
      <c r="C139" s="137"/>
      <c r="D139" s="139" t="s">
        <v>114</v>
      </c>
      <c r="E139" s="130"/>
      <c r="F139" s="130"/>
      <c r="G139" s="130"/>
      <c r="H139" s="130"/>
      <c r="I139" s="130"/>
      <c r="J139" s="130"/>
      <c r="K139" s="130"/>
      <c r="L139" s="130"/>
      <c r="M139" s="130"/>
      <c r="N139" s="130"/>
      <c r="O139" s="130"/>
      <c r="P139" s="130"/>
      <c r="Q139" s="130"/>
      <c r="R139" s="130"/>
      <c r="S139" s="28"/>
    </row>
    <row r="140" spans="2:19" x14ac:dyDescent="0.2">
      <c r="B140" s="24"/>
      <c r="C140" s="137"/>
      <c r="D140" s="130" t="s">
        <v>142</v>
      </c>
      <c r="E140" s="130"/>
      <c r="F140" s="130"/>
      <c r="G140" s="130"/>
      <c r="H140" s="130"/>
      <c r="I140" s="130"/>
      <c r="J140" s="130"/>
      <c r="K140" s="130"/>
      <c r="L140" s="130"/>
      <c r="M140" s="130"/>
      <c r="N140" s="130"/>
      <c r="O140" s="130"/>
      <c r="P140" s="130"/>
      <c r="Q140" s="130"/>
      <c r="R140" s="130"/>
      <c r="S140" s="28"/>
    </row>
    <row r="141" spans="2:19" x14ac:dyDescent="0.2">
      <c r="B141" s="24"/>
      <c r="C141" s="137"/>
      <c r="D141" s="130" t="s">
        <v>143</v>
      </c>
      <c r="E141" s="130"/>
      <c r="F141" s="130"/>
      <c r="G141" s="130"/>
      <c r="H141" s="130"/>
      <c r="I141" s="130"/>
      <c r="J141" s="130"/>
      <c r="K141" s="130"/>
      <c r="L141" s="130"/>
      <c r="M141" s="130"/>
      <c r="N141" s="130"/>
      <c r="O141" s="130"/>
      <c r="P141" s="130"/>
      <c r="Q141" s="130"/>
      <c r="R141" s="130"/>
      <c r="S141" s="28"/>
    </row>
    <row r="142" spans="2:19" x14ac:dyDescent="0.2">
      <c r="B142" s="24"/>
      <c r="C142" s="137"/>
      <c r="D142" s="130" t="s">
        <v>144</v>
      </c>
      <c r="E142" s="130"/>
      <c r="F142" s="130"/>
      <c r="G142" s="130"/>
      <c r="H142" s="130"/>
      <c r="I142" s="130"/>
      <c r="J142" s="130"/>
      <c r="K142" s="130"/>
      <c r="L142" s="130"/>
      <c r="M142" s="130"/>
      <c r="N142" s="130"/>
      <c r="O142" s="130"/>
      <c r="P142" s="130"/>
      <c r="Q142" s="130"/>
      <c r="R142" s="130"/>
      <c r="S142" s="28"/>
    </row>
    <row r="143" spans="2:19" x14ac:dyDescent="0.2">
      <c r="B143" s="24"/>
      <c r="C143" s="137"/>
      <c r="D143" s="130" t="s">
        <v>145</v>
      </c>
      <c r="E143" s="130"/>
      <c r="F143" s="130"/>
      <c r="G143" s="130"/>
      <c r="H143" s="130"/>
      <c r="I143" s="130"/>
      <c r="J143" s="130"/>
      <c r="K143" s="130"/>
      <c r="L143" s="130"/>
      <c r="M143" s="130"/>
      <c r="N143" s="130"/>
      <c r="O143" s="130"/>
      <c r="P143" s="130"/>
      <c r="Q143" s="130"/>
      <c r="R143" s="130"/>
      <c r="S143" s="28"/>
    </row>
    <row r="144" spans="2:19" x14ac:dyDescent="0.2">
      <c r="B144" s="24"/>
      <c r="C144" s="137"/>
      <c r="D144" s="130" t="s">
        <v>146</v>
      </c>
      <c r="E144" s="130"/>
      <c r="F144" s="130"/>
      <c r="G144" s="130"/>
      <c r="H144" s="130"/>
      <c r="I144" s="130"/>
      <c r="J144" s="130"/>
      <c r="K144" s="130"/>
      <c r="L144" s="130"/>
      <c r="M144" s="130"/>
      <c r="N144" s="130"/>
      <c r="O144" s="130"/>
      <c r="P144" s="130"/>
      <c r="Q144" s="130"/>
      <c r="R144" s="130"/>
      <c r="S144" s="28"/>
    </row>
    <row r="145" spans="2:19" x14ac:dyDescent="0.2">
      <c r="B145" s="24"/>
      <c r="C145" s="137"/>
      <c r="D145" s="130" t="s">
        <v>147</v>
      </c>
      <c r="E145" s="130"/>
      <c r="F145" s="130"/>
      <c r="G145" s="130"/>
      <c r="H145" s="130"/>
      <c r="I145" s="130"/>
      <c r="J145" s="130"/>
      <c r="K145" s="130"/>
      <c r="L145" s="130"/>
      <c r="M145" s="130"/>
      <c r="N145" s="130"/>
      <c r="O145" s="130"/>
      <c r="P145" s="130"/>
      <c r="Q145" s="130"/>
      <c r="R145" s="130"/>
      <c r="S145" s="28"/>
    </row>
    <row r="146" spans="2:19" x14ac:dyDescent="0.2">
      <c r="B146" s="24"/>
      <c r="C146" s="137"/>
      <c r="D146" s="130" t="s">
        <v>148</v>
      </c>
      <c r="E146" s="130"/>
      <c r="F146" s="130"/>
      <c r="G146" s="130"/>
      <c r="H146" s="130"/>
      <c r="I146" s="130"/>
      <c r="J146" s="130"/>
      <c r="K146" s="130"/>
      <c r="L146" s="130"/>
      <c r="M146" s="130"/>
      <c r="N146" s="130"/>
      <c r="O146" s="130"/>
      <c r="P146" s="130"/>
      <c r="Q146" s="130"/>
      <c r="R146" s="130"/>
      <c r="S146" s="28"/>
    </row>
    <row r="147" spans="2:19" x14ac:dyDescent="0.2">
      <c r="B147" s="24"/>
      <c r="C147" s="137"/>
      <c r="D147" s="130"/>
      <c r="E147" s="130"/>
      <c r="F147" s="130"/>
      <c r="G147" s="130"/>
      <c r="H147" s="130"/>
      <c r="I147" s="130"/>
      <c r="J147" s="130"/>
      <c r="K147" s="130"/>
      <c r="L147" s="130"/>
      <c r="M147" s="130"/>
      <c r="N147" s="130"/>
      <c r="O147" s="130"/>
      <c r="P147" s="130"/>
      <c r="Q147" s="130"/>
      <c r="R147" s="130"/>
      <c r="S147" s="28"/>
    </row>
    <row r="148" spans="2:19" x14ac:dyDescent="0.2">
      <c r="B148" s="24"/>
      <c r="C148" s="137" t="s">
        <v>149</v>
      </c>
      <c r="D148" s="131" t="s">
        <v>150</v>
      </c>
      <c r="E148" s="130"/>
      <c r="F148" s="130"/>
      <c r="G148" s="130"/>
      <c r="H148" s="130"/>
      <c r="I148" s="130"/>
      <c r="J148" s="130"/>
      <c r="K148" s="130"/>
      <c r="L148" s="130"/>
      <c r="M148" s="130"/>
      <c r="N148" s="130"/>
      <c r="O148" s="130"/>
      <c r="P148" s="130"/>
      <c r="Q148" s="130"/>
      <c r="R148" s="130"/>
      <c r="S148" s="28"/>
    </row>
    <row r="149" spans="2:19" x14ac:dyDescent="0.2">
      <c r="B149" s="24"/>
      <c r="C149" s="137"/>
      <c r="D149" s="131"/>
      <c r="E149" s="130"/>
      <c r="F149" s="130"/>
      <c r="G149" s="130"/>
      <c r="H149" s="130"/>
      <c r="I149" s="130"/>
      <c r="J149" s="130"/>
      <c r="K149" s="130"/>
      <c r="L149" s="130"/>
      <c r="M149" s="130"/>
      <c r="N149" s="130"/>
      <c r="O149" s="130"/>
      <c r="P149" s="130"/>
      <c r="Q149" s="130"/>
      <c r="R149" s="130"/>
      <c r="S149" s="28"/>
    </row>
    <row r="150" spans="2:19" x14ac:dyDescent="0.2">
      <c r="B150" s="24"/>
      <c r="C150" s="137"/>
      <c r="D150" s="130" t="s">
        <v>415</v>
      </c>
      <c r="E150" s="130"/>
      <c r="F150" s="130"/>
      <c r="G150" s="130"/>
      <c r="H150" s="130"/>
      <c r="I150" s="130"/>
      <c r="J150" s="130"/>
      <c r="K150" s="130"/>
      <c r="L150" s="130"/>
      <c r="M150" s="130"/>
      <c r="N150" s="130"/>
      <c r="O150" s="130"/>
      <c r="P150" s="130"/>
      <c r="Q150" s="130"/>
      <c r="R150" s="130"/>
      <c r="S150" s="28"/>
    </row>
    <row r="151" spans="2:19" x14ac:dyDescent="0.2">
      <c r="B151" s="24"/>
      <c r="C151" s="137"/>
      <c r="D151" s="130"/>
      <c r="E151" s="130"/>
      <c r="F151" s="130"/>
      <c r="G151" s="130"/>
      <c r="H151" s="130"/>
      <c r="I151" s="130"/>
      <c r="J151" s="130"/>
      <c r="K151" s="130"/>
      <c r="L151" s="130"/>
      <c r="M151" s="130"/>
      <c r="N151" s="130"/>
      <c r="O151" s="130"/>
      <c r="P151" s="130"/>
      <c r="Q151" s="130"/>
      <c r="R151" s="130"/>
      <c r="S151" s="28"/>
    </row>
    <row r="152" spans="2:19" x14ac:dyDescent="0.2">
      <c r="B152" s="24"/>
      <c r="C152" s="137" t="s">
        <v>282</v>
      </c>
      <c r="D152" s="131" t="s">
        <v>283</v>
      </c>
      <c r="E152" s="130"/>
      <c r="F152" s="130"/>
      <c r="G152" s="130"/>
      <c r="H152" s="130"/>
      <c r="I152" s="130"/>
      <c r="J152" s="130"/>
      <c r="K152" s="130"/>
      <c r="L152" s="130"/>
      <c r="M152" s="130"/>
      <c r="N152" s="130"/>
      <c r="O152" s="130"/>
      <c r="P152" s="130"/>
      <c r="Q152" s="130"/>
      <c r="R152" s="130"/>
      <c r="S152" s="28"/>
    </row>
    <row r="153" spans="2:19" x14ac:dyDescent="0.2">
      <c r="B153" s="24"/>
      <c r="C153" s="137"/>
      <c r="D153" s="130"/>
      <c r="E153" s="130"/>
      <c r="F153" s="130"/>
      <c r="G153" s="130"/>
      <c r="H153" s="130"/>
      <c r="I153" s="130"/>
      <c r="J153" s="130"/>
      <c r="K153" s="130"/>
      <c r="L153" s="130"/>
      <c r="M153" s="130"/>
      <c r="N153" s="130"/>
      <c r="O153" s="130"/>
      <c r="P153" s="130"/>
      <c r="Q153" s="130"/>
      <c r="R153" s="130"/>
      <c r="S153" s="28"/>
    </row>
    <row r="154" spans="2:19" x14ac:dyDescent="0.2">
      <c r="B154" s="24"/>
      <c r="C154" s="137"/>
      <c r="D154" s="130" t="s">
        <v>284</v>
      </c>
      <c r="E154" s="130"/>
      <c r="F154" s="130"/>
      <c r="G154" s="130"/>
      <c r="H154" s="130"/>
      <c r="I154" s="130"/>
      <c r="J154" s="130"/>
      <c r="K154" s="130"/>
      <c r="L154" s="130"/>
      <c r="M154" s="130"/>
      <c r="N154" s="130"/>
      <c r="O154" s="130"/>
      <c r="P154" s="130"/>
      <c r="Q154" s="130"/>
      <c r="R154" s="130"/>
      <c r="S154" s="28"/>
    </row>
    <row r="155" spans="2:19" x14ac:dyDescent="0.2">
      <c r="B155" s="24"/>
      <c r="C155" s="137"/>
      <c r="D155" s="130"/>
      <c r="E155" s="130"/>
      <c r="F155" s="130"/>
      <c r="G155" s="130"/>
      <c r="H155" s="130"/>
      <c r="I155" s="130"/>
      <c r="J155" s="130"/>
      <c r="K155" s="130"/>
      <c r="L155" s="130"/>
      <c r="M155" s="130"/>
      <c r="N155" s="130"/>
      <c r="O155" s="130"/>
      <c r="P155" s="130"/>
      <c r="Q155" s="130"/>
      <c r="R155" s="130"/>
      <c r="S155" s="28"/>
    </row>
    <row r="156" spans="2:19" x14ac:dyDescent="0.2">
      <c r="B156" s="24"/>
      <c r="C156" s="137"/>
      <c r="D156" s="131" t="s">
        <v>151</v>
      </c>
      <c r="E156" s="130"/>
      <c r="F156" s="130"/>
      <c r="G156" s="130"/>
      <c r="H156" s="130"/>
      <c r="I156" s="130"/>
      <c r="J156" s="130"/>
      <c r="K156" s="130"/>
      <c r="L156" s="130"/>
      <c r="M156" s="130"/>
      <c r="N156" s="130"/>
      <c r="O156" s="130"/>
      <c r="P156" s="130"/>
      <c r="Q156" s="130"/>
      <c r="R156" s="130"/>
      <c r="S156" s="28"/>
    </row>
    <row r="157" spans="2:19" x14ac:dyDescent="0.2">
      <c r="B157" s="24"/>
      <c r="C157" s="137"/>
      <c r="D157" s="131" t="s">
        <v>152</v>
      </c>
      <c r="E157" s="130"/>
      <c r="F157" s="130"/>
      <c r="G157" s="130"/>
      <c r="H157" s="130"/>
      <c r="I157" s="130"/>
      <c r="J157" s="130"/>
      <c r="K157" s="130"/>
      <c r="L157" s="130"/>
      <c r="M157" s="130"/>
      <c r="N157" s="130"/>
      <c r="O157" s="130"/>
      <c r="P157" s="130"/>
      <c r="Q157" s="130"/>
      <c r="R157" s="130"/>
      <c r="S157" s="28"/>
    </row>
    <row r="158" spans="2:19" x14ac:dyDescent="0.2">
      <c r="B158" s="24"/>
      <c r="C158" s="137"/>
      <c r="D158" s="131" t="s">
        <v>153</v>
      </c>
      <c r="E158" s="130"/>
      <c r="F158" s="131" t="s">
        <v>154</v>
      </c>
      <c r="G158" s="130"/>
      <c r="H158" s="130"/>
      <c r="I158" s="130"/>
      <c r="J158" s="130"/>
      <c r="K158" s="130"/>
      <c r="L158" s="130"/>
      <c r="M158" s="130"/>
      <c r="N158" s="130"/>
      <c r="O158" s="130"/>
      <c r="P158" s="130"/>
      <c r="Q158" s="130"/>
      <c r="R158" s="130"/>
      <c r="S158" s="28"/>
    </row>
    <row r="159" spans="2:19" x14ac:dyDescent="0.2">
      <c r="B159" s="24"/>
      <c r="C159" s="137"/>
      <c r="D159" s="131" t="s">
        <v>269</v>
      </c>
      <c r="E159" s="130"/>
      <c r="F159" s="131" t="s">
        <v>272</v>
      </c>
      <c r="G159" s="130"/>
      <c r="H159" s="130"/>
      <c r="I159" s="130"/>
      <c r="J159" s="130"/>
      <c r="K159" s="130"/>
      <c r="L159" s="130"/>
      <c r="M159" s="130"/>
      <c r="N159" s="130"/>
      <c r="O159" s="130"/>
      <c r="P159" s="130"/>
      <c r="Q159" s="130"/>
      <c r="R159" s="130"/>
      <c r="S159" s="28"/>
    </row>
    <row r="160" spans="2:19" x14ac:dyDescent="0.2">
      <c r="B160" s="24"/>
      <c r="C160" s="130"/>
      <c r="D160" s="130"/>
      <c r="E160" s="130"/>
      <c r="F160" s="130"/>
      <c r="G160" s="130"/>
      <c r="H160" s="130"/>
      <c r="I160" s="130"/>
      <c r="J160" s="130"/>
      <c r="K160" s="130"/>
      <c r="L160" s="130"/>
      <c r="M160" s="130"/>
      <c r="N160" s="130"/>
      <c r="O160" s="130"/>
      <c r="P160" s="130"/>
      <c r="Q160" s="130"/>
      <c r="R160" s="130"/>
      <c r="S160" s="28"/>
    </row>
    <row r="161" spans="2:19" x14ac:dyDescent="0.2">
      <c r="B161" s="24"/>
      <c r="C161" s="25"/>
      <c r="D161" s="25"/>
      <c r="E161" s="25"/>
      <c r="F161" s="25"/>
      <c r="G161" s="25"/>
      <c r="H161" s="25"/>
      <c r="I161" s="25"/>
      <c r="J161" s="25"/>
      <c r="K161" s="25"/>
      <c r="L161" s="25"/>
      <c r="M161" s="25"/>
      <c r="N161" s="25"/>
      <c r="O161" s="25"/>
      <c r="P161" s="25"/>
      <c r="Q161" s="25"/>
      <c r="R161" s="25"/>
      <c r="S161" s="28"/>
    </row>
    <row r="162" spans="2:19" ht="13.5" thickBot="1" x14ac:dyDescent="0.25">
      <c r="B162" s="49"/>
      <c r="C162" s="50"/>
      <c r="D162" s="50"/>
      <c r="E162" s="50"/>
      <c r="F162" s="50"/>
      <c r="G162" s="50"/>
      <c r="H162" s="50"/>
      <c r="I162" s="50"/>
      <c r="J162" s="50"/>
      <c r="K162" s="50"/>
      <c r="L162" s="50"/>
      <c r="M162" s="50"/>
      <c r="N162" s="50"/>
      <c r="O162" s="50"/>
      <c r="P162" s="50"/>
      <c r="Q162" s="50"/>
      <c r="R162" s="53" t="s">
        <v>75</v>
      </c>
      <c r="S162" s="54"/>
    </row>
    <row r="163" spans="2:19" ht="15.75" x14ac:dyDescent="0.25">
      <c r="D163" s="16"/>
      <c r="E163" s="16"/>
      <c r="F163" s="16"/>
      <c r="G163" s="16"/>
      <c r="H163" s="16"/>
      <c r="I163" s="16"/>
      <c r="J163" s="16"/>
      <c r="K163" s="16"/>
      <c r="L163" s="16"/>
      <c r="M163" s="16"/>
      <c r="N163" s="16"/>
      <c r="O163" s="16"/>
      <c r="P163" s="16"/>
      <c r="Q163" s="16"/>
      <c r="R163" s="60"/>
      <c r="S163" s="16"/>
    </row>
  </sheetData>
  <sheetProtection algorithmName="SHA-512" hashValue="I4i9A6zTnxPIXTMaY0VWl5nattHCYnvozzbJNWQ0a9ck5pRVtWEFoEjIoj4N4iBdpgnt67ZmfPIiRgbjs9AuMQ==" saltValue="MjoJjPcLEu4UKa3VaFQN9g=="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7"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98"/>
  <sheetViews>
    <sheetView tabSelected="1" zoomScale="85" zoomScaleNormal="85" workbookViewId="0">
      <selection activeCell="B2" sqref="B2"/>
    </sheetView>
  </sheetViews>
  <sheetFormatPr defaultColWidth="9.7109375" defaultRowHeight="13.5" customHeight="1" x14ac:dyDescent="0.2"/>
  <cols>
    <col min="1" max="1" width="2.7109375" style="16" customWidth="1"/>
    <col min="2" max="4" width="2.5703125" style="16" customWidth="1"/>
    <col min="5" max="5" width="25" style="16" customWidth="1"/>
    <col min="6" max="6" width="11.7109375" style="17" customWidth="1"/>
    <col min="7" max="7" width="9.7109375" style="18" customWidth="1"/>
    <col min="8" max="8" width="2.7109375" style="18" customWidth="1"/>
    <col min="9" max="10" width="12.85546875" style="16" customWidth="1"/>
    <col min="11" max="11" width="2.140625" style="16" customWidth="1"/>
    <col min="12" max="12" width="1.7109375" style="16" customWidth="1"/>
    <col min="13" max="13" width="13.7109375" style="16" customWidth="1"/>
    <col min="14" max="14" width="12.7109375" style="16" customWidth="1"/>
    <col min="15" max="16" width="11.85546875" style="16" customWidth="1"/>
    <col min="17" max="18" width="12.42578125" style="16" customWidth="1"/>
    <col min="19" max="19" width="2.28515625" style="16" customWidth="1"/>
    <col min="20" max="21" width="2.7109375" style="16" customWidth="1"/>
    <col min="22" max="16384" width="9.7109375" style="16"/>
  </cols>
  <sheetData>
    <row r="1" spans="2:23" ht="13.5" customHeight="1" thickBot="1" x14ac:dyDescent="0.25"/>
    <row r="2" spans="2:23" ht="13.5" customHeight="1" thickBot="1" x14ac:dyDescent="0.25">
      <c r="B2" s="19"/>
      <c r="C2" s="20"/>
      <c r="D2" s="20"/>
      <c r="E2" s="20"/>
      <c r="F2" s="21"/>
      <c r="G2" s="22"/>
      <c r="H2" s="22"/>
      <c r="I2" s="20"/>
      <c r="J2" s="20"/>
      <c r="K2" s="381"/>
      <c r="L2" s="20"/>
      <c r="M2" s="20"/>
      <c r="N2" s="20"/>
      <c r="O2" s="20"/>
      <c r="P2" s="20"/>
      <c r="Q2" s="20"/>
      <c r="R2" s="20"/>
      <c r="S2" s="20"/>
      <c r="T2" s="23"/>
    </row>
    <row r="3" spans="2:23" ht="13.5" customHeight="1" thickBot="1" x14ac:dyDescent="0.25">
      <c r="B3" s="24"/>
      <c r="C3" s="25"/>
      <c r="D3" s="25"/>
      <c r="E3" s="25"/>
      <c r="F3" s="26"/>
      <c r="G3" s="27"/>
      <c r="H3" s="27"/>
      <c r="I3" s="25"/>
      <c r="J3" s="25"/>
      <c r="K3" s="328"/>
      <c r="L3" s="25"/>
      <c r="M3" s="25"/>
      <c r="N3" s="25"/>
      <c r="O3" s="25"/>
      <c r="P3" s="25"/>
      <c r="Q3" s="25"/>
      <c r="R3" s="25"/>
      <c r="S3" s="25"/>
      <c r="T3" s="28"/>
    </row>
    <row r="4" spans="2:23" s="36" customFormat="1" ht="18" customHeight="1" thickBot="1" x14ac:dyDescent="0.3">
      <c r="B4" s="29"/>
      <c r="C4" s="30" t="s">
        <v>41</v>
      </c>
      <c r="D4" s="31"/>
      <c r="E4" s="31"/>
      <c r="F4" s="31"/>
      <c r="G4" s="107">
        <f>tabellen!B2</f>
        <v>2020</v>
      </c>
      <c r="H4" s="400" t="str">
        <f>tabellen!C2</f>
        <v>vanaf 1 januari</v>
      </c>
      <c r="I4" s="33"/>
      <c r="J4" s="31"/>
      <c r="K4" s="31"/>
      <c r="L4" s="329"/>
      <c r="M4" s="31"/>
      <c r="N4" s="34"/>
      <c r="O4" s="31"/>
      <c r="P4" s="31"/>
      <c r="Q4" s="31"/>
      <c r="R4" s="31"/>
      <c r="S4" s="31"/>
      <c r="T4" s="35"/>
    </row>
    <row r="5" spans="2:23" s="36" customFormat="1" ht="12.75" customHeight="1" thickBot="1" x14ac:dyDescent="0.3">
      <c r="B5" s="29"/>
      <c r="C5" s="30"/>
      <c r="D5" s="31"/>
      <c r="E5" s="31"/>
      <c r="F5" s="32"/>
      <c r="G5" s="32"/>
      <c r="H5" s="33"/>
      <c r="I5" s="31"/>
      <c r="J5" s="31"/>
      <c r="K5" s="329"/>
      <c r="L5" s="31"/>
      <c r="M5" s="34"/>
      <c r="N5" s="31"/>
      <c r="O5" s="31"/>
      <c r="P5" s="31"/>
      <c r="Q5" s="31"/>
      <c r="R5" s="31"/>
      <c r="S5" s="31"/>
      <c r="T5" s="35"/>
    </row>
    <row r="6" spans="2:23" ht="12.75" customHeight="1" thickBot="1" x14ac:dyDescent="0.25">
      <c r="B6" s="24"/>
      <c r="C6" s="25"/>
      <c r="D6" s="25"/>
      <c r="E6" s="37"/>
      <c r="F6" s="26"/>
      <c r="G6" s="27"/>
      <c r="H6" s="27"/>
      <c r="I6" s="127"/>
      <c r="J6" s="38"/>
      <c r="K6" s="330"/>
      <c r="L6" s="25"/>
      <c r="M6" s="38"/>
      <c r="N6" s="38"/>
      <c r="O6" s="25"/>
      <c r="P6" s="25"/>
      <c r="Q6" s="25"/>
      <c r="R6" s="25"/>
      <c r="S6" s="25"/>
      <c r="T6" s="28"/>
    </row>
    <row r="7" spans="2:23" ht="12.75" customHeight="1" thickBot="1" x14ac:dyDescent="0.25">
      <c r="B7" s="24"/>
      <c r="C7" s="148"/>
      <c r="D7" s="148"/>
      <c r="E7" s="149"/>
      <c r="F7" s="150"/>
      <c r="G7" s="151"/>
      <c r="H7" s="151"/>
      <c r="I7" s="148"/>
      <c r="J7" s="148"/>
      <c r="K7" s="331"/>
      <c r="L7" s="148"/>
      <c r="M7" s="148"/>
      <c r="N7" s="148"/>
      <c r="O7" s="148"/>
      <c r="P7" s="130"/>
      <c r="Q7" s="130"/>
      <c r="R7" s="130"/>
      <c r="S7" s="130"/>
      <c r="T7" s="28"/>
    </row>
    <row r="8" spans="2:23" ht="12.75" customHeight="1" thickBot="1" x14ac:dyDescent="0.25">
      <c r="B8" s="24"/>
      <c r="C8" s="148"/>
      <c r="D8" s="152" t="s">
        <v>42</v>
      </c>
      <c r="E8" s="149"/>
      <c r="F8" s="150"/>
      <c r="G8" s="151"/>
      <c r="H8" s="151"/>
      <c r="I8" s="148"/>
      <c r="J8" s="148"/>
      <c r="K8" s="331"/>
      <c r="L8" s="148"/>
      <c r="M8" s="152" t="s">
        <v>297</v>
      </c>
      <c r="N8" s="152"/>
      <c r="O8" s="152"/>
      <c r="P8" s="131"/>
      <c r="Q8" s="131"/>
      <c r="R8" s="380">
        <f>R12-1</f>
        <v>0.65596733432106769</v>
      </c>
      <c r="S8" s="130"/>
      <c r="T8" s="28"/>
    </row>
    <row r="9" spans="2:23" ht="12.75" customHeight="1" thickBot="1" x14ac:dyDescent="0.25">
      <c r="B9" s="24"/>
      <c r="C9" s="148"/>
      <c r="D9" s="148"/>
      <c r="E9" s="149"/>
      <c r="F9" s="150"/>
      <c r="G9" s="151"/>
      <c r="H9" s="151"/>
      <c r="I9" s="148"/>
      <c r="J9" s="148"/>
      <c r="K9" s="331"/>
      <c r="L9" s="148"/>
      <c r="M9" s="148"/>
      <c r="N9" s="148"/>
      <c r="O9" s="148"/>
      <c r="P9" s="130"/>
      <c r="Q9" s="130"/>
      <c r="R9" s="130"/>
      <c r="S9" s="130"/>
      <c r="T9" s="28"/>
    </row>
    <row r="10" spans="2:23" ht="12.75" customHeight="1" thickBot="1" x14ac:dyDescent="0.25">
      <c r="B10" s="39"/>
      <c r="C10" s="152"/>
      <c r="D10" s="148" t="s">
        <v>43</v>
      </c>
      <c r="E10" s="148"/>
      <c r="F10" s="148"/>
      <c r="G10" s="148"/>
      <c r="H10" s="148"/>
      <c r="I10" s="536" t="s">
        <v>44</v>
      </c>
      <c r="J10" s="536"/>
      <c r="K10" s="332"/>
      <c r="L10" s="148"/>
      <c r="M10" s="189" t="s">
        <v>298</v>
      </c>
      <c r="N10" s="148"/>
      <c r="O10" s="148"/>
      <c r="P10" s="130"/>
      <c r="Q10" s="130"/>
      <c r="R10" s="379">
        <f>I28/I18</f>
        <v>1.2029489087301588</v>
      </c>
      <c r="S10" s="130"/>
      <c r="T10" s="28"/>
    </row>
    <row r="11" spans="2:23" ht="12.75" customHeight="1" thickBot="1" x14ac:dyDescent="0.25">
      <c r="B11" s="24"/>
      <c r="C11" s="148"/>
      <c r="D11" s="148" t="s">
        <v>45</v>
      </c>
      <c r="E11" s="148"/>
      <c r="F11" s="150"/>
      <c r="G11" s="151"/>
      <c r="H11" s="151"/>
      <c r="I11" s="154">
        <v>32487</v>
      </c>
      <c r="J11" s="200">
        <f>YEAR(I6)-YEAR(I11)</f>
        <v>-88</v>
      </c>
      <c r="K11" s="333"/>
      <c r="L11" s="201"/>
      <c r="M11" s="192" t="s">
        <v>299</v>
      </c>
      <c r="N11" s="202"/>
      <c r="O11" s="148"/>
      <c r="P11" s="130"/>
      <c r="Q11" s="130"/>
      <c r="R11" s="379">
        <f>I65/I28</f>
        <v>1.3765899135891968</v>
      </c>
      <c r="S11" s="130"/>
      <c r="T11" s="28"/>
    </row>
    <row r="12" spans="2:23" ht="12.75" customHeight="1" thickBot="1" x14ac:dyDescent="0.25">
      <c r="B12" s="24"/>
      <c r="C12" s="148"/>
      <c r="D12" s="152"/>
      <c r="E12" s="148"/>
      <c r="F12" s="150"/>
      <c r="G12" s="151"/>
      <c r="H12" s="151"/>
      <c r="I12" s="148"/>
      <c r="J12" s="203">
        <f>YEAR(I11)</f>
        <v>1988</v>
      </c>
      <c r="K12" s="334"/>
      <c r="L12" s="201"/>
      <c r="M12" s="188" t="s">
        <v>300</v>
      </c>
      <c r="N12" s="204"/>
      <c r="O12" s="148"/>
      <c r="P12" s="130"/>
      <c r="Q12" s="130"/>
      <c r="R12" s="379">
        <f>I65/I18</f>
        <v>1.6559673343210677</v>
      </c>
      <c r="S12" s="130"/>
      <c r="T12" s="28"/>
    </row>
    <row r="13" spans="2:23" ht="12.75" customHeight="1" thickBot="1" x14ac:dyDescent="0.25">
      <c r="B13" s="24"/>
      <c r="C13" s="148"/>
      <c r="D13" s="156" t="s">
        <v>289</v>
      </c>
      <c r="E13" s="148"/>
      <c r="F13" s="148"/>
      <c r="G13" s="148"/>
      <c r="H13" s="148"/>
      <c r="I13" s="176" t="s">
        <v>59</v>
      </c>
      <c r="J13" s="151" t="s">
        <v>288</v>
      </c>
      <c r="K13" s="335"/>
      <c r="L13" s="204"/>
      <c r="M13" s="204"/>
      <c r="N13" s="204"/>
      <c r="O13" s="148"/>
      <c r="P13" s="130"/>
      <c r="Q13" s="130"/>
      <c r="R13" s="130"/>
      <c r="S13" s="130"/>
      <c r="T13" s="28"/>
    </row>
    <row r="14" spans="2:23" ht="12.75" customHeight="1" thickBot="1" x14ac:dyDescent="0.25">
      <c r="B14" s="24"/>
      <c r="C14" s="148"/>
      <c r="D14" s="150" t="s">
        <v>47</v>
      </c>
      <c r="E14" s="148"/>
      <c r="F14" s="148"/>
      <c r="G14" s="150"/>
      <c r="H14" s="151"/>
      <c r="I14" s="157" t="s">
        <v>6</v>
      </c>
      <c r="J14" s="204">
        <f>IF(AND(I14&gt;0,I14&lt;16),0,100)</f>
        <v>100</v>
      </c>
      <c r="K14" s="354"/>
      <c r="L14" s="355"/>
      <c r="M14" s="355"/>
      <c r="N14" s="355"/>
      <c r="O14" s="356"/>
      <c r="P14" s="357"/>
      <c r="Q14" s="357"/>
      <c r="R14" s="357"/>
      <c r="S14" s="357"/>
      <c r="T14" s="28"/>
    </row>
    <row r="15" spans="2:23" ht="12.75" customHeight="1" thickBot="1" x14ac:dyDescent="0.25">
      <c r="B15" s="24"/>
      <c r="C15" s="148"/>
      <c r="D15" s="150" t="s">
        <v>48</v>
      </c>
      <c r="E15" s="148"/>
      <c r="F15" s="148" t="s">
        <v>49</v>
      </c>
      <c r="G15" s="151">
        <f>VLOOKUP(I14,saltab2018juni,18,FALSE)</f>
        <v>12</v>
      </c>
      <c r="H15" s="151"/>
      <c r="I15" s="157">
        <v>7</v>
      </c>
      <c r="J15" s="158" t="str">
        <f>IF(AND(I15&gt;0,I15&lt;G15+1),"",W15)</f>
        <v/>
      </c>
      <c r="K15" s="336"/>
      <c r="L15" s="169"/>
      <c r="M15" s="148"/>
      <c r="N15" s="150"/>
      <c r="O15" s="148"/>
      <c r="P15" s="130"/>
      <c r="Q15" s="130"/>
      <c r="R15" s="130"/>
      <c r="S15" s="130"/>
      <c r="T15" s="28"/>
      <c r="W15" s="40" t="s">
        <v>50</v>
      </c>
    </row>
    <row r="16" spans="2:23" ht="12.75" customHeight="1" thickBot="1" x14ac:dyDescent="0.25">
      <c r="B16" s="24"/>
      <c r="C16" s="148"/>
      <c r="D16" s="150" t="s">
        <v>51</v>
      </c>
      <c r="E16" s="148"/>
      <c r="F16" s="148"/>
      <c r="G16" s="151"/>
      <c r="H16" s="151"/>
      <c r="I16" s="313">
        <f>VLOOKUP(I14,saltab2019juni,I15+1,FALSE)*5/12+VLOOKUP(I14,saltab2019juni,I15+1,FALSE)*4/12+VLOOKUP(I14,saltab2019okt,I15+1,FALSE)*3/12</f>
        <v>3696</v>
      </c>
      <c r="J16" s="155"/>
      <c r="K16" s="337"/>
      <c r="L16" s="148"/>
      <c r="M16" s="152" t="s">
        <v>301</v>
      </c>
      <c r="N16" s="148"/>
      <c r="O16" s="148"/>
      <c r="P16" s="130"/>
      <c r="Q16" s="130"/>
      <c r="R16" s="130"/>
      <c r="S16" s="130"/>
      <c r="T16" s="28"/>
    </row>
    <row r="17" spans="2:20" thickBot="1" x14ac:dyDescent="0.25">
      <c r="B17" s="24"/>
      <c r="C17" s="148"/>
      <c r="D17" s="148" t="s">
        <v>52</v>
      </c>
      <c r="E17" s="148"/>
      <c r="F17" s="150"/>
      <c r="G17" s="151"/>
      <c r="H17" s="151"/>
      <c r="I17" s="159">
        <v>1</v>
      </c>
      <c r="J17" s="155"/>
      <c r="K17" s="337"/>
      <c r="L17" s="148"/>
      <c r="M17" s="148"/>
      <c r="N17" s="148"/>
      <c r="O17" s="148"/>
      <c r="P17" s="130"/>
      <c r="Q17" s="130"/>
      <c r="R17" s="130"/>
      <c r="S17" s="130"/>
      <c r="T17" s="28"/>
    </row>
    <row r="18" spans="2:20" thickBot="1" x14ac:dyDescent="0.25">
      <c r="B18" s="24"/>
      <c r="C18" s="148"/>
      <c r="D18" s="150" t="s">
        <v>53</v>
      </c>
      <c r="E18" s="148"/>
      <c r="F18" s="148"/>
      <c r="G18" s="151"/>
      <c r="H18" s="151"/>
      <c r="I18" s="317">
        <f>+I16*I17</f>
        <v>3696</v>
      </c>
      <c r="J18" s="318">
        <f>I18*12</f>
        <v>44352</v>
      </c>
      <c r="K18" s="338"/>
      <c r="L18" s="148"/>
      <c r="M18" s="152" t="s">
        <v>302</v>
      </c>
      <c r="N18" s="148"/>
      <c r="O18" s="148"/>
      <c r="P18" s="130"/>
      <c r="Q18" s="130" t="s">
        <v>59</v>
      </c>
      <c r="R18" s="130" t="s">
        <v>60</v>
      </c>
      <c r="S18" s="130"/>
      <c r="T18" s="28"/>
    </row>
    <row r="19" spans="2:20" thickBot="1" x14ac:dyDescent="0.25">
      <c r="B19" s="24"/>
      <c r="C19" s="148"/>
      <c r="D19" s="148"/>
      <c r="E19" s="148"/>
      <c r="F19" s="150"/>
      <c r="G19" s="151"/>
      <c r="H19" s="151"/>
      <c r="I19" s="160"/>
      <c r="J19" s="155"/>
      <c r="K19" s="337"/>
      <c r="L19" s="148"/>
      <c r="M19" s="148" t="s">
        <v>20</v>
      </c>
      <c r="N19" s="148"/>
      <c r="O19" s="148"/>
      <c r="P19" s="130"/>
      <c r="Q19" s="360">
        <f>IF(J29/I17&lt;tabellen!E7,0,(J29-tabellen!E7*I17)/12*tabellen!D7)</f>
        <v>243.72860775000001</v>
      </c>
      <c r="R19" s="360">
        <f>IF(J29/I17&lt;tabellen!E7,0,(J29-tabellen!E7*I17)*tabellen!D7)</f>
        <v>2924.7432930000004</v>
      </c>
      <c r="S19" s="130"/>
      <c r="T19" s="28"/>
    </row>
    <row r="20" spans="2:20" thickBot="1" x14ac:dyDescent="0.25">
      <c r="B20" s="24"/>
      <c r="C20" s="148"/>
      <c r="D20" s="152" t="s">
        <v>403</v>
      </c>
      <c r="E20" s="148"/>
      <c r="F20" s="150"/>
      <c r="G20" s="151"/>
      <c r="H20" s="151"/>
      <c r="I20" s="176" t="s">
        <v>59</v>
      </c>
      <c r="J20" s="151" t="s">
        <v>288</v>
      </c>
      <c r="K20" s="335"/>
      <c r="L20" s="148"/>
      <c r="M20" s="148" t="s">
        <v>21</v>
      </c>
      <c r="N20" s="148"/>
      <c r="O20" s="148"/>
      <c r="P20" s="130"/>
      <c r="Q20" s="360">
        <f>IF(J29/I17&lt;tabellen!E8,0,(J29-tabellen!E8*I17)/12*tabellen!D8)</f>
        <v>7.1894677500000004</v>
      </c>
      <c r="R20" s="360">
        <f>IF(J29/I17&lt;tabellen!E8,0,(J29-tabellen!E8*I17)*tabellen!D8)</f>
        <v>86.273613000000012</v>
      </c>
      <c r="S20" s="130"/>
      <c r="T20" s="28"/>
    </row>
    <row r="21" spans="2:20" thickBot="1" x14ac:dyDescent="0.25">
      <c r="B21" s="24"/>
      <c r="C21" s="148"/>
      <c r="D21" s="150" t="s">
        <v>55</v>
      </c>
      <c r="E21" s="148"/>
      <c r="F21" s="150"/>
      <c r="G21" s="162">
        <v>0.08</v>
      </c>
      <c r="H21" s="163"/>
      <c r="I21" s="319">
        <f>ROUND(IF((I$18+I$24)*G21&lt;I17*tabellen!D33,I17*tabellen!D33,(I$18+I$24)*G21),2)</f>
        <v>299.58999999999997</v>
      </c>
      <c r="J21" s="320">
        <f>I21*12</f>
        <v>3595.08</v>
      </c>
      <c r="K21" s="339"/>
      <c r="L21" s="148"/>
      <c r="M21" s="148" t="s">
        <v>296</v>
      </c>
      <c r="N21" s="148"/>
      <c r="O21" s="148"/>
      <c r="P21" s="130"/>
      <c r="Q21" s="360">
        <f>J29/12*tabellen!D9</f>
        <v>0</v>
      </c>
      <c r="R21" s="360">
        <f>J29*tabellen!D9</f>
        <v>0</v>
      </c>
      <c r="S21" s="130"/>
      <c r="T21" s="28"/>
    </row>
    <row r="22" spans="2:20" thickBot="1" x14ac:dyDescent="0.25">
      <c r="B22" s="24"/>
      <c r="C22" s="148"/>
      <c r="D22" s="150" t="s">
        <v>56</v>
      </c>
      <c r="E22" s="148"/>
      <c r="F22" s="150"/>
      <c r="G22" s="164">
        <f>tabellen!D34</f>
        <v>7.3999999999999996E-2</v>
      </c>
      <c r="H22" s="165"/>
      <c r="I22" s="319">
        <f>ROUND(+(I$18+I$24)*G22,2)</f>
        <v>277.12</v>
      </c>
      <c r="J22" s="320">
        <f t="shared" ref="J22:J24" si="0">I22*12</f>
        <v>3325.44</v>
      </c>
      <c r="K22" s="339"/>
      <c r="L22" s="148"/>
      <c r="M22" s="148"/>
      <c r="N22" s="148"/>
      <c r="O22" s="148"/>
      <c r="P22" s="130"/>
      <c r="Q22" s="361">
        <f>SUM(Q19:Q21)</f>
        <v>250.91807550000001</v>
      </c>
      <c r="R22" s="361">
        <f>SUM(R19:R21)</f>
        <v>3011.0169060000003</v>
      </c>
      <c r="S22" s="130"/>
      <c r="T22" s="28"/>
    </row>
    <row r="23" spans="2:20" hidden="1" thickBot="1" x14ac:dyDescent="0.25">
      <c r="B23" s="24"/>
      <c r="C23" s="148"/>
      <c r="D23" s="148" t="s">
        <v>274</v>
      </c>
      <c r="E23" s="148"/>
      <c r="F23" s="150"/>
      <c r="G23" s="165"/>
      <c r="H23" s="165"/>
      <c r="I23" s="320">
        <f>I18*1%*(1+8%+7.4%)*12*0</f>
        <v>0</v>
      </c>
      <c r="J23" s="320">
        <f t="shared" si="0"/>
        <v>0</v>
      </c>
      <c r="K23" s="339"/>
      <c r="L23" s="188"/>
      <c r="M23" s="148"/>
      <c r="N23" s="298"/>
      <c r="O23" s="148"/>
      <c r="P23" s="130"/>
      <c r="Q23" s="130"/>
      <c r="R23" s="130"/>
      <c r="S23" s="130"/>
      <c r="T23" s="28"/>
    </row>
    <row r="24" spans="2:20" thickBot="1" x14ac:dyDescent="0.25">
      <c r="B24" s="24"/>
      <c r="C24" s="148"/>
      <c r="D24" s="150" t="s">
        <v>291</v>
      </c>
      <c r="E24" s="148"/>
      <c r="F24" s="263"/>
      <c r="G24" s="157" t="s">
        <v>54</v>
      </c>
      <c r="H24" s="151"/>
      <c r="I24" s="319">
        <f>ROUND(IF(G24="ja",VLOOKUP(I14,uitlooptoeslag,2,FALSE))*IF(I17&gt;1,1,I17),2)</f>
        <v>48.93</v>
      </c>
      <c r="J24" s="320">
        <f t="shared" si="0"/>
        <v>587.16</v>
      </c>
      <c r="K24" s="339"/>
      <c r="L24" s="148"/>
      <c r="M24" s="152" t="s">
        <v>270</v>
      </c>
      <c r="N24" s="148"/>
      <c r="O24" s="148"/>
      <c r="P24" s="130"/>
      <c r="Q24" s="130"/>
      <c r="R24" s="130"/>
      <c r="S24" s="130"/>
      <c r="T24" s="28"/>
    </row>
    <row r="25" spans="2:20" thickBot="1" x14ac:dyDescent="0.25">
      <c r="B25" s="24"/>
      <c r="C25" s="148"/>
      <c r="D25" s="150" t="s">
        <v>36</v>
      </c>
      <c r="E25" s="148"/>
      <c r="F25" s="166"/>
      <c r="G25" s="167">
        <f>IF(J14=100,0,I14)</f>
        <v>0</v>
      </c>
      <c r="H25" s="165"/>
      <c r="I25" s="319">
        <f>VLOOKUP(G25,eindejaarsuitkering_OOP,2,TRUE)*I17/12</f>
        <v>0</v>
      </c>
      <c r="J25" s="320">
        <f>I25*12</f>
        <v>0</v>
      </c>
      <c r="K25" s="339"/>
      <c r="L25" s="148"/>
      <c r="M25" s="148" t="s">
        <v>294</v>
      </c>
      <c r="N25" s="148"/>
      <c r="O25" s="148"/>
      <c r="P25" s="130"/>
      <c r="Q25" s="360">
        <f>I28</f>
        <v>4446.0991666666669</v>
      </c>
      <c r="R25" s="360">
        <f>J28</f>
        <v>53353.19</v>
      </c>
      <c r="S25" s="130"/>
      <c r="T25" s="28"/>
    </row>
    <row r="26" spans="2:20" thickBot="1" x14ac:dyDescent="0.25">
      <c r="B26" s="24"/>
      <c r="C26" s="148"/>
      <c r="D26" s="148" t="s">
        <v>28</v>
      </c>
      <c r="E26" s="152"/>
      <c r="F26" s="161" t="s">
        <v>57</v>
      </c>
      <c r="G26" s="157" t="s">
        <v>54</v>
      </c>
      <c r="H26" s="151"/>
      <c r="I26" s="319">
        <f>J26/12</f>
        <v>124.45916666666666</v>
      </c>
      <c r="J26" s="320">
        <f>ROUND(IF(G26="ja",VLOOKUP(F26,bindingstoelage,2,FALSE))*IF(I17&gt;1,1,I17),2)</f>
        <v>1493.51</v>
      </c>
      <c r="K26" s="339"/>
      <c r="L26" s="148"/>
      <c r="M26" s="148" t="s">
        <v>303</v>
      </c>
      <c r="N26" s="148"/>
      <c r="O26" s="148"/>
      <c r="P26" s="130"/>
      <c r="Q26" s="360">
        <f>Q22</f>
        <v>250.91807550000001</v>
      </c>
      <c r="R26" s="360">
        <f>R22</f>
        <v>3011.0169060000003</v>
      </c>
      <c r="S26" s="130"/>
      <c r="T26" s="28"/>
    </row>
    <row r="27" spans="2:20" s="42" customFormat="1" thickBot="1" x14ac:dyDescent="0.25">
      <c r="B27" s="39"/>
      <c r="C27" s="152"/>
      <c r="D27" s="152" t="s">
        <v>293</v>
      </c>
      <c r="E27" s="152"/>
      <c r="F27" s="168"/>
      <c r="G27" s="169"/>
      <c r="H27" s="169"/>
      <c r="I27" s="317">
        <f>SUM(I21:I26)</f>
        <v>750.09916666666663</v>
      </c>
      <c r="J27" s="318">
        <f>SUM(J21:J26)</f>
        <v>9001.19</v>
      </c>
      <c r="K27" s="338"/>
      <c r="L27" s="152"/>
      <c r="M27" s="152"/>
      <c r="N27" s="152"/>
      <c r="O27" s="152"/>
      <c r="P27" s="131"/>
      <c r="Q27" s="362">
        <f>Q25-Q26</f>
        <v>4195.1810911666671</v>
      </c>
      <c r="R27" s="362">
        <f>R25-R26</f>
        <v>50342.173094000005</v>
      </c>
      <c r="S27" s="131"/>
      <c r="T27" s="41"/>
    </row>
    <row r="28" spans="2:20" s="42" customFormat="1" thickBot="1" x14ac:dyDescent="0.25">
      <c r="B28" s="39"/>
      <c r="C28" s="152"/>
      <c r="D28" s="152" t="s">
        <v>294</v>
      </c>
      <c r="E28" s="152"/>
      <c r="F28" s="168"/>
      <c r="G28" s="169"/>
      <c r="H28" s="169"/>
      <c r="I28" s="317">
        <f>I18+I27</f>
        <v>4446.0991666666669</v>
      </c>
      <c r="J28" s="317">
        <f>J18+J27</f>
        <v>53353.19</v>
      </c>
      <c r="K28" s="338"/>
      <c r="L28" s="152"/>
      <c r="M28" s="152" t="s">
        <v>74</v>
      </c>
      <c r="N28" s="152"/>
      <c r="O28" s="152"/>
      <c r="P28" s="131"/>
      <c r="Q28" s="131"/>
      <c r="R28" s="131"/>
      <c r="S28" s="131"/>
      <c r="T28" s="41"/>
    </row>
    <row r="29" spans="2:20" thickBot="1" x14ac:dyDescent="0.25">
      <c r="B29" s="24"/>
      <c r="C29" s="148"/>
      <c r="D29" s="148" t="s">
        <v>58</v>
      </c>
      <c r="E29" s="148"/>
      <c r="F29" s="148"/>
      <c r="G29" s="151"/>
      <c r="H29" s="151"/>
      <c r="I29" s="321">
        <f>I18+I27+tabellen!D27/12</f>
        <v>4446.0991666666669</v>
      </c>
      <c r="J29" s="321">
        <f>J18+J27+tabellen!D27</f>
        <v>53353.19</v>
      </c>
      <c r="K29" s="340"/>
      <c r="L29" s="148"/>
      <c r="M29" s="148" t="s">
        <v>304</v>
      </c>
      <c r="N29" s="148"/>
      <c r="O29" s="148"/>
      <c r="P29" s="130"/>
      <c r="Q29" s="360">
        <f>Q27</f>
        <v>4195.1810911666671</v>
      </c>
      <c r="R29" s="360">
        <f>R27</f>
        <v>50342.173094000005</v>
      </c>
      <c r="S29" s="130"/>
      <c r="T29" s="28"/>
    </row>
    <row r="30" spans="2:20" hidden="1" thickBot="1" x14ac:dyDescent="0.25">
      <c r="B30" s="24"/>
      <c r="C30" s="148"/>
      <c r="D30" s="292" t="s">
        <v>267</v>
      </c>
      <c r="E30" s="148"/>
      <c r="F30" s="150"/>
      <c r="G30" s="151"/>
      <c r="H30" s="151"/>
      <c r="I30" s="291">
        <v>0</v>
      </c>
      <c r="J30" s="155"/>
      <c r="K30" s="337"/>
      <c r="L30" s="148"/>
      <c r="M30" s="148"/>
      <c r="N30" s="148"/>
      <c r="O30" s="148"/>
      <c r="P30" s="130"/>
      <c r="Q30" s="360"/>
      <c r="R30" s="360"/>
      <c r="S30" s="130"/>
      <c r="T30" s="28"/>
    </row>
    <row r="31" spans="2:20" thickBot="1" x14ac:dyDescent="0.25">
      <c r="B31" s="24"/>
      <c r="C31" s="148"/>
      <c r="D31" s="152"/>
      <c r="E31" s="148"/>
      <c r="F31" s="150"/>
      <c r="G31" s="151"/>
      <c r="H31" s="151"/>
      <c r="I31" s="172"/>
      <c r="J31" s="155"/>
      <c r="K31" s="337"/>
      <c r="L31" s="148"/>
      <c r="M31" s="148" t="s">
        <v>305</v>
      </c>
      <c r="N31" s="148"/>
      <c r="O31" s="148"/>
      <c r="P31" s="130"/>
      <c r="Q31" s="360">
        <f>IF(Q27&gt;tabellen!H10,tabellen!H10,Q27)*tabellen!C12</f>
        <v>291.56508583608337</v>
      </c>
      <c r="R31" s="360">
        <f>J38</f>
        <v>3498.7810300330002</v>
      </c>
      <c r="S31" s="130"/>
      <c r="T31" s="28"/>
    </row>
    <row r="32" spans="2:20" s="45" customFormat="1" thickBot="1" x14ac:dyDescent="0.25">
      <c r="B32" s="43"/>
      <c r="C32" s="173"/>
      <c r="D32" s="152" t="s">
        <v>290</v>
      </c>
      <c r="E32" s="173"/>
      <c r="F32" s="174"/>
      <c r="G32" s="175"/>
      <c r="H32" s="175"/>
      <c r="I32" s="176"/>
      <c r="J32" s="176"/>
      <c r="K32" s="341"/>
      <c r="L32" s="178"/>
      <c r="M32" s="162"/>
      <c r="N32" s="178"/>
      <c r="O32" s="148"/>
      <c r="P32" s="130"/>
      <c r="Q32" s="361">
        <f>(Q29+Q31)</f>
        <v>4486.7461770027503</v>
      </c>
      <c r="R32" s="361">
        <f>(R29+R31)</f>
        <v>53840.954124033007</v>
      </c>
      <c r="S32" s="130"/>
      <c r="T32" s="44"/>
    </row>
    <row r="33" spans="2:20" thickBot="1" x14ac:dyDescent="0.25">
      <c r="B33" s="24"/>
      <c r="C33" s="148"/>
      <c r="D33" s="188" t="s">
        <v>295</v>
      </c>
      <c r="E33" s="148"/>
      <c r="F33" s="150"/>
      <c r="G33" s="151"/>
      <c r="H33" s="151"/>
      <c r="I33" s="176" t="s">
        <v>59</v>
      </c>
      <c r="J33" s="176" t="s">
        <v>60</v>
      </c>
      <c r="K33" s="341"/>
      <c r="L33" s="169"/>
      <c r="M33" s="322"/>
      <c r="N33" s="322"/>
      <c r="O33" s="148"/>
      <c r="P33" s="130"/>
      <c r="Q33" s="130"/>
      <c r="R33" s="130"/>
      <c r="S33" s="130"/>
      <c r="T33" s="46"/>
    </row>
    <row r="34" spans="2:20" thickBot="1" x14ac:dyDescent="0.25">
      <c r="B34" s="24"/>
      <c r="C34" s="148"/>
      <c r="D34" s="150" t="s">
        <v>61</v>
      </c>
      <c r="E34" s="148" t="s">
        <v>20</v>
      </c>
      <c r="F34" s="150"/>
      <c r="G34" s="151"/>
      <c r="H34" s="151"/>
      <c r="I34" s="325">
        <f>IF($J$29/$I$17&lt;tabellen!E7,0,($J$29-tabellen!E7)/12)*tabellen!$C7</f>
        <v>568.70008475000009</v>
      </c>
      <c r="J34" s="323">
        <f>I34*12</f>
        <v>6824.401017000001</v>
      </c>
      <c r="K34" s="340"/>
      <c r="L34" s="160"/>
      <c r="M34" s="152"/>
      <c r="N34" s="148"/>
      <c r="O34" s="148"/>
      <c r="P34" s="130"/>
      <c r="Q34" s="130"/>
      <c r="R34" s="130"/>
      <c r="S34" s="130"/>
      <c r="T34" s="46"/>
    </row>
    <row r="35" spans="2:20" thickBot="1" x14ac:dyDescent="0.25">
      <c r="B35" s="24"/>
      <c r="C35" s="148"/>
      <c r="D35" s="150" t="s">
        <v>62</v>
      </c>
      <c r="E35" s="148" t="s">
        <v>63</v>
      </c>
      <c r="F35" s="150"/>
      <c r="G35" s="151"/>
      <c r="H35" s="151"/>
      <c r="I35" s="323">
        <f>IF($J$29/$I$17&lt;tabellen!E8,0,($J$29-tabellen!E8)*$I$17/12)*tabellen!$C8</f>
        <v>16.775424749999999</v>
      </c>
      <c r="J35" s="323">
        <f>I35*12</f>
        <v>201.30509699999999</v>
      </c>
      <c r="K35" s="340"/>
      <c r="L35" s="160"/>
      <c r="M35" s="148"/>
      <c r="N35" s="363"/>
      <c r="O35" s="181"/>
      <c r="P35" s="130"/>
      <c r="Q35" s="359"/>
      <c r="R35" s="359"/>
      <c r="S35" s="130"/>
      <c r="T35" s="46"/>
    </row>
    <row r="36" spans="2:20" thickBot="1" x14ac:dyDescent="0.25">
      <c r="B36" s="24"/>
      <c r="C36" s="148"/>
      <c r="D36" s="150" t="s">
        <v>64</v>
      </c>
      <c r="E36" s="148" t="s">
        <v>296</v>
      </c>
      <c r="F36" s="150"/>
      <c r="G36" s="150"/>
      <c r="H36" s="151"/>
      <c r="I36" s="323">
        <f>$I$29*tabellen!$C9</f>
        <v>115.59857833333334</v>
      </c>
      <c r="J36" s="323">
        <f>$J$29*tabellen!$C9</f>
        <v>1387.1829399999999</v>
      </c>
      <c r="K36" s="340"/>
      <c r="L36" s="160"/>
      <c r="M36" s="148"/>
      <c r="N36" s="363"/>
      <c r="O36" s="181"/>
      <c r="P36" s="130"/>
      <c r="Q36" s="359"/>
      <c r="R36" s="359"/>
      <c r="S36" s="130"/>
      <c r="T36" s="46"/>
    </row>
    <row r="37" spans="2:20" ht="15.75" thickBot="1" x14ac:dyDescent="0.25">
      <c r="B37" s="24"/>
      <c r="C37" s="148"/>
      <c r="D37" s="150" t="s">
        <v>65</v>
      </c>
      <c r="E37" s="148" t="s">
        <v>66</v>
      </c>
      <c r="F37" s="150"/>
      <c r="G37" s="151"/>
      <c r="H37" s="151"/>
      <c r="I37" s="323">
        <f>IF(R27&gt;tabellen!$G$10,tabellen!$G$10,R27)*(tabellen!$C10+tabellen!$C11)/12</f>
        <v>355.33183842181666</v>
      </c>
      <c r="J37" s="323">
        <f>12*I37</f>
        <v>4263.9820610617999</v>
      </c>
      <c r="K37" s="340"/>
      <c r="L37" s="160"/>
      <c r="M37" s="394"/>
      <c r="N37" s="395"/>
      <c r="O37" s="395"/>
      <c r="P37" s="395"/>
      <c r="Q37" s="395"/>
      <c r="R37" s="395"/>
      <c r="S37" s="130"/>
      <c r="T37" s="46"/>
    </row>
    <row r="38" spans="2:20" ht="15.75" thickBot="1" x14ac:dyDescent="0.25">
      <c r="B38" s="24"/>
      <c r="C38" s="148"/>
      <c r="D38" s="150" t="s">
        <v>67</v>
      </c>
      <c r="E38" s="148" t="s">
        <v>68</v>
      </c>
      <c r="F38" s="150"/>
      <c r="G38" s="151"/>
      <c r="H38" s="151"/>
      <c r="I38" s="323">
        <f>Q31</f>
        <v>291.56508583608337</v>
      </c>
      <c r="J38" s="323">
        <f>I38*12</f>
        <v>3498.7810300330002</v>
      </c>
      <c r="K38" s="340"/>
      <c r="L38" s="160"/>
      <c r="M38" s="396"/>
      <c r="N38" s="395"/>
      <c r="O38" s="395"/>
      <c r="P38" s="395"/>
      <c r="Q38" s="395"/>
      <c r="R38" s="395"/>
      <c r="S38" s="130"/>
      <c r="T38" s="46"/>
    </row>
    <row r="39" spans="2:20" ht="15.75" thickBot="1" x14ac:dyDescent="0.25">
      <c r="B39" s="24"/>
      <c r="C39" s="148"/>
      <c r="D39" s="150" t="s">
        <v>69</v>
      </c>
      <c r="E39" s="148" t="s">
        <v>70</v>
      </c>
      <c r="F39" s="150"/>
      <c r="G39" s="151"/>
      <c r="H39" s="151"/>
      <c r="I39" s="323">
        <f>IF(Q27&gt;tabellen!$G$13*$I$17/12,tabellen!$G$13*$I$17/12,Q27)*tabellen!$C13</f>
        <v>32.722412511100003</v>
      </c>
      <c r="J39" s="323">
        <f>I39*12</f>
        <v>392.66895013320004</v>
      </c>
      <c r="K39" s="340"/>
      <c r="L39" s="160"/>
      <c r="M39" s="396"/>
      <c r="N39" s="395"/>
      <c r="O39" s="395"/>
      <c r="P39" s="395"/>
      <c r="Q39" s="395"/>
      <c r="R39" s="395"/>
      <c r="S39" s="130"/>
      <c r="T39" s="46"/>
    </row>
    <row r="40" spans="2:20" ht="15.75" thickBot="1" x14ac:dyDescent="0.25">
      <c r="B40" s="24"/>
      <c r="C40" s="148"/>
      <c r="D40" s="150"/>
      <c r="E40" s="148"/>
      <c r="F40" s="150"/>
      <c r="G40" s="151"/>
      <c r="H40" s="151"/>
      <c r="I40" s="375">
        <f>SUM(I34:I39)</f>
        <v>1380.6934246023334</v>
      </c>
      <c r="J40" s="375">
        <f>SUM(J34:J39)</f>
        <v>16568.321095227999</v>
      </c>
      <c r="K40" s="340"/>
      <c r="L40" s="160"/>
      <c r="M40" s="396"/>
      <c r="N40" s="395"/>
      <c r="O40" s="395"/>
      <c r="P40" s="395"/>
      <c r="Q40" s="395"/>
      <c r="R40" s="395"/>
      <c r="S40" s="130"/>
      <c r="T40" s="46"/>
    </row>
    <row r="41" spans="2:20" thickBot="1" x14ac:dyDescent="0.25">
      <c r="B41" s="24"/>
      <c r="C41" s="148"/>
      <c r="D41" s="150" t="s">
        <v>315</v>
      </c>
      <c r="E41" s="148"/>
      <c r="F41" s="150"/>
      <c r="G41" s="179"/>
      <c r="H41" s="151"/>
      <c r="I41" s="363"/>
      <c r="J41" s="363"/>
      <c r="K41" s="340"/>
      <c r="L41" s="382"/>
      <c r="M41" s="395"/>
      <c r="N41" s="395"/>
      <c r="O41" s="395"/>
      <c r="P41" s="395"/>
      <c r="Q41" s="395"/>
      <c r="R41" s="395"/>
      <c r="S41" s="383"/>
      <c r="T41" s="46"/>
    </row>
    <row r="42" spans="2:20" thickBot="1" x14ac:dyDescent="0.25">
      <c r="B42" s="24"/>
      <c r="C42" s="148"/>
      <c r="D42" s="150"/>
      <c r="E42" s="148" t="s">
        <v>316</v>
      </c>
      <c r="F42" s="150"/>
      <c r="G42" s="151"/>
      <c r="H42" s="151"/>
      <c r="I42" s="323">
        <f>J42/12</f>
        <v>209.75905455833336</v>
      </c>
      <c r="J42" s="323">
        <f>R27*tabellen!C14</f>
        <v>2517.1086547000004</v>
      </c>
      <c r="K42" s="340"/>
      <c r="L42" s="384"/>
      <c r="M42" s="395"/>
      <c r="N42" s="395"/>
      <c r="O42" s="395"/>
      <c r="P42" s="395"/>
      <c r="Q42" s="395"/>
      <c r="R42" s="395"/>
      <c r="S42" s="385"/>
      <c r="T42" s="46"/>
    </row>
    <row r="43" spans="2:20" ht="15.75" thickBot="1" x14ac:dyDescent="0.25">
      <c r="B43" s="24"/>
      <c r="C43" s="148"/>
      <c r="D43" s="150"/>
      <c r="E43" s="148" t="s">
        <v>317</v>
      </c>
      <c r="F43" s="150"/>
      <c r="G43" s="151"/>
      <c r="H43" s="151"/>
      <c r="I43" s="323">
        <f>J43/12</f>
        <v>0</v>
      </c>
      <c r="J43" s="327">
        <f>J64*tabellen!C17</f>
        <v>0</v>
      </c>
      <c r="K43" s="340"/>
      <c r="L43" s="160"/>
      <c r="M43" s="394" t="s">
        <v>319</v>
      </c>
      <c r="N43" s="395"/>
      <c r="O43" s="395"/>
      <c r="P43" s="395"/>
      <c r="Q43" s="395"/>
      <c r="R43" s="395"/>
      <c r="S43" s="130"/>
      <c r="T43" s="46"/>
    </row>
    <row r="44" spans="2:20" ht="15.75" thickBot="1" x14ac:dyDescent="0.25">
      <c r="B44" s="24"/>
      <c r="C44" s="148"/>
      <c r="D44" s="130"/>
      <c r="E44" s="148" t="s">
        <v>71</v>
      </c>
      <c r="F44" s="150"/>
      <c r="G44" s="151"/>
      <c r="H44" s="151"/>
      <c r="I44" s="323">
        <f>J44/12</f>
        <v>83.903621823333353</v>
      </c>
      <c r="J44" s="324">
        <f>R27*tabellen!C15</f>
        <v>1006.8434618800002</v>
      </c>
      <c r="K44" s="342"/>
      <c r="L44" s="160"/>
      <c r="M44" s="397" t="s">
        <v>324</v>
      </c>
      <c r="N44" s="395"/>
      <c r="O44" s="395"/>
      <c r="P44" s="395"/>
      <c r="Q44" s="395"/>
      <c r="R44" s="395"/>
      <c r="S44" s="130"/>
      <c r="T44" s="46"/>
    </row>
    <row r="45" spans="2:20" ht="15.75" thickBot="1" x14ac:dyDescent="0.25">
      <c r="B45" s="24"/>
      <c r="C45" s="148"/>
      <c r="D45" s="130"/>
      <c r="E45" s="148"/>
      <c r="F45" s="150"/>
      <c r="G45" s="151"/>
      <c r="H45" s="151"/>
      <c r="I45" s="378">
        <f>SUM(I42:I44)</f>
        <v>293.6626763816667</v>
      </c>
      <c r="J45" s="378">
        <f>SUM(J42:J44)</f>
        <v>3523.9521165800006</v>
      </c>
      <c r="K45" s="343"/>
      <c r="L45" s="160"/>
      <c r="M45" s="397" t="s">
        <v>325</v>
      </c>
      <c r="N45" s="395"/>
      <c r="O45" s="395"/>
      <c r="P45" s="395"/>
      <c r="Q45" s="395"/>
      <c r="R45" s="395"/>
      <c r="S45" s="130"/>
      <c r="T45" s="46"/>
    </row>
    <row r="46" spans="2:20" s="42" customFormat="1" ht="15.75" thickBot="1" x14ac:dyDescent="0.25">
      <c r="B46" s="39"/>
      <c r="C46" s="152"/>
      <c r="D46" s="166"/>
      <c r="E46" s="148"/>
      <c r="F46" s="150"/>
      <c r="G46" s="151"/>
      <c r="H46" s="151"/>
      <c r="I46" s="171"/>
      <c r="J46" s="171"/>
      <c r="K46" s="365"/>
      <c r="L46" s="386"/>
      <c r="M46" s="397" t="s">
        <v>326</v>
      </c>
      <c r="N46" s="395"/>
      <c r="O46" s="395"/>
      <c r="P46" s="395"/>
      <c r="Q46" s="395"/>
      <c r="R46" s="395"/>
      <c r="S46" s="387"/>
      <c r="T46" s="47"/>
    </row>
    <row r="47" spans="2:20" ht="15.75" thickBot="1" x14ac:dyDescent="0.25">
      <c r="B47" s="24"/>
      <c r="C47" s="148"/>
      <c r="D47" s="152" t="s">
        <v>72</v>
      </c>
      <c r="E47" s="152"/>
      <c r="F47" s="168"/>
      <c r="G47" s="169"/>
      <c r="H47" s="169"/>
      <c r="I47" s="376">
        <f>I40+I45</f>
        <v>1674.356100984</v>
      </c>
      <c r="J47" s="376">
        <f>J40+J45</f>
        <v>20092.273211807998</v>
      </c>
      <c r="K47" s="345"/>
      <c r="L47" s="181"/>
      <c r="M47" s="396" t="s">
        <v>336</v>
      </c>
      <c r="N47" s="395"/>
      <c r="O47" s="395"/>
      <c r="P47" s="395"/>
      <c r="Q47" s="395"/>
      <c r="R47" s="395"/>
      <c r="S47" s="130"/>
      <c r="T47" s="46"/>
    </row>
    <row r="48" spans="2:20" s="36" customFormat="1" ht="15.75" thickBot="1" x14ac:dyDescent="0.25">
      <c r="B48" s="29"/>
      <c r="C48" s="148"/>
      <c r="D48" s="171"/>
      <c r="E48" s="152"/>
      <c r="F48" s="150"/>
      <c r="G48" s="151"/>
      <c r="H48" s="151"/>
      <c r="I48" s="180"/>
      <c r="J48" s="180"/>
      <c r="K48" s="346"/>
      <c r="L48" s="358"/>
      <c r="M48" s="396" t="s">
        <v>327</v>
      </c>
      <c r="N48" s="395"/>
      <c r="O48" s="395"/>
      <c r="P48" s="395"/>
      <c r="Q48" s="395"/>
      <c r="R48" s="395"/>
      <c r="S48" s="131"/>
      <c r="T48" s="35"/>
    </row>
    <row r="49" spans="2:20" ht="15.75" thickBot="1" x14ac:dyDescent="0.25">
      <c r="B49" s="24"/>
      <c r="C49" s="182"/>
      <c r="D49" s="152" t="s">
        <v>73</v>
      </c>
      <c r="E49" s="182"/>
      <c r="F49" s="183"/>
      <c r="G49" s="184"/>
      <c r="H49" s="184"/>
      <c r="I49" s="537">
        <f>+I47/I18</f>
        <v>0.4530184255909091</v>
      </c>
      <c r="J49" s="537"/>
      <c r="K49" s="343"/>
      <c r="L49" s="148"/>
      <c r="M49" s="396" t="s">
        <v>337</v>
      </c>
      <c r="N49" s="395"/>
      <c r="O49" s="395"/>
      <c r="P49" s="395"/>
      <c r="Q49" s="395"/>
      <c r="R49" s="395"/>
      <c r="S49" s="130"/>
      <c r="T49" s="46"/>
    </row>
    <row r="50" spans="2:20" ht="15.75" thickBot="1" x14ac:dyDescent="0.25">
      <c r="B50" s="24"/>
      <c r="C50" s="148"/>
      <c r="D50" s="148"/>
      <c r="E50" s="148"/>
      <c r="F50" s="150"/>
      <c r="G50" s="151"/>
      <c r="H50" s="151"/>
      <c r="I50" s="171"/>
      <c r="J50" s="171"/>
      <c r="K50" s="347"/>
      <c r="L50" s="130"/>
      <c r="M50" s="396" t="s">
        <v>338</v>
      </c>
      <c r="N50" s="395"/>
      <c r="O50" s="395"/>
      <c r="P50" s="395"/>
      <c r="Q50" s="395"/>
      <c r="R50" s="395"/>
      <c r="S50" s="130"/>
      <c r="T50" s="28"/>
    </row>
    <row r="51" spans="2:20" ht="15.75" thickBot="1" x14ac:dyDescent="0.25">
      <c r="B51" s="24"/>
      <c r="C51" s="25"/>
      <c r="D51" s="25"/>
      <c r="E51" s="25"/>
      <c r="F51" s="26"/>
      <c r="G51" s="27"/>
      <c r="H51" s="27"/>
      <c r="I51" s="48"/>
      <c r="J51" s="48"/>
      <c r="K51" s="343"/>
      <c r="L51" s="148"/>
      <c r="M51" s="396" t="s">
        <v>328</v>
      </c>
      <c r="N51" s="395"/>
      <c r="O51" s="395"/>
      <c r="P51" s="395"/>
      <c r="Q51" s="395"/>
      <c r="R51" s="395"/>
      <c r="S51" s="130"/>
      <c r="T51" s="46"/>
    </row>
    <row r="52" spans="2:20" ht="15.75" thickBot="1" x14ac:dyDescent="0.25">
      <c r="B52" s="24"/>
      <c r="C52" s="148"/>
      <c r="D52" s="148"/>
      <c r="E52" s="148"/>
      <c r="F52" s="150"/>
      <c r="G52" s="151"/>
      <c r="H52" s="151"/>
      <c r="I52" s="171"/>
      <c r="J52" s="171"/>
      <c r="K52" s="348"/>
      <c r="L52" s="177"/>
      <c r="M52" s="396" t="s">
        <v>339</v>
      </c>
      <c r="N52" s="395"/>
      <c r="O52" s="395"/>
      <c r="P52" s="395"/>
      <c r="Q52" s="395"/>
      <c r="R52" s="395"/>
      <c r="S52" s="138"/>
      <c r="T52" s="46"/>
    </row>
    <row r="53" spans="2:20" ht="15.75" thickBot="1" x14ac:dyDescent="0.25">
      <c r="B53" s="24"/>
      <c r="C53" s="173"/>
      <c r="D53" s="152" t="s">
        <v>306</v>
      </c>
      <c r="E53" s="173"/>
      <c r="F53" s="174"/>
      <c r="G53" s="175"/>
      <c r="H53" s="175"/>
      <c r="I53" s="167" t="s">
        <v>59</v>
      </c>
      <c r="J53" s="178" t="s">
        <v>60</v>
      </c>
      <c r="K53" s="349"/>
      <c r="L53" s="148"/>
      <c r="M53" s="396" t="s">
        <v>340</v>
      </c>
      <c r="N53" s="395"/>
      <c r="O53" s="395"/>
      <c r="P53" s="395"/>
      <c r="Q53" s="395"/>
      <c r="R53" s="395"/>
      <c r="S53" s="130"/>
      <c r="T53" s="46"/>
    </row>
    <row r="54" spans="2:20" ht="15.75" thickBot="1" x14ac:dyDescent="0.25">
      <c r="B54" s="24"/>
      <c r="C54" s="148"/>
      <c r="D54" s="152"/>
      <c r="E54" s="148"/>
      <c r="F54" s="150"/>
      <c r="G54" s="151"/>
      <c r="H54" s="151"/>
      <c r="I54" s="185"/>
      <c r="J54" s="152"/>
      <c r="K54" s="344"/>
      <c r="L54" s="152"/>
      <c r="M54" s="397"/>
      <c r="N54" s="395"/>
      <c r="O54" s="395"/>
      <c r="P54" s="395"/>
      <c r="Q54" s="395"/>
      <c r="R54" s="395"/>
      <c r="S54" s="131"/>
      <c r="T54" s="46"/>
    </row>
    <row r="55" spans="2:20" ht="13.5" customHeight="1" thickBot="1" x14ac:dyDescent="0.25">
      <c r="B55" s="24"/>
      <c r="C55" s="152"/>
      <c r="D55" s="367" t="s">
        <v>307</v>
      </c>
      <c r="E55" s="152"/>
      <c r="F55" s="168"/>
      <c r="G55" s="169"/>
      <c r="H55" s="169"/>
      <c r="I55" s="370">
        <v>0</v>
      </c>
      <c r="J55" s="371">
        <v>0</v>
      </c>
      <c r="K55" s="344"/>
      <c r="L55" s="152"/>
      <c r="M55" s="398" t="s">
        <v>341</v>
      </c>
      <c r="N55" s="395"/>
      <c r="O55" s="395"/>
      <c r="P55" s="395"/>
      <c r="Q55" s="395"/>
      <c r="R55" s="395"/>
      <c r="S55" s="131"/>
      <c r="T55" s="46"/>
    </row>
    <row r="56" spans="2:20" thickBot="1" x14ac:dyDescent="0.25">
      <c r="B56" s="24"/>
      <c r="C56" s="152"/>
      <c r="D56" s="367" t="s">
        <v>308</v>
      </c>
      <c r="E56" s="152"/>
      <c r="F56" s="168"/>
      <c r="G56" s="169"/>
      <c r="H56" s="169"/>
      <c r="I56" s="370">
        <v>0</v>
      </c>
      <c r="J56" s="371">
        <v>0</v>
      </c>
      <c r="K56" s="350"/>
      <c r="L56" s="191"/>
      <c r="M56" s="395" t="s">
        <v>329</v>
      </c>
      <c r="N56" s="395"/>
      <c r="O56" s="395"/>
      <c r="P56" s="395"/>
      <c r="Q56" s="395"/>
      <c r="R56" s="395"/>
      <c r="S56" s="353"/>
      <c r="T56" s="46"/>
    </row>
    <row r="57" spans="2:20" thickBot="1" x14ac:dyDescent="0.25">
      <c r="B57" s="24"/>
      <c r="C57" s="188"/>
      <c r="D57" s="367" t="s">
        <v>309</v>
      </c>
      <c r="E57" s="188"/>
      <c r="F57" s="189"/>
      <c r="G57" s="178"/>
      <c r="H57" s="190"/>
      <c r="I57" s="372">
        <v>0</v>
      </c>
      <c r="J57" s="373">
        <f>IF($I$29/$I$17&lt;tabellen!E7,0,(+$I$29-tabellen!E7*I17)*tabellen!$D7)</f>
        <v>0</v>
      </c>
      <c r="K57" s="350"/>
      <c r="L57" s="191"/>
      <c r="M57" s="395" t="s">
        <v>330</v>
      </c>
      <c r="N57" s="395"/>
      <c r="O57" s="395"/>
      <c r="P57" s="395"/>
      <c r="Q57" s="395"/>
      <c r="R57" s="395"/>
      <c r="S57" s="353"/>
      <c r="T57" s="46"/>
    </row>
    <row r="58" spans="2:20" thickBot="1" x14ac:dyDescent="0.25">
      <c r="B58" s="24"/>
      <c r="C58" s="188"/>
      <c r="D58" s="367" t="s">
        <v>310</v>
      </c>
      <c r="E58" s="188"/>
      <c r="F58" s="189"/>
      <c r="G58" s="178"/>
      <c r="H58" s="190"/>
      <c r="I58" s="372">
        <v>0</v>
      </c>
      <c r="J58" s="373">
        <f>IF($I$29/$I$17&lt;tabellen!E8,0,(+$I$29-tabellen!E8*$I$17)*tabellen!$D8)</f>
        <v>0</v>
      </c>
      <c r="K58" s="350"/>
      <c r="L58" s="191"/>
      <c r="M58" s="395"/>
      <c r="N58" s="395"/>
      <c r="O58" s="395"/>
      <c r="P58" s="395"/>
      <c r="Q58" s="395"/>
      <c r="R58" s="395"/>
      <c r="S58" s="353"/>
      <c r="T58" s="46"/>
    </row>
    <row r="59" spans="2:20" ht="15.75" thickBot="1" x14ac:dyDescent="0.3">
      <c r="B59" s="24"/>
      <c r="C59" s="188"/>
      <c r="D59" s="367" t="s">
        <v>311</v>
      </c>
      <c r="E59" s="188"/>
      <c r="F59" s="189"/>
      <c r="G59" s="178"/>
      <c r="H59" s="190"/>
      <c r="I59" s="372">
        <v>0</v>
      </c>
      <c r="J59" s="373">
        <f>$I$29*tabellen!$D9</f>
        <v>0</v>
      </c>
      <c r="K59" s="351"/>
      <c r="L59" s="197"/>
      <c r="M59" s="399" t="s">
        <v>331</v>
      </c>
      <c r="N59" s="395"/>
      <c r="O59" s="395"/>
      <c r="P59" s="395"/>
      <c r="Q59" s="395"/>
      <c r="R59" s="395"/>
      <c r="S59" s="139"/>
      <c r="T59" s="46"/>
    </row>
    <row r="60" spans="2:20" thickBot="1" x14ac:dyDescent="0.25">
      <c r="B60" s="24"/>
      <c r="C60" s="193"/>
      <c r="D60" s="368" t="s">
        <v>312</v>
      </c>
      <c r="E60" s="193"/>
      <c r="F60" s="194"/>
      <c r="G60" s="195"/>
      <c r="H60" s="196"/>
      <c r="I60" s="374">
        <f>SUM(I57:I59)</f>
        <v>0</v>
      </c>
      <c r="J60" s="374">
        <f>SUM(J57:J59)</f>
        <v>0</v>
      </c>
      <c r="K60" s="352"/>
      <c r="L60" s="197"/>
      <c r="M60" s="395" t="s">
        <v>332</v>
      </c>
      <c r="N60" s="395"/>
      <c r="O60" s="395"/>
      <c r="P60" s="395"/>
      <c r="Q60" s="395"/>
      <c r="R60" s="395"/>
      <c r="S60" s="139"/>
      <c r="T60" s="46"/>
    </row>
    <row r="61" spans="2:20" thickBot="1" x14ac:dyDescent="0.25">
      <c r="B61" s="24"/>
      <c r="C61" s="193"/>
      <c r="D61" s="367"/>
      <c r="E61" s="193"/>
      <c r="F61" s="194"/>
      <c r="G61" s="195"/>
      <c r="H61" s="196"/>
      <c r="I61" s="198"/>
      <c r="J61" s="198"/>
      <c r="K61" s="344"/>
      <c r="L61" s="152"/>
      <c r="M61" s="395" t="s">
        <v>333</v>
      </c>
      <c r="N61" s="395"/>
      <c r="O61" s="395"/>
      <c r="P61" s="395"/>
      <c r="Q61" s="395"/>
      <c r="R61" s="395"/>
      <c r="S61" s="131"/>
      <c r="T61" s="46"/>
    </row>
    <row r="62" spans="2:20" thickBot="1" x14ac:dyDescent="0.25">
      <c r="B62" s="24"/>
      <c r="C62" s="152"/>
      <c r="D62" s="369" t="s">
        <v>313</v>
      </c>
      <c r="E62" s="193"/>
      <c r="F62" s="168"/>
      <c r="G62" s="169"/>
      <c r="H62" s="169"/>
      <c r="I62" s="376">
        <f>I47+I60</f>
        <v>1674.356100984</v>
      </c>
      <c r="J62" s="376">
        <f>I29-J60+I23</f>
        <v>4446.0991666666669</v>
      </c>
      <c r="K62" s="343"/>
      <c r="L62" s="148"/>
      <c r="M62" s="395" t="s">
        <v>334</v>
      </c>
      <c r="N62" s="395"/>
      <c r="O62" s="395"/>
      <c r="P62" s="395"/>
      <c r="Q62" s="395"/>
      <c r="R62" s="395"/>
      <c r="S62" s="130"/>
      <c r="T62" s="46"/>
    </row>
    <row r="63" spans="2:20" thickBot="1" x14ac:dyDescent="0.25">
      <c r="B63" s="24"/>
      <c r="C63" s="148"/>
      <c r="D63" s="367"/>
      <c r="E63" s="148"/>
      <c r="F63" s="150"/>
      <c r="G63" s="151"/>
      <c r="H63" s="151"/>
      <c r="I63" s="171"/>
      <c r="J63" s="171"/>
      <c r="K63" s="344"/>
      <c r="L63" s="152"/>
      <c r="M63" s="170"/>
      <c r="N63" s="152"/>
      <c r="O63" s="152"/>
      <c r="P63" s="131"/>
      <c r="Q63" s="131"/>
      <c r="R63" s="131"/>
      <c r="S63" s="131"/>
      <c r="T63" s="46"/>
    </row>
    <row r="64" spans="2:20" thickBot="1" x14ac:dyDescent="0.25">
      <c r="B64" s="24"/>
      <c r="C64" s="152"/>
      <c r="D64" s="367"/>
      <c r="E64" s="152"/>
      <c r="F64" s="168"/>
      <c r="G64" s="169"/>
      <c r="H64" s="169"/>
      <c r="I64" s="364"/>
      <c r="J64" s="364"/>
      <c r="K64" s="343"/>
      <c r="L64" s="148"/>
      <c r="M64" s="155"/>
      <c r="N64" s="148"/>
      <c r="O64" s="148"/>
      <c r="P64" s="130"/>
      <c r="Q64" s="130"/>
      <c r="R64" s="130"/>
      <c r="S64" s="130"/>
      <c r="T64" s="46"/>
    </row>
    <row r="65" spans="2:22" ht="15.75" thickBot="1" x14ac:dyDescent="0.25">
      <c r="B65" s="24"/>
      <c r="C65" s="148"/>
      <c r="D65" s="366" t="s">
        <v>314</v>
      </c>
      <c r="E65" s="148"/>
      <c r="F65" s="150"/>
      <c r="G65" s="151"/>
      <c r="H65" s="151"/>
      <c r="I65" s="377">
        <f>I28+I62</f>
        <v>6120.4552676506664</v>
      </c>
      <c r="J65" s="377">
        <f>J28+J62</f>
        <v>57799.289166666669</v>
      </c>
      <c r="K65" s="344"/>
      <c r="L65" s="152"/>
      <c r="M65" s="170"/>
      <c r="N65" s="152"/>
      <c r="O65" s="152"/>
      <c r="P65" s="131"/>
      <c r="Q65" s="131"/>
      <c r="R65" s="131"/>
      <c r="S65" s="131"/>
      <c r="T65" s="46"/>
    </row>
    <row r="66" spans="2:22" thickBot="1" x14ac:dyDescent="0.25">
      <c r="B66" s="24"/>
      <c r="C66" s="152"/>
      <c r="D66" s="186"/>
      <c r="E66" s="152"/>
      <c r="F66" s="168"/>
      <c r="G66" s="169"/>
      <c r="H66" s="169"/>
      <c r="I66" s="364"/>
      <c r="J66" s="364"/>
      <c r="K66" s="343"/>
      <c r="L66" s="148"/>
      <c r="M66" s="148"/>
      <c r="N66" s="148"/>
      <c r="O66" s="148"/>
      <c r="P66" s="130"/>
      <c r="Q66" s="130"/>
      <c r="R66" s="130"/>
      <c r="S66" s="130"/>
      <c r="T66" s="46"/>
    </row>
    <row r="67" spans="2:22" ht="12.75" x14ac:dyDescent="0.2">
      <c r="B67" s="24"/>
      <c r="C67" s="25"/>
      <c r="D67" s="25"/>
      <c r="E67" s="25"/>
      <c r="F67" s="26"/>
      <c r="G67" s="27"/>
      <c r="H67" s="27"/>
      <c r="I67" s="48"/>
      <c r="J67" s="48"/>
      <c r="K67" s="48"/>
      <c r="L67" s="48"/>
      <c r="M67" s="48"/>
      <c r="N67" s="25"/>
      <c r="O67" s="25"/>
      <c r="P67" s="25"/>
      <c r="Q67" s="25"/>
      <c r="R67" s="25"/>
      <c r="S67" s="25"/>
      <c r="T67" s="28"/>
    </row>
    <row r="68" spans="2:22" ht="13.5" customHeight="1" thickBot="1" x14ac:dyDescent="0.25">
      <c r="B68" s="49"/>
      <c r="C68" s="50"/>
      <c r="D68" s="51"/>
      <c r="E68" s="50"/>
      <c r="F68" s="52"/>
      <c r="G68" s="50"/>
      <c r="H68" s="50"/>
      <c r="I68" s="50"/>
      <c r="J68" s="50"/>
      <c r="K68" s="50"/>
      <c r="L68" s="50"/>
      <c r="M68" s="50"/>
      <c r="N68" s="50"/>
      <c r="O68" s="53"/>
      <c r="P68" s="53"/>
      <c r="Q68" s="53"/>
      <c r="R68" s="53" t="s">
        <v>75</v>
      </c>
      <c r="S68" s="53"/>
      <c r="T68" s="54"/>
    </row>
    <row r="69" spans="2:22" ht="12.75" x14ac:dyDescent="0.2"/>
    <row r="70" spans="2:22" ht="12.75" x14ac:dyDescent="0.2"/>
    <row r="71" spans="2:22" ht="12.75" x14ac:dyDescent="0.2"/>
    <row r="72" spans="2:22" ht="12.75" x14ac:dyDescent="0.2"/>
    <row r="73" spans="2:22" ht="12.75" x14ac:dyDescent="0.2"/>
    <row r="74" spans="2:22" ht="12.75" x14ac:dyDescent="0.2">
      <c r="V74" s="55" t="s">
        <v>5</v>
      </c>
    </row>
    <row r="75" spans="2:22" ht="12.75" x14ac:dyDescent="0.2">
      <c r="V75" s="55" t="s">
        <v>6</v>
      </c>
    </row>
    <row r="76" spans="2:22" ht="12.75" x14ac:dyDescent="0.2">
      <c r="V76" s="55" t="s">
        <v>7</v>
      </c>
    </row>
    <row r="77" spans="2:22" ht="12.75" x14ac:dyDescent="0.2">
      <c r="V77" s="55" t="s">
        <v>8</v>
      </c>
    </row>
    <row r="78" spans="2:22" ht="12.75" x14ac:dyDescent="0.2">
      <c r="V78" s="56">
        <v>1</v>
      </c>
    </row>
    <row r="79" spans="2:22" ht="12.75" x14ac:dyDescent="0.2">
      <c r="V79" s="56">
        <v>2</v>
      </c>
    </row>
    <row r="80" spans="2:22" ht="12.75" x14ac:dyDescent="0.2">
      <c r="V80" s="56">
        <v>3</v>
      </c>
    </row>
    <row r="81" spans="6:22" ht="12.75" x14ac:dyDescent="0.2">
      <c r="V81" s="56">
        <v>4</v>
      </c>
    </row>
    <row r="82" spans="6:22" ht="12.75" x14ac:dyDescent="0.2">
      <c r="V82" s="56">
        <v>5</v>
      </c>
    </row>
    <row r="83" spans="6:22" ht="12.75" x14ac:dyDescent="0.2">
      <c r="V83" s="56">
        <v>6</v>
      </c>
    </row>
    <row r="84" spans="6:22" ht="12.75" x14ac:dyDescent="0.2">
      <c r="F84" s="16"/>
      <c r="G84" s="16"/>
      <c r="H84" s="16"/>
      <c r="V84" s="56">
        <v>7</v>
      </c>
    </row>
    <row r="85" spans="6:22" ht="12.75" x14ac:dyDescent="0.2">
      <c r="F85" s="16"/>
      <c r="G85" s="16"/>
      <c r="H85" s="16"/>
      <c r="V85" s="56">
        <v>8</v>
      </c>
    </row>
    <row r="86" spans="6:22" ht="12.75" x14ac:dyDescent="0.2">
      <c r="F86" s="16"/>
      <c r="G86" s="16"/>
      <c r="H86" s="16"/>
      <c r="V86" s="56">
        <v>9</v>
      </c>
    </row>
    <row r="87" spans="6:22" ht="12.75" x14ac:dyDescent="0.2">
      <c r="F87" s="16"/>
      <c r="G87" s="16"/>
      <c r="H87" s="16"/>
      <c r="V87" s="56">
        <v>10</v>
      </c>
    </row>
    <row r="88" spans="6:22" ht="12.75" x14ac:dyDescent="0.2">
      <c r="F88" s="16"/>
      <c r="G88" s="16"/>
      <c r="H88" s="16"/>
      <c r="V88" s="56">
        <v>11</v>
      </c>
    </row>
    <row r="89" spans="6:22" ht="12.75" x14ac:dyDescent="0.2">
      <c r="F89" s="16"/>
      <c r="G89" s="16"/>
      <c r="H89" s="16"/>
      <c r="V89" s="56">
        <v>12</v>
      </c>
    </row>
    <row r="90" spans="6:22" ht="12.75" x14ac:dyDescent="0.2">
      <c r="F90" s="16"/>
      <c r="G90" s="16"/>
      <c r="H90" s="16"/>
      <c r="V90" s="56">
        <v>13</v>
      </c>
    </row>
    <row r="91" spans="6:22" ht="12.75" x14ac:dyDescent="0.2">
      <c r="F91" s="16"/>
      <c r="G91" s="16"/>
      <c r="H91" s="16"/>
      <c r="V91" s="56">
        <v>14</v>
      </c>
    </row>
    <row r="92" spans="6:22" ht="12.75" x14ac:dyDescent="0.2">
      <c r="F92" s="16"/>
      <c r="G92" s="16"/>
      <c r="H92" s="16"/>
      <c r="V92" s="56">
        <v>15</v>
      </c>
    </row>
    <row r="93" spans="6:22" ht="12.75" x14ac:dyDescent="0.2">
      <c r="F93" s="16"/>
      <c r="G93" s="16"/>
      <c r="H93" s="16"/>
      <c r="V93" s="56">
        <v>16</v>
      </c>
    </row>
    <row r="94" spans="6:22" ht="13.5" customHeight="1" x14ac:dyDescent="0.2">
      <c r="F94" s="16"/>
      <c r="G94" s="16"/>
      <c r="H94" s="16"/>
      <c r="V94" s="56">
        <v>17</v>
      </c>
    </row>
    <row r="95" spans="6:22" ht="13.5" customHeight="1" x14ac:dyDescent="0.2">
      <c r="V95" s="56" t="s">
        <v>9</v>
      </c>
    </row>
    <row r="96" spans="6:22" ht="13.5" customHeight="1" x14ac:dyDescent="0.2">
      <c r="V96" s="56" t="s">
        <v>10</v>
      </c>
    </row>
    <row r="97" spans="22:22" ht="13.5" customHeight="1" x14ac:dyDescent="0.2">
      <c r="V97" s="56" t="s">
        <v>11</v>
      </c>
    </row>
    <row r="98" spans="22:22" ht="13.5" customHeight="1" x14ac:dyDescent="0.2">
      <c r="V98" s="56" t="s">
        <v>12</v>
      </c>
    </row>
  </sheetData>
  <sheetProtection algorithmName="SHA-512" hashValue="YApGAV9W5fVWgOxBj6Eox19B/7OMbCg++xf/E9bgA67V+8bA/ffnfbtVEeJE+DgRd6kqmWtzFN9nSU08rkAxTQ==" saltValue="agJ47qe1mm+ECK6bs5FZrQ==" spinCount="100000" sheet="1" objects="1" scenarios="1"/>
  <mergeCells count="2">
    <mergeCell ref="I10:J10"/>
    <mergeCell ref="I49:J49"/>
  </mergeCells>
  <dataValidations count="5">
    <dataValidation type="list" allowBlank="1" showInputMessage="1" showErrorMessage="1" sqref="I14">
      <formula1>$V$74:$V$98</formula1>
    </dataValidation>
    <dataValidation type="list" allowBlank="1" showInputMessage="1" showErrorMessage="1" sqref="H26 H24">
      <formula1>#REF!</formula1>
    </dataValidation>
    <dataValidation type="list" allowBlank="1" showInputMessage="1" showErrorMessage="1" sqref="F26">
      <formula1>"Leraar,Directie,OOP S9,OOP &lt;S9"</formula1>
    </dataValidation>
    <dataValidation type="list" allowBlank="1" showInputMessage="1" showErrorMessage="1" sqref="G26 G24">
      <formula1>"ja,nee"</formula1>
    </dataValidation>
    <dataValidation type="list" allowBlank="1" showInputMessage="1" showErrorMessage="1" sqref="H41">
      <formula1>"1,2,3"</formula1>
    </dataValidation>
  </dataValidations>
  <pageMargins left="0.7" right="0.7" top="0.75" bottom="0.75" header="0.3" footer="0.3"/>
  <pageSetup paperSize="9" scale="53"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149"/>
  <sheetViews>
    <sheetView zoomScaleNormal="100" workbookViewId="0">
      <selection activeCell="B2" sqref="B2"/>
    </sheetView>
  </sheetViews>
  <sheetFormatPr defaultColWidth="9.140625" defaultRowHeight="12.75" x14ac:dyDescent="0.2"/>
  <cols>
    <col min="1" max="1" width="3.5703125" style="401" customWidth="1"/>
    <col min="2" max="2" width="2.5703125" style="417" customWidth="1"/>
    <col min="3" max="3" width="3.42578125" style="417" customWidth="1"/>
    <col min="4" max="4" width="15.5703125" style="527" customWidth="1"/>
    <col min="5" max="5" width="9.5703125" style="417" customWidth="1"/>
    <col min="6" max="8" width="6.5703125" style="417" customWidth="1"/>
    <col min="9" max="9" width="7.5703125" style="417" customWidth="1"/>
    <col min="10" max="10" width="8" style="417" customWidth="1"/>
    <col min="11" max="12" width="8.140625" style="417" customWidth="1"/>
    <col min="13" max="13" width="9.5703125" style="417" customWidth="1"/>
    <col min="14" max="14" width="11.28515625" style="417" customWidth="1"/>
    <col min="15" max="15" width="0.85546875" style="417" customWidth="1"/>
    <col min="16" max="21" width="8.5703125" style="417" customWidth="1"/>
    <col min="22" max="22" width="10.42578125" style="528" customWidth="1"/>
    <col min="23" max="23" width="13.85546875" style="417" customWidth="1"/>
    <col min="24" max="24" width="0.85546875" style="417" customWidth="1"/>
    <col min="25" max="25" width="10.28515625" style="528" customWidth="1"/>
    <col min="26" max="26" width="8.5703125" style="529" hidden="1" customWidth="1"/>
    <col min="27" max="27" width="0.85546875" style="417" customWidth="1"/>
    <col min="28" max="31" width="8.5703125" style="417" customWidth="1"/>
    <col min="32" max="32" width="10.28515625" style="417" customWidth="1"/>
    <col min="33" max="33" width="8.5703125" style="530" customWidth="1"/>
    <col min="34" max="34" width="0.85546875" style="417" customWidth="1"/>
    <col min="35" max="35" width="9.5703125" style="530" customWidth="1"/>
    <col min="36" max="36" width="9.28515625" style="530" customWidth="1"/>
    <col min="37" max="37" width="10.140625" style="531" customWidth="1"/>
    <col min="38" max="38" width="0.85546875" style="417" customWidth="1"/>
    <col min="39" max="39" width="9.5703125" style="417" customWidth="1"/>
    <col min="40" max="40" width="1.140625" style="417" customWidth="1"/>
    <col min="41" max="41" width="10.5703125" style="417" bestFit="1" customWidth="1"/>
    <col min="42" max="42" width="12.5703125" style="417" customWidth="1"/>
    <col min="43" max="43" width="0.85546875" style="417" customWidth="1"/>
    <col min="44" max="44" width="11.140625" style="417" customWidth="1"/>
    <col min="45" max="45" width="13.140625" style="417" customWidth="1"/>
    <col min="46" max="46" width="1.5703125" style="417" customWidth="1"/>
    <col min="47" max="47" width="2.5703125" style="417" customWidth="1"/>
    <col min="48" max="49" width="2.7109375" style="401" customWidth="1"/>
    <col min="50" max="54" width="10.7109375" style="407" customWidth="1"/>
    <col min="55" max="55" width="10.7109375" style="407" hidden="1" customWidth="1"/>
    <col min="56" max="62" width="10.7109375" style="407" customWidth="1"/>
    <col min="63" max="63" width="12" style="407" customWidth="1"/>
    <col min="64" max="64" width="11.42578125" style="407" customWidth="1"/>
    <col min="65" max="69" width="10.7109375" style="407" customWidth="1"/>
    <col min="70" max="72" width="10.7109375" style="408" customWidth="1"/>
    <col min="73" max="78" width="14.28515625" style="407" customWidth="1"/>
    <col min="79" max="79" width="14.85546875" style="401" customWidth="1"/>
    <col min="80" max="80" width="14.28515625" style="401" customWidth="1"/>
    <col min="81" max="16384" width="9.140625" style="417"/>
  </cols>
  <sheetData>
    <row r="1" spans="1:80" s="401" customFormat="1" ht="13.5" customHeight="1" x14ac:dyDescent="0.2">
      <c r="D1" s="402"/>
      <c r="V1" s="403"/>
      <c r="Y1" s="403"/>
      <c r="Z1" s="404"/>
      <c r="AG1" s="405"/>
      <c r="AI1" s="405"/>
      <c r="AJ1" s="405"/>
      <c r="AK1" s="406"/>
      <c r="AX1" s="407"/>
      <c r="AY1" s="407"/>
      <c r="AZ1" s="407"/>
      <c r="BA1" s="407"/>
      <c r="BB1" s="407"/>
      <c r="BC1" s="407"/>
      <c r="BD1" s="407"/>
      <c r="BE1" s="407"/>
      <c r="BF1" s="407"/>
      <c r="BG1" s="407"/>
      <c r="BH1" s="407"/>
      <c r="BI1" s="407"/>
      <c r="BJ1" s="407"/>
      <c r="BK1" s="407"/>
      <c r="BL1" s="407"/>
      <c r="BM1" s="407"/>
      <c r="BN1" s="407"/>
      <c r="BO1" s="407"/>
      <c r="BP1" s="407"/>
      <c r="BQ1" s="407"/>
      <c r="BR1" s="408"/>
      <c r="BS1" s="408"/>
      <c r="BT1" s="408"/>
      <c r="BU1" s="407"/>
      <c r="BV1" s="407"/>
      <c r="BW1" s="407"/>
      <c r="BX1" s="407"/>
      <c r="BY1" s="407"/>
      <c r="BZ1" s="407"/>
    </row>
    <row r="2" spans="1:80" ht="12" customHeight="1" x14ac:dyDescent="0.2">
      <c r="B2" s="409"/>
      <c r="C2" s="410"/>
      <c r="D2" s="411"/>
      <c r="E2" s="410"/>
      <c r="F2" s="410"/>
      <c r="G2" s="410"/>
      <c r="H2" s="410"/>
      <c r="I2" s="410"/>
      <c r="J2" s="410"/>
      <c r="K2" s="410"/>
      <c r="L2" s="410"/>
      <c r="M2" s="410"/>
      <c r="N2" s="410"/>
      <c r="O2" s="410"/>
      <c r="P2" s="410"/>
      <c r="Q2" s="410"/>
      <c r="R2" s="410"/>
      <c r="S2" s="410"/>
      <c r="T2" s="410"/>
      <c r="U2" s="410"/>
      <c r="V2" s="412"/>
      <c r="W2" s="410"/>
      <c r="X2" s="410"/>
      <c r="Y2" s="412"/>
      <c r="Z2" s="413"/>
      <c r="AA2" s="410"/>
      <c r="AB2" s="410"/>
      <c r="AC2" s="410"/>
      <c r="AD2" s="410"/>
      <c r="AE2" s="410"/>
      <c r="AF2" s="410"/>
      <c r="AG2" s="414"/>
      <c r="AH2" s="410"/>
      <c r="AI2" s="414"/>
      <c r="AJ2" s="414"/>
      <c r="AK2" s="415"/>
      <c r="AL2" s="410"/>
      <c r="AM2" s="410"/>
      <c r="AN2" s="410"/>
      <c r="AO2" s="410"/>
      <c r="AP2" s="410"/>
      <c r="AQ2" s="410"/>
      <c r="AR2" s="410"/>
      <c r="AS2" s="410"/>
      <c r="AT2" s="410"/>
      <c r="AU2" s="416"/>
    </row>
    <row r="3" spans="1:80" ht="12" customHeight="1" x14ac:dyDescent="0.2">
      <c r="B3" s="418"/>
      <c r="C3" s="419"/>
      <c r="D3" s="420"/>
      <c r="E3" s="419"/>
      <c r="F3" s="419"/>
      <c r="G3" s="419"/>
      <c r="H3" s="419"/>
      <c r="I3" s="419"/>
      <c r="J3" s="419"/>
      <c r="K3" s="419"/>
      <c r="L3" s="419"/>
      <c r="M3" s="419"/>
      <c r="N3" s="419"/>
      <c r="O3" s="419"/>
      <c r="P3" s="419"/>
      <c r="Q3" s="419"/>
      <c r="R3" s="419"/>
      <c r="S3" s="419"/>
      <c r="T3" s="419"/>
      <c r="U3" s="419"/>
      <c r="V3" s="421"/>
      <c r="W3" s="419"/>
      <c r="X3" s="419"/>
      <c r="Y3" s="421"/>
      <c r="Z3" s="422"/>
      <c r="AA3" s="419"/>
      <c r="AB3" s="419"/>
      <c r="AC3" s="419"/>
      <c r="AD3" s="419"/>
      <c r="AE3" s="419"/>
      <c r="AF3" s="419"/>
      <c r="AG3" s="423"/>
      <c r="AH3" s="419"/>
      <c r="AI3" s="423"/>
      <c r="AJ3" s="423"/>
      <c r="AK3" s="424"/>
      <c r="AL3" s="419"/>
      <c r="AM3" s="419"/>
      <c r="AN3" s="419"/>
      <c r="AO3" s="419"/>
      <c r="AP3" s="419"/>
      <c r="AQ3" s="419"/>
      <c r="AR3" s="419"/>
      <c r="AS3" s="419"/>
      <c r="AT3" s="419"/>
      <c r="AU3" s="425"/>
    </row>
    <row r="4" spans="1:80" s="442" customFormat="1" ht="18.75" customHeight="1" x14ac:dyDescent="0.3">
      <c r="A4" s="426"/>
      <c r="B4" s="427"/>
      <c r="C4" s="428" t="str">
        <f>"WERKGEVERSLASTEN VO "&amp;tabellen!B2</f>
        <v>WERKGEVERSLASTEN VO 2020</v>
      </c>
      <c r="D4" s="429"/>
      <c r="E4" s="430"/>
      <c r="F4" s="430"/>
      <c r="G4" s="430"/>
      <c r="H4" s="430"/>
      <c r="I4" s="430"/>
      <c r="J4" s="428" t="s">
        <v>342</v>
      </c>
      <c r="K4" s="430"/>
      <c r="L4" s="430"/>
      <c r="M4" s="430"/>
      <c r="N4" s="430"/>
      <c r="O4" s="430"/>
      <c r="P4" s="431"/>
      <c r="Q4" s="432">
        <f>AR11</f>
        <v>0.62980149959113896</v>
      </c>
      <c r="R4" s="430"/>
      <c r="S4" s="430"/>
      <c r="T4" s="430"/>
      <c r="U4" s="430"/>
      <c r="V4" s="433"/>
      <c r="W4" s="434"/>
      <c r="X4" s="430"/>
      <c r="Y4" s="433"/>
      <c r="Z4" s="435"/>
      <c r="AA4" s="430"/>
      <c r="AB4" s="430"/>
      <c r="AC4" s="430"/>
      <c r="AD4" s="430"/>
      <c r="AE4" s="430"/>
      <c r="AF4" s="430"/>
      <c r="AG4" s="436"/>
      <c r="AH4" s="430"/>
      <c r="AI4" s="436"/>
      <c r="AJ4" s="436"/>
      <c r="AK4" s="437"/>
      <c r="AL4" s="430"/>
      <c r="AM4" s="430"/>
      <c r="AN4" s="430"/>
      <c r="AO4" s="430"/>
      <c r="AP4" s="430"/>
      <c r="AQ4" s="430"/>
      <c r="AR4" s="430"/>
      <c r="AS4" s="430"/>
      <c r="AT4" s="430"/>
      <c r="AU4" s="438"/>
      <c r="AV4" s="426"/>
      <c r="AW4" s="426"/>
      <c r="AX4" s="439"/>
      <c r="AY4" s="439"/>
      <c r="AZ4" s="439"/>
      <c r="BA4" s="439"/>
      <c r="BB4" s="439"/>
      <c r="BC4" s="439"/>
      <c r="BD4" s="439"/>
      <c r="BE4" s="439"/>
      <c r="BF4" s="439"/>
      <c r="BG4" s="439"/>
      <c r="BH4" s="439"/>
      <c r="BI4" s="439"/>
      <c r="BJ4" s="440"/>
      <c r="BK4" s="439"/>
      <c r="BL4" s="439"/>
      <c r="BM4" s="439"/>
      <c r="BN4" s="439"/>
      <c r="BO4" s="439"/>
      <c r="BP4" s="439"/>
      <c r="BQ4" s="439"/>
      <c r="BR4" s="441"/>
      <c r="BS4" s="441"/>
      <c r="BT4" s="441"/>
      <c r="BU4" s="439"/>
      <c r="BV4" s="439"/>
      <c r="BW4" s="439"/>
      <c r="BX4" s="439"/>
      <c r="BY4" s="439"/>
      <c r="BZ4" s="439"/>
      <c r="CA4" s="426"/>
      <c r="CB4" s="426"/>
    </row>
    <row r="5" spans="1:80" ht="13.5" customHeight="1" x14ac:dyDescent="0.25">
      <c r="B5" s="418"/>
      <c r="C5" s="443" t="str">
        <f>[1]wgl!C5</f>
        <v xml:space="preserve"> vanaf 1 januari  2019</v>
      </c>
      <c r="D5" s="420"/>
      <c r="E5" s="419"/>
      <c r="F5" s="419"/>
      <c r="G5" s="419"/>
      <c r="H5" s="419"/>
      <c r="I5" s="419"/>
      <c r="J5" s="419"/>
      <c r="K5" s="419"/>
      <c r="L5" s="419"/>
      <c r="M5" s="419"/>
      <c r="N5" s="419"/>
      <c r="O5" s="419"/>
      <c r="P5" s="419"/>
      <c r="Q5" s="419"/>
      <c r="R5" s="419"/>
      <c r="S5" s="419"/>
      <c r="T5" s="419"/>
      <c r="U5" s="419"/>
      <c r="V5" s="421"/>
      <c r="W5" s="419"/>
      <c r="X5" s="419"/>
      <c r="Y5" s="421"/>
      <c r="Z5" s="422"/>
      <c r="AA5" s="419"/>
      <c r="AB5" s="419"/>
      <c r="AC5" s="419"/>
      <c r="AD5" s="419"/>
      <c r="AE5" s="419"/>
      <c r="AF5" s="419"/>
      <c r="AG5" s="423"/>
      <c r="AH5" s="419"/>
      <c r="AI5" s="423"/>
      <c r="AJ5" s="423"/>
      <c r="AK5" s="424"/>
      <c r="AL5" s="419"/>
      <c r="AM5" s="419"/>
      <c r="AN5" s="419"/>
      <c r="AO5" s="419"/>
      <c r="AP5" s="419"/>
      <c r="AQ5" s="419"/>
      <c r="AR5" s="419"/>
      <c r="AS5" s="419"/>
      <c r="AT5" s="419"/>
      <c r="AU5" s="425"/>
    </row>
    <row r="6" spans="1:80" s="456" customFormat="1" ht="12" customHeight="1" x14ac:dyDescent="0.2">
      <c r="A6" s="444"/>
      <c r="B6" s="445"/>
      <c r="C6" s="446"/>
      <c r="D6" s="447"/>
      <c r="E6" s="446"/>
      <c r="F6" s="446"/>
      <c r="G6" s="446"/>
      <c r="H6" s="446"/>
      <c r="I6" s="533"/>
      <c r="J6" s="446"/>
      <c r="K6" s="446"/>
      <c r="L6" s="446"/>
      <c r="M6" s="446"/>
      <c r="N6" s="446"/>
      <c r="O6" s="446"/>
      <c r="P6" s="446"/>
      <c r="Q6" s="446"/>
      <c r="R6" s="446"/>
      <c r="S6" s="446"/>
      <c r="T6" s="533"/>
      <c r="U6" s="446"/>
      <c r="V6" s="448"/>
      <c r="W6" s="446"/>
      <c r="X6" s="446"/>
      <c r="Y6" s="449"/>
      <c r="Z6" s="450"/>
      <c r="AA6" s="446"/>
      <c r="AB6" s="446"/>
      <c r="AC6" s="446"/>
      <c r="AD6" s="446"/>
      <c r="AE6" s="446"/>
      <c r="AF6" s="446"/>
      <c r="AG6" s="451"/>
      <c r="AH6" s="446"/>
      <c r="AI6" s="451"/>
      <c r="AJ6" s="451"/>
      <c r="AK6" s="452"/>
      <c r="AL6" s="446"/>
      <c r="AM6" s="446"/>
      <c r="AN6" s="446"/>
      <c r="AO6" s="446"/>
      <c r="AP6" s="446"/>
      <c r="AQ6" s="446"/>
      <c r="AR6" s="446"/>
      <c r="AS6" s="446"/>
      <c r="AT6" s="446"/>
      <c r="AU6" s="453"/>
      <c r="AV6" s="444"/>
      <c r="AW6" s="444"/>
      <c r="AX6" s="454"/>
      <c r="AY6" s="454"/>
      <c r="AZ6" s="454"/>
      <c r="BA6" s="454"/>
      <c r="BB6" s="454"/>
      <c r="BC6" s="454"/>
      <c r="BD6" s="454"/>
      <c r="BE6" s="454"/>
      <c r="BF6" s="454"/>
      <c r="BG6" s="454"/>
      <c r="BH6" s="454"/>
      <c r="BI6" s="454"/>
      <c r="BJ6" s="454"/>
      <c r="BK6" s="454"/>
      <c r="BL6" s="454"/>
      <c r="BM6" s="454"/>
      <c r="BN6" s="454"/>
      <c r="BO6" s="454"/>
      <c r="BP6" s="454"/>
      <c r="BQ6" s="454"/>
      <c r="BR6" s="455"/>
      <c r="BS6" s="455"/>
      <c r="BT6" s="455"/>
      <c r="BU6" s="454"/>
      <c r="BV6" s="454"/>
      <c r="BW6" s="454"/>
      <c r="BX6" s="454"/>
      <c r="BY6" s="454"/>
      <c r="BZ6" s="454"/>
      <c r="CA6" s="444"/>
      <c r="CB6" s="444"/>
    </row>
    <row r="7" spans="1:80" s="469" customFormat="1" ht="12" customHeight="1" x14ac:dyDescent="0.2">
      <c r="A7" s="457"/>
      <c r="B7" s="458"/>
      <c r="C7" s="459"/>
      <c r="D7" s="459"/>
      <c r="E7" s="459"/>
      <c r="F7" s="460"/>
      <c r="G7" s="459"/>
      <c r="H7" s="459"/>
      <c r="I7" s="459"/>
      <c r="J7" s="459"/>
      <c r="K7" s="459"/>
      <c r="L7" s="459"/>
      <c r="M7" s="459"/>
      <c r="N7" s="459"/>
      <c r="O7" s="459"/>
      <c r="P7" s="446"/>
      <c r="Q7" s="459"/>
      <c r="R7" s="460"/>
      <c r="S7" s="459"/>
      <c r="T7" s="459"/>
      <c r="U7" s="459"/>
      <c r="V7" s="461"/>
      <c r="W7" s="462"/>
      <c r="X7" s="459"/>
      <c r="Y7" s="463"/>
      <c r="Z7" s="464"/>
      <c r="AA7" s="459"/>
      <c r="AB7" s="459"/>
      <c r="AC7" s="459"/>
      <c r="AD7" s="459"/>
      <c r="AE7" s="465"/>
      <c r="AF7" s="465"/>
      <c r="AG7" s="451"/>
      <c r="AH7" s="459"/>
      <c r="AI7" s="451"/>
      <c r="AJ7" s="451"/>
      <c r="AK7" s="466"/>
      <c r="AL7" s="459"/>
      <c r="AM7" s="459"/>
      <c r="AN7" s="459"/>
      <c r="AO7" s="462"/>
      <c r="AP7" s="462"/>
      <c r="AQ7" s="459"/>
      <c r="AR7" s="459"/>
      <c r="AS7" s="459"/>
      <c r="AT7" s="459"/>
      <c r="AU7" s="467"/>
      <c r="AV7" s="457"/>
      <c r="AW7" s="457"/>
      <c r="AX7" s="454"/>
      <c r="AY7" s="454"/>
      <c r="AZ7" s="454"/>
      <c r="BA7" s="454"/>
      <c r="BB7" s="454"/>
      <c r="BC7" s="454"/>
      <c r="BD7" s="454"/>
      <c r="BE7" s="454"/>
      <c r="BF7" s="454"/>
      <c r="BG7" s="454"/>
      <c r="BH7" s="454"/>
      <c r="BI7" s="454"/>
      <c r="BJ7" s="454"/>
      <c r="BK7" s="454"/>
      <c r="BL7" s="454"/>
      <c r="BM7" s="454"/>
      <c r="BN7" s="454"/>
      <c r="BO7" s="454"/>
      <c r="BP7" s="454"/>
      <c r="BQ7" s="454"/>
      <c r="BR7" s="468"/>
      <c r="BS7" s="468"/>
      <c r="BT7" s="455"/>
      <c r="BU7" s="454"/>
      <c r="BV7" s="454"/>
      <c r="BW7" s="454"/>
      <c r="BX7" s="454"/>
      <c r="BY7" s="454"/>
      <c r="BZ7" s="454"/>
      <c r="CA7" s="457"/>
      <c r="CB7" s="457"/>
    </row>
    <row r="8" spans="1:80" s="456" customFormat="1" ht="12" customHeight="1" x14ac:dyDescent="0.2">
      <c r="A8" s="444"/>
      <c r="B8" s="445"/>
      <c r="C8" s="446"/>
      <c r="D8" s="447" t="s">
        <v>343</v>
      </c>
      <c r="E8" s="446" t="s">
        <v>344</v>
      </c>
      <c r="F8" s="538" t="s">
        <v>345</v>
      </c>
      <c r="G8" s="538"/>
      <c r="H8" s="446" t="s">
        <v>346</v>
      </c>
      <c r="I8" s="533" t="s">
        <v>414</v>
      </c>
      <c r="J8" s="446" t="s">
        <v>347</v>
      </c>
      <c r="K8" s="446" t="s">
        <v>396</v>
      </c>
      <c r="L8" s="446" t="s">
        <v>396</v>
      </c>
      <c r="M8" s="446" t="s">
        <v>348</v>
      </c>
      <c r="N8" s="470" t="s">
        <v>349</v>
      </c>
      <c r="O8" s="446"/>
      <c r="P8" s="446" t="s">
        <v>350</v>
      </c>
      <c r="Q8" s="446" t="s">
        <v>351</v>
      </c>
      <c r="R8" s="446" t="s">
        <v>352</v>
      </c>
      <c r="S8" s="446" t="s">
        <v>351</v>
      </c>
      <c r="T8" s="447" t="s">
        <v>412</v>
      </c>
      <c r="U8" s="446" t="s">
        <v>353</v>
      </c>
      <c r="V8" s="449" t="s">
        <v>354</v>
      </c>
      <c r="W8" s="471" t="s">
        <v>355</v>
      </c>
      <c r="X8" s="446"/>
      <c r="Y8" s="449" t="s">
        <v>356</v>
      </c>
      <c r="Z8" s="534" t="s">
        <v>357</v>
      </c>
      <c r="AA8" s="446"/>
      <c r="AB8" s="446" t="s">
        <v>20</v>
      </c>
      <c r="AC8" s="446" t="s">
        <v>21</v>
      </c>
      <c r="AD8" s="472" t="s">
        <v>358</v>
      </c>
      <c r="AE8" s="473" t="s">
        <v>66</v>
      </c>
      <c r="AF8" s="474" t="s">
        <v>359</v>
      </c>
      <c r="AG8" s="475" t="s">
        <v>70</v>
      </c>
      <c r="AH8" s="446"/>
      <c r="AI8" s="476" t="s">
        <v>396</v>
      </c>
      <c r="AJ8" s="475" t="s">
        <v>388</v>
      </c>
      <c r="AK8" s="539" t="s">
        <v>360</v>
      </c>
      <c r="AL8" s="446"/>
      <c r="AM8" s="541" t="s">
        <v>361</v>
      </c>
      <c r="AN8" s="446"/>
      <c r="AO8" s="543" t="s">
        <v>362</v>
      </c>
      <c r="AP8" s="543"/>
      <c r="AQ8" s="446"/>
      <c r="AR8" s="470" t="s">
        <v>363</v>
      </c>
      <c r="AS8" s="470" t="s">
        <v>363</v>
      </c>
      <c r="AT8" s="446"/>
      <c r="AU8" s="453"/>
      <c r="AV8" s="444"/>
      <c r="AW8" s="444"/>
      <c r="AX8" s="454" t="s">
        <v>364</v>
      </c>
      <c r="AY8" s="454" t="s">
        <v>364</v>
      </c>
      <c r="AZ8" s="454" t="s">
        <v>364</v>
      </c>
      <c r="BA8" s="454" t="s">
        <v>364</v>
      </c>
      <c r="BB8" s="454" t="s">
        <v>365</v>
      </c>
      <c r="BC8" s="454" t="s">
        <v>366</v>
      </c>
      <c r="BD8" s="454" t="s">
        <v>364</v>
      </c>
      <c r="BE8" s="454" t="s">
        <v>364</v>
      </c>
      <c r="BF8" s="454" t="s">
        <v>364</v>
      </c>
      <c r="BG8" s="455" t="s">
        <v>20</v>
      </c>
      <c r="BH8" s="455" t="s">
        <v>21</v>
      </c>
      <c r="BI8" s="455" t="s">
        <v>367</v>
      </c>
      <c r="BJ8" s="455" t="s">
        <v>368</v>
      </c>
      <c r="BK8" s="455" t="s">
        <v>369</v>
      </c>
      <c r="BL8" s="455" t="s">
        <v>370</v>
      </c>
      <c r="BM8" s="455"/>
      <c r="BN8" s="455"/>
      <c r="BO8" s="454"/>
      <c r="BP8" s="454"/>
      <c r="BQ8" s="454"/>
      <c r="BR8" s="454"/>
      <c r="BS8" s="454"/>
      <c r="BT8" s="454"/>
      <c r="BU8" s="454"/>
      <c r="BV8" s="454"/>
      <c r="BW8" s="454"/>
      <c r="BX8" s="454"/>
      <c r="BY8" s="454"/>
      <c r="BZ8" s="454"/>
      <c r="CA8" s="444"/>
      <c r="CB8" s="457"/>
    </row>
    <row r="9" spans="1:80" s="456" customFormat="1" ht="12" customHeight="1" x14ac:dyDescent="0.2">
      <c r="A9" s="444"/>
      <c r="B9" s="445"/>
      <c r="C9" s="446"/>
      <c r="D9" s="447"/>
      <c r="E9" s="446"/>
      <c r="F9" s="449" t="s">
        <v>47</v>
      </c>
      <c r="G9" s="449" t="s">
        <v>48</v>
      </c>
      <c r="H9" s="446"/>
      <c r="I9" s="533" t="s">
        <v>413</v>
      </c>
      <c r="J9" s="446" t="s">
        <v>29</v>
      </c>
      <c r="K9" s="475" t="s">
        <v>399</v>
      </c>
      <c r="L9" s="475" t="s">
        <v>400</v>
      </c>
      <c r="M9" s="446" t="s">
        <v>371</v>
      </c>
      <c r="N9" s="449" t="s">
        <v>372</v>
      </c>
      <c r="O9" s="446"/>
      <c r="P9" s="446" t="s">
        <v>373</v>
      </c>
      <c r="Q9" s="446" t="s">
        <v>373</v>
      </c>
      <c r="R9" s="446" t="s">
        <v>374</v>
      </c>
      <c r="S9" s="446" t="s">
        <v>375</v>
      </c>
      <c r="T9" s="533" t="s">
        <v>413</v>
      </c>
      <c r="U9" s="477">
        <v>43374</v>
      </c>
      <c r="V9" s="449" t="s">
        <v>376</v>
      </c>
      <c r="W9" s="478" t="s">
        <v>378</v>
      </c>
      <c r="X9" s="446"/>
      <c r="Y9" s="449" t="s">
        <v>19</v>
      </c>
      <c r="Z9" s="534" t="s">
        <v>377</v>
      </c>
      <c r="AA9" s="446"/>
      <c r="AB9" s="446"/>
      <c r="AC9" s="446"/>
      <c r="AD9" s="472" t="s">
        <v>379</v>
      </c>
      <c r="AE9" s="472"/>
      <c r="AF9" s="472" t="s">
        <v>14</v>
      </c>
      <c r="AG9" s="452"/>
      <c r="AH9" s="446"/>
      <c r="AI9" s="475" t="s">
        <v>397</v>
      </c>
      <c r="AJ9" s="475" t="s">
        <v>398</v>
      </c>
      <c r="AK9" s="539"/>
      <c r="AL9" s="446"/>
      <c r="AM9" s="541"/>
      <c r="AN9" s="446"/>
      <c r="AO9" s="479" t="s">
        <v>19</v>
      </c>
      <c r="AP9" s="479" t="s">
        <v>380</v>
      </c>
      <c r="AQ9" s="446"/>
      <c r="AR9" s="470" t="s">
        <v>381</v>
      </c>
      <c r="AS9" s="470" t="s">
        <v>382</v>
      </c>
      <c r="AT9" s="446"/>
      <c r="AU9" s="453"/>
      <c r="AV9" s="444"/>
      <c r="AW9" s="444"/>
      <c r="AX9" s="480">
        <f ca="1">NOW()</f>
        <v>43888.768521180558</v>
      </c>
      <c r="AY9" s="454" t="s">
        <v>383</v>
      </c>
      <c r="AZ9" s="454" t="s">
        <v>383</v>
      </c>
      <c r="BA9" s="454" t="s">
        <v>384</v>
      </c>
      <c r="BB9" s="481" t="s">
        <v>47</v>
      </c>
      <c r="BC9" s="454" t="s">
        <v>385</v>
      </c>
      <c r="BD9" s="454" t="s">
        <v>386</v>
      </c>
      <c r="BE9" s="454" t="s">
        <v>387</v>
      </c>
      <c r="BF9" s="454" t="s">
        <v>401</v>
      </c>
      <c r="BG9" s="454"/>
      <c r="BH9" s="454"/>
      <c r="BI9" s="454" t="s">
        <v>388</v>
      </c>
      <c r="BJ9" s="454" t="s">
        <v>23</v>
      </c>
      <c r="BK9" s="454" t="s">
        <v>14</v>
      </c>
      <c r="BL9" s="454" t="s">
        <v>389</v>
      </c>
      <c r="BM9" s="454"/>
      <c r="BN9" s="454"/>
      <c r="BO9" s="454"/>
      <c r="BP9" s="454" t="s">
        <v>383</v>
      </c>
      <c r="BQ9" s="454" t="s">
        <v>390</v>
      </c>
      <c r="BR9" s="454"/>
      <c r="BS9" s="454"/>
      <c r="BT9" s="454"/>
      <c r="BU9" s="454"/>
      <c r="BV9" s="454"/>
      <c r="BW9" s="454"/>
      <c r="BX9" s="454"/>
      <c r="BY9" s="454"/>
      <c r="BZ9" s="454"/>
      <c r="CA9" s="444"/>
      <c r="CB9" s="444"/>
    </row>
    <row r="10" spans="1:80" s="456" customFormat="1" ht="12" customHeight="1" x14ac:dyDescent="0.2">
      <c r="A10" s="444"/>
      <c r="B10" s="445"/>
      <c r="C10" s="446"/>
      <c r="D10" s="447"/>
      <c r="E10" s="446"/>
      <c r="F10" s="446"/>
      <c r="G10" s="446"/>
      <c r="H10" s="446"/>
      <c r="I10" s="533"/>
      <c r="J10" s="446"/>
      <c r="K10" s="446"/>
      <c r="L10" s="446"/>
      <c r="M10" s="446"/>
      <c r="N10" s="446"/>
      <c r="O10" s="446"/>
      <c r="P10" s="446"/>
      <c r="Q10" s="446"/>
      <c r="R10" s="446"/>
      <c r="S10" s="446"/>
      <c r="T10" s="533"/>
      <c r="U10" s="446"/>
      <c r="V10" s="449"/>
      <c r="W10" s="470"/>
      <c r="X10" s="446"/>
      <c r="Y10" s="449"/>
      <c r="Z10" s="482"/>
      <c r="AA10" s="446"/>
      <c r="AB10" s="446"/>
      <c r="AC10" s="446"/>
      <c r="AD10" s="446"/>
      <c r="AE10" s="446"/>
      <c r="AF10" s="446"/>
      <c r="AG10" s="451"/>
      <c r="AH10" s="446"/>
      <c r="AI10" s="483"/>
      <c r="AJ10" s="483"/>
      <c r="AK10" s="540"/>
      <c r="AL10" s="446"/>
      <c r="AM10" s="542"/>
      <c r="AN10" s="446"/>
      <c r="AO10" s="470"/>
      <c r="AP10" s="470"/>
      <c r="AQ10" s="446"/>
      <c r="AR10" s="446"/>
      <c r="AS10" s="446"/>
      <c r="AT10" s="446"/>
      <c r="AU10" s="453"/>
      <c r="AV10" s="444"/>
      <c r="AW10" s="444"/>
      <c r="AX10" s="480"/>
      <c r="AY10" s="454"/>
      <c r="AZ10" s="454"/>
      <c r="BA10" s="454" t="s">
        <v>391</v>
      </c>
      <c r="BB10" s="454"/>
      <c r="BC10" s="454"/>
      <c r="BD10" s="454"/>
      <c r="BE10" s="454"/>
      <c r="BF10" s="454"/>
      <c r="BG10" s="454"/>
      <c r="BH10" s="454"/>
      <c r="BI10" s="454"/>
      <c r="BJ10" s="454"/>
      <c r="BK10" s="454"/>
      <c r="BL10" s="454"/>
      <c r="BM10" s="454"/>
      <c r="BN10" s="454"/>
      <c r="BO10" s="454"/>
      <c r="BP10" s="454"/>
      <c r="BQ10" s="454"/>
      <c r="BR10" s="454"/>
      <c r="BS10" s="454"/>
      <c r="BT10" s="480"/>
      <c r="BU10" s="454"/>
      <c r="BV10" s="454"/>
      <c r="BW10" s="454"/>
      <c r="BX10" s="454"/>
      <c r="BY10" s="454"/>
      <c r="BZ10" s="454"/>
      <c r="CA10" s="444"/>
      <c r="CB10" s="444"/>
    </row>
    <row r="11" spans="1:80" s="456" customFormat="1" ht="12" customHeight="1" x14ac:dyDescent="0.2">
      <c r="A11" s="444"/>
      <c r="B11" s="445"/>
      <c r="C11" s="484"/>
      <c r="D11" s="485"/>
      <c r="E11" s="484"/>
      <c r="F11" s="484"/>
      <c r="G11" s="484"/>
      <c r="H11" s="484"/>
      <c r="I11" s="484"/>
      <c r="J11" s="484"/>
      <c r="K11" s="484"/>
      <c r="L11" s="484"/>
      <c r="M11" s="484"/>
      <c r="N11" s="486">
        <f>SUM(N12:N86)</f>
        <v>5605</v>
      </c>
      <c r="O11" s="484"/>
      <c r="P11" s="484"/>
      <c r="Q11" s="484"/>
      <c r="R11" s="484"/>
      <c r="S11" s="484"/>
      <c r="T11" s="484"/>
      <c r="U11" s="484"/>
      <c r="V11" s="487"/>
      <c r="W11" s="486">
        <f>SUM(W12:W86)</f>
        <v>80312</v>
      </c>
      <c r="X11" s="484"/>
      <c r="Y11" s="487"/>
      <c r="Z11" s="488"/>
      <c r="AA11" s="484"/>
      <c r="AB11" s="484"/>
      <c r="AC11" s="484"/>
      <c r="AD11" s="484"/>
      <c r="AE11" s="484"/>
      <c r="AF11" s="484"/>
      <c r="AG11" s="489"/>
      <c r="AH11" s="484"/>
      <c r="AI11" s="490"/>
      <c r="AJ11" s="490"/>
      <c r="AK11" s="491"/>
      <c r="AL11" s="484"/>
      <c r="AM11" s="484"/>
      <c r="AN11" s="484"/>
      <c r="AO11" s="486">
        <f>SUM(AO12:AO86)</f>
        <v>9135.0374052083334</v>
      </c>
      <c r="AP11" s="486">
        <f>SUM(AP12:AP86)</f>
        <v>109620.44886250001</v>
      </c>
      <c r="AQ11" s="484"/>
      <c r="AR11" s="492">
        <f>AO11/N11-1</f>
        <v>0.62980149959113896</v>
      </c>
      <c r="AS11" s="492">
        <f>(AO11/(W11/12))-1</f>
        <v>0.36493237452061944</v>
      </c>
      <c r="AT11" s="484"/>
      <c r="AU11" s="453"/>
      <c r="AV11" s="444"/>
      <c r="AW11" s="444"/>
      <c r="AX11" s="480"/>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44"/>
      <c r="CB11" s="444"/>
    </row>
    <row r="12" spans="1:80" s="456" customFormat="1" ht="12" customHeight="1" x14ac:dyDescent="0.2">
      <c r="A12" s="444"/>
      <c r="B12" s="445"/>
      <c r="C12" s="484"/>
      <c r="D12" s="493" t="s">
        <v>343</v>
      </c>
      <c r="E12" s="494">
        <v>32487</v>
      </c>
      <c r="F12" s="495" t="s">
        <v>6</v>
      </c>
      <c r="G12" s="495">
        <v>7</v>
      </c>
      <c r="H12" s="496">
        <v>1</v>
      </c>
      <c r="I12" s="535" t="s">
        <v>29</v>
      </c>
      <c r="J12" s="495" t="s">
        <v>392</v>
      </c>
      <c r="K12" s="497" t="s">
        <v>395</v>
      </c>
      <c r="L12" s="497" t="s">
        <v>395</v>
      </c>
      <c r="M12" s="498">
        <f>IF(F12="",0,(VLOOKUP('wgl tot'!F12,saltab2019juni,G12+1,FALSE)))</f>
        <v>3696</v>
      </c>
      <c r="N12" s="499">
        <f t="shared" ref="N12:N75" si="0">M12*H12</f>
        <v>3696</v>
      </c>
      <c r="O12" s="484"/>
      <c r="P12" s="498">
        <f>ROUND(IF((N12+R12)*BD12&lt;H12*tabellen!$D$33,H12*tabellen!$D$33,(N12+R12)*BD12),2)</f>
        <v>295.68</v>
      </c>
      <c r="Q12" s="498">
        <f t="shared" ref="Q12:Q43" si="1">ROUND(+(M12+R12)*BE12,2)</f>
        <v>273.5</v>
      </c>
      <c r="R12" s="498">
        <f>ROUND(IF(J12="j",VLOOKUP(BB12,uitlooptoeslag,2,FALSE))*IF(H12&gt;1,1,H12),2)</f>
        <v>0</v>
      </c>
      <c r="S12" s="498">
        <f t="shared" ref="S12:S43" si="2">VLOOKUP(BF12,eindejaarsuitkering_OOP,2,TRUE)*H12/12</f>
        <v>0</v>
      </c>
      <c r="T12" s="498">
        <f>ROUND(VLOOKUP(I12,bindingstoelage,3,FALSE)*IF(H12&gt;1,1,H12),2)</f>
        <v>124.46</v>
      </c>
      <c r="U12" s="498">
        <f>ROUND(H12*tabellen!$D$27,2)</f>
        <v>0</v>
      </c>
      <c r="V12" s="500">
        <f>ROUND(((SUM(N12:T12)*12)+U12),0)</f>
        <v>52676</v>
      </c>
      <c r="W12" s="499">
        <f>ROUND((SUM(N12:T12)*12),0)</f>
        <v>52676</v>
      </c>
      <c r="X12" s="484"/>
      <c r="Y12" s="500">
        <f>W12/12</f>
        <v>4389.666666666667</v>
      </c>
      <c r="Z12" s="501">
        <v>0</v>
      </c>
      <c r="AA12" s="484"/>
      <c r="AB12" s="498">
        <f>IF(F12="",0,(IF(V12/H12&lt;tabellen!$E$7,0,(V12-tabellen!$E$7*H12)/12)*tabellen!$C$7))</f>
        <v>558.86390000000006</v>
      </c>
      <c r="AC12" s="498">
        <f>IF(F12="",0,(IF(V12/H12&lt;tabellen!$E$7,0,(V12-tabellen!$E$7*H12)/12)*tabellen!$C$8))</f>
        <v>20.1999</v>
      </c>
      <c r="AD12" s="498">
        <f>V12/12*tabellen!$C$9</f>
        <v>114.13133333333333</v>
      </c>
      <c r="AE12" s="498">
        <f>IF(H12=0,0,IF(BJ12&gt;tabellen!$G$10/12,$G$10/12,BJ12)*(tabellen!$C$10+tabellen!$C$11))</f>
        <v>350.92196472666672</v>
      </c>
      <c r="AF12" s="498">
        <f t="shared" ref="AF12:AF43" si="3">IF(F12="",0,BK12)</f>
        <v>287.95</v>
      </c>
      <c r="AG12" s="502">
        <f>IF(F12="",0,(IF(BJ12&gt;tabellen!$G$13*H12/12,tabellen!$G$13*H12/12,BJ12*tabellen!$C$13)))</f>
        <v>32.31630844</v>
      </c>
      <c r="AH12" s="484"/>
      <c r="AI12" s="502">
        <f>IF(F12="",0,IF(K12="j",tabellen!$C$14*BJ12,0))</f>
        <v>207.15582333333339</v>
      </c>
      <c r="AJ12" s="502">
        <f>IF(F12="",0,IF(L12="j",tabellen!$C$15*BJ12,0))</f>
        <v>82.862329333333349</v>
      </c>
      <c r="AK12" s="503">
        <v>0</v>
      </c>
      <c r="AL12" s="484"/>
      <c r="AM12" s="503">
        <v>0</v>
      </c>
      <c r="AN12" s="484"/>
      <c r="AO12" s="499">
        <f>SUM(Y12:AM12)</f>
        <v>6044.0682258333336</v>
      </c>
      <c r="AP12" s="499">
        <f>AO12*12</f>
        <v>72528.818710000007</v>
      </c>
      <c r="AQ12" s="484"/>
      <c r="AR12" s="504">
        <f t="shared" ref="AR12:AR43" si="4">IF(AO12=0,"",(AO12/N12-1))</f>
        <v>0.63529984465187606</v>
      </c>
      <c r="AS12" s="504">
        <f t="shared" ref="AS12:AS75" si="5">IF(AO12=0,"",(AO12/(W12/12))-1)</f>
        <v>0.37688546415825042</v>
      </c>
      <c r="AT12" s="484"/>
      <c r="AU12" s="453"/>
      <c r="AV12" s="444"/>
      <c r="AW12" s="444"/>
      <c r="AX12" s="505">
        <f ca="1">YEAR($AX$9)-YEAR(E12)</f>
        <v>32</v>
      </c>
      <c r="AY12" s="505">
        <f ca="1">MONTH($AX$9)-MONTH(E12)</f>
        <v>-10</v>
      </c>
      <c r="AZ12" s="505">
        <f ca="1">DAY($AX$9)-DAY(E12)</f>
        <v>17</v>
      </c>
      <c r="BA12" s="454">
        <f t="shared" ref="BA12:BA43" si="6">IF(AND(F12&gt;0,F12&lt;18),0,100)</f>
        <v>100</v>
      </c>
      <c r="BB12" s="454" t="str">
        <f t="shared" ref="BB12:BB43" si="7">F12</f>
        <v>LC</v>
      </c>
      <c r="BC12" s="480">
        <v>42583</v>
      </c>
      <c r="BD12" s="506">
        <v>0.08</v>
      </c>
      <c r="BE12" s="507">
        <f>tabellen!$D$34</f>
        <v>7.3999999999999996E-2</v>
      </c>
      <c r="BF12" s="505">
        <f>IF(BA12=100,0,F12)</f>
        <v>0</v>
      </c>
      <c r="BG12" s="508">
        <f>IF(V12/H12&lt;tabellen!$E$7,0,(V12-tabellen!$E$7*H12)/12*tabellen!$D$7)</f>
        <v>239.51310000000001</v>
      </c>
      <c r="BH12" s="508">
        <f>IF(V12/H12&lt;tabellen!$E$8,0,(V12-tabellen!$E$8*H12)/12*tabellen!$D$8)</f>
        <v>7.0371000000000006</v>
      </c>
      <c r="BI12" s="509">
        <f>SUM(BG12:BH12)</f>
        <v>246.55020000000002</v>
      </c>
      <c r="BJ12" s="510">
        <f>+W12/12-BI12</f>
        <v>4143.1164666666673</v>
      </c>
      <c r="BK12" s="510">
        <f>ROUND(IF(BJ12&gt;tabellen!$H$12,tabellen!$H$12,BJ12)*tabellen!$C$12,2)</f>
        <v>287.95</v>
      </c>
      <c r="BL12" s="510">
        <f>+'[1]wgl tot'!BM12+'[1]wgl tot'!BN12</f>
        <v>3133.0995333333335</v>
      </c>
      <c r="BM12" s="511">
        <f t="shared" ref="BM12:BM43" si="8">YEAR(E12)</f>
        <v>1988</v>
      </c>
      <c r="BN12" s="511">
        <f t="shared" ref="BN12:BN43" si="9">MONTH(E12)</f>
        <v>12</v>
      </c>
      <c r="BO12" s="505">
        <f t="shared" ref="BO12:BO43" si="10">DAY(E12)</f>
        <v>10</v>
      </c>
      <c r="BP12" s="480">
        <f>DATE(BM12+61,BN12+6,BO12)</f>
        <v>54949</v>
      </c>
      <c r="BQ12" s="480">
        <f ca="1">NOW()</f>
        <v>43888.768521180558</v>
      </c>
      <c r="BR12" s="454"/>
      <c r="BS12" s="480"/>
      <c r="BT12" s="454"/>
      <c r="BU12" s="512"/>
      <c r="BV12" s="512"/>
      <c r="BW12" s="512"/>
      <c r="BX12" s="512"/>
      <c r="BY12" s="512"/>
      <c r="BZ12" s="512"/>
      <c r="CA12" s="444"/>
      <c r="CB12" s="444"/>
    </row>
    <row r="13" spans="1:80" s="456" customFormat="1" ht="12" customHeight="1" x14ac:dyDescent="0.2">
      <c r="A13" s="444"/>
      <c r="B13" s="445"/>
      <c r="C13" s="484"/>
      <c r="D13" s="493" t="s">
        <v>343</v>
      </c>
      <c r="E13" s="494">
        <v>21916</v>
      </c>
      <c r="F13" s="495">
        <v>1</v>
      </c>
      <c r="G13" s="495">
        <v>5</v>
      </c>
      <c r="H13" s="496">
        <v>1</v>
      </c>
      <c r="I13" s="535" t="s">
        <v>32</v>
      </c>
      <c r="J13" s="495" t="s">
        <v>392</v>
      </c>
      <c r="K13" s="497" t="s">
        <v>395</v>
      </c>
      <c r="L13" s="497" t="s">
        <v>395</v>
      </c>
      <c r="M13" s="498">
        <f>IF(F13="",0,(VLOOKUP('wgl tot'!F13,saltab2019juni,G13+1,FALSE)))</f>
        <v>1909</v>
      </c>
      <c r="N13" s="499">
        <f t="shared" si="0"/>
        <v>1909</v>
      </c>
      <c r="O13" s="484"/>
      <c r="P13" s="498">
        <f>ROUND(IF((M13+Q13)*BD13&lt;H13*tabellen!$D$33,H13*tabellen!$D$33,(M13+R13)*BD13),2)</f>
        <v>152.72</v>
      </c>
      <c r="Q13" s="498">
        <f t="shared" si="1"/>
        <v>141.27000000000001</v>
      </c>
      <c r="R13" s="498">
        <f t="shared" ref="R13:R43" si="11">ROUND(IF(J13="j",VLOOKUP(BB13,uitlooptoeslag,2,FALSE))*IF(H13&gt;1,1,H13),2)</f>
        <v>0</v>
      </c>
      <c r="S13" s="498">
        <f t="shared" si="2"/>
        <v>100</v>
      </c>
      <c r="T13" s="498">
        <f>ROUND(VLOOKUP(I13,bindingstoelage,3,FALSE)*IF(H13&gt;1,1,H13),2)</f>
        <v>0</v>
      </c>
      <c r="U13" s="498">
        <f>ROUND(H13*tabellen!$D$27,2)</f>
        <v>0</v>
      </c>
      <c r="V13" s="500">
        <f t="shared" ref="V13:V76" si="12">ROUND(((SUM(N13:T13)*12)+U13),0)</f>
        <v>27636</v>
      </c>
      <c r="W13" s="499">
        <f t="shared" ref="W13:W76" si="13">ROUND((SUM(N13:T13)*12),0)</f>
        <v>27636</v>
      </c>
      <c r="X13" s="484"/>
      <c r="Y13" s="500">
        <f t="shared" ref="Y13:Y76" si="14">W13/12</f>
        <v>2303</v>
      </c>
      <c r="Z13" s="501">
        <v>0</v>
      </c>
      <c r="AA13" s="484"/>
      <c r="AB13" s="498">
        <f>IF(F13="",0,(IF(V13/H13&lt;tabellen!$E$7,0,(V13-tabellen!$E$7*H13)/12)*tabellen!$C$7))</f>
        <v>195.15790000000001</v>
      </c>
      <c r="AC13" s="498">
        <f>IF(F13="",0,(IF(V13/H13&lt;tabellen!$E$7,0,(V13-tabellen!$E$7*H13)/12)*tabellen!$C$8))</f>
        <v>7.0539000000000005</v>
      </c>
      <c r="AD13" s="498">
        <f>V13/12*tabellen!$C$9</f>
        <v>59.878</v>
      </c>
      <c r="AE13" s="498">
        <f>IF(H13=0,0,IF(BJ13&gt;tabellen!$G$10/12,$G$10/12,BJ13)*(tabellen!$C$10+tabellen!$C$11))</f>
        <v>186.37616266500001</v>
      </c>
      <c r="AF13" s="498">
        <f t="shared" si="3"/>
        <v>168.31</v>
      </c>
      <c r="AG13" s="502">
        <f>IF(F13="",0,(IF(BJ13&gt;tabellen!$G$13*H13/12,tabellen!$G$13*H13/12,BJ13*tabellen!$C$13)))</f>
        <v>17.163330209999998</v>
      </c>
      <c r="AH13" s="484"/>
      <c r="AI13" s="502">
        <f>IF(F13="",0,IF(K13="j",tabellen!$C$14*BJ13,0))</f>
        <v>110.0213475</v>
      </c>
      <c r="AJ13" s="502">
        <f>IF(F13="",0,IF(L13="j",tabellen!$C$15*BJ13,0))</f>
        <v>44.008538999999999</v>
      </c>
      <c r="AK13" s="503">
        <v>0</v>
      </c>
      <c r="AL13" s="484"/>
      <c r="AM13" s="503">
        <v>0</v>
      </c>
      <c r="AN13" s="484"/>
      <c r="AO13" s="499">
        <f t="shared" ref="AO13:AO76" si="15">SUM(Y13:AM13)</f>
        <v>3090.9691793749998</v>
      </c>
      <c r="AP13" s="499">
        <f t="shared" ref="AP13:AP76" si="16">AO13*12</f>
        <v>37091.630152500002</v>
      </c>
      <c r="AQ13" s="484"/>
      <c r="AR13" s="504">
        <f t="shared" si="4"/>
        <v>0.6191561966343635</v>
      </c>
      <c r="AS13" s="504">
        <f t="shared" si="5"/>
        <v>0.34214901405775078</v>
      </c>
      <c r="AT13" s="484"/>
      <c r="AU13" s="453"/>
      <c r="AV13" s="444"/>
      <c r="AW13" s="444"/>
      <c r="AX13" s="505">
        <f t="shared" ref="AX13:AX76" ca="1" si="17">YEAR($AX$9)-YEAR(E13)</f>
        <v>60</v>
      </c>
      <c r="AY13" s="505">
        <f t="shared" ref="AY13:AY76" ca="1" si="18">MONTH($AX$9)-MONTH(E13)</f>
        <v>1</v>
      </c>
      <c r="AZ13" s="505">
        <f t="shared" ref="AZ13:AZ76" ca="1" si="19">DAY($AX$9)-DAY(E13)</f>
        <v>26</v>
      </c>
      <c r="BA13" s="454">
        <f t="shared" si="6"/>
        <v>0</v>
      </c>
      <c r="BB13" s="454">
        <f t="shared" si="7"/>
        <v>1</v>
      </c>
      <c r="BC13" s="480">
        <v>42583</v>
      </c>
      <c r="BD13" s="506">
        <f>$BD$12</f>
        <v>0.08</v>
      </c>
      <c r="BE13" s="507">
        <f>tabellen!$D$34</f>
        <v>7.3999999999999996E-2</v>
      </c>
      <c r="BF13" s="505">
        <f t="shared" ref="BF13:BF76" si="20">IF(BA13=100,0,F13)</f>
        <v>1</v>
      </c>
      <c r="BG13" s="508">
        <f>IF(V13/H13&lt;tabellen!$E$7,0,(V13-tabellen!$E$7*H13)/12*tabellen!$D$7)</f>
        <v>83.639100000000013</v>
      </c>
      <c r="BH13" s="508">
        <f>IF(V13/H13&lt;tabellen!$E$8,0,(V13-tabellen!$E$8*H13)/12*tabellen!$D$8)</f>
        <v>1.4031</v>
      </c>
      <c r="BI13" s="509">
        <f t="shared" ref="BI13:BI76" si="21">SUM(BG13:BH13)</f>
        <v>85.042200000000008</v>
      </c>
      <c r="BJ13" s="510">
        <f>+W13/12-'[1]wgl tot'!BL13</f>
        <v>2200.42695</v>
      </c>
      <c r="BK13" s="510">
        <f>ROUND(IF('[1]wgl tot'!BM13&gt;[1]tabellen!$H$11,[1]tabellen!$H$11,'[1]wgl tot'!BM13)*[1]tabellen!$C$11,2)</f>
        <v>168.31</v>
      </c>
      <c r="BL13" s="510">
        <f>+'[1]wgl tot'!BM13+'[1]wgl tot'!BN13</f>
        <v>2589.98695</v>
      </c>
      <c r="BM13" s="511">
        <f t="shared" si="8"/>
        <v>1960</v>
      </c>
      <c r="BN13" s="511">
        <f t="shared" si="9"/>
        <v>1</v>
      </c>
      <c r="BO13" s="505">
        <f t="shared" si="10"/>
        <v>1</v>
      </c>
      <c r="BP13" s="480">
        <f t="shared" ref="BP13:BP86" si="22">DATE(BM13+61,BN13+6,BO13)</f>
        <v>44378</v>
      </c>
      <c r="BQ13" s="480">
        <f t="shared" ref="BQ13:BQ86" ca="1" si="23">NOW()</f>
        <v>43888.768521180558</v>
      </c>
      <c r="BR13" s="454"/>
      <c r="BS13" s="480"/>
      <c r="BT13" s="454"/>
      <c r="BU13" s="512"/>
      <c r="BV13" s="512"/>
      <c r="BW13" s="512"/>
      <c r="BX13" s="512"/>
      <c r="BY13" s="512"/>
      <c r="BZ13" s="512"/>
      <c r="CA13" s="444"/>
      <c r="CB13" s="444"/>
    </row>
    <row r="14" spans="1:80" s="456" customFormat="1" ht="12" customHeight="1" x14ac:dyDescent="0.2">
      <c r="A14" s="444"/>
      <c r="B14" s="445"/>
      <c r="C14" s="484"/>
      <c r="D14" s="493"/>
      <c r="E14" s="494"/>
      <c r="F14" s="495"/>
      <c r="G14" s="495"/>
      <c r="H14" s="496"/>
      <c r="I14" s="535"/>
      <c r="J14" s="495"/>
      <c r="K14" s="497"/>
      <c r="L14" s="497"/>
      <c r="M14" s="498">
        <f>IF(F14="",0,(VLOOKUP('wgl tot'!F14,saltab2019juni,G14+1,FALSE)))</f>
        <v>0</v>
      </c>
      <c r="N14" s="499">
        <f t="shared" si="0"/>
        <v>0</v>
      </c>
      <c r="O14" s="484"/>
      <c r="P14" s="498">
        <f>ROUND(IF((M14+Q14)*BD14&lt;H14*tabellen!$D$33,H14*tabellen!$D$33,(M14+R14)*BD14),2)</f>
        <v>0</v>
      </c>
      <c r="Q14" s="498">
        <f t="shared" si="1"/>
        <v>0</v>
      </c>
      <c r="R14" s="498">
        <f t="shared" si="11"/>
        <v>0</v>
      </c>
      <c r="S14" s="498">
        <f t="shared" si="2"/>
        <v>0</v>
      </c>
      <c r="T14" s="498">
        <f t="shared" ref="T14:T45" si="24">ROUND(IF(I14="",0,VLOOKUP(I14,bindingstoelage,3,FALSE))*IF(H14&gt;1,1,H14),I14)</f>
        <v>0</v>
      </c>
      <c r="U14" s="498">
        <f>ROUND(H14*tabellen!$D$27,2)</f>
        <v>0</v>
      </c>
      <c r="V14" s="500">
        <f t="shared" si="12"/>
        <v>0</v>
      </c>
      <c r="W14" s="499">
        <f t="shared" si="13"/>
        <v>0</v>
      </c>
      <c r="X14" s="484"/>
      <c r="Y14" s="500">
        <f t="shared" si="14"/>
        <v>0</v>
      </c>
      <c r="Z14" s="501">
        <v>0</v>
      </c>
      <c r="AA14" s="484"/>
      <c r="AB14" s="498">
        <f>IF(F14="",0,(IF(V14/H14&lt;tabellen!$E$7,0,(V14-tabellen!$E$7*H14)/12)*tabellen!$C$7))</f>
        <v>0</v>
      </c>
      <c r="AC14" s="498">
        <f>IF(F14="",0,(IF(V14/H14&lt;tabellen!$E$7,0,(V14-tabellen!$E$7*H14)/12)*tabellen!$C$8))</f>
        <v>0</v>
      </c>
      <c r="AD14" s="498">
        <f>V14/12*tabellen!$C$9</f>
        <v>0</v>
      </c>
      <c r="AE14" s="498">
        <f>IF(H14=0,0,IF(BJ14&gt;tabellen!$G$10/12,$G$10/12,BJ14)*(tabellen!$C$10+tabellen!$C$11))</f>
        <v>0</v>
      </c>
      <c r="AF14" s="498">
        <f t="shared" si="3"/>
        <v>0</v>
      </c>
      <c r="AG14" s="502">
        <f>IF(F14="",0,(IF(BJ14&gt;tabellen!$G$13*H14/12,tabellen!$G$13*H14/12,BJ14*tabellen!$C$13)))</f>
        <v>0</v>
      </c>
      <c r="AH14" s="484"/>
      <c r="AI14" s="502">
        <f>IF(F14="",0,IF(K14="j",tabellen!$C$14*BJ14,0))</f>
        <v>0</v>
      </c>
      <c r="AJ14" s="502">
        <f>IF(F14="",0,IF(L14="j",tabellen!$C$15*BJ14,0))</f>
        <v>0</v>
      </c>
      <c r="AK14" s="503">
        <v>0</v>
      </c>
      <c r="AL14" s="484"/>
      <c r="AM14" s="503">
        <v>0</v>
      </c>
      <c r="AN14" s="484"/>
      <c r="AO14" s="499">
        <f t="shared" si="15"/>
        <v>0</v>
      </c>
      <c r="AP14" s="499">
        <f t="shared" si="16"/>
        <v>0</v>
      </c>
      <c r="AQ14" s="484"/>
      <c r="AR14" s="504" t="str">
        <f t="shared" si="4"/>
        <v/>
      </c>
      <c r="AS14" s="504" t="str">
        <f t="shared" si="5"/>
        <v/>
      </c>
      <c r="AT14" s="484"/>
      <c r="AU14" s="453"/>
      <c r="AV14" s="444"/>
      <c r="AW14" s="444"/>
      <c r="AX14" s="505">
        <f t="shared" ca="1" si="17"/>
        <v>120</v>
      </c>
      <c r="AY14" s="505">
        <f t="shared" ca="1" si="18"/>
        <v>1</v>
      </c>
      <c r="AZ14" s="505">
        <f t="shared" ca="1" si="19"/>
        <v>27</v>
      </c>
      <c r="BA14" s="454">
        <f t="shared" si="6"/>
        <v>100</v>
      </c>
      <c r="BB14" s="454">
        <f t="shared" si="7"/>
        <v>0</v>
      </c>
      <c r="BC14" s="480">
        <v>42583</v>
      </c>
      <c r="BD14" s="506">
        <f t="shared" ref="BD14:BD86" si="25">$BD$12</f>
        <v>0.08</v>
      </c>
      <c r="BE14" s="507">
        <f>tabellen!$D$34</f>
        <v>7.3999999999999996E-2</v>
      </c>
      <c r="BF14" s="505">
        <f t="shared" si="20"/>
        <v>0</v>
      </c>
      <c r="BG14" s="508" t="e">
        <f>IF(V14/H14&lt;tabellen!$E$7,0,(V14-tabellen!$E$7*H14)/12*tabellen!$D$7)</f>
        <v>#DIV/0!</v>
      </c>
      <c r="BH14" s="508" t="e">
        <f>IF(V14/H14&lt;tabellen!$E$8,0,(V14-tabellen!$E$8*H14)/12*tabellen!$D$8)</f>
        <v>#DIV/0!</v>
      </c>
      <c r="BI14" s="509" t="e">
        <f t="shared" si="21"/>
        <v>#DIV/0!</v>
      </c>
      <c r="BJ14" s="510" t="e">
        <f>+(W14)/12-'[1]wgl tot'!BL14</f>
        <v>#DIV/0!</v>
      </c>
      <c r="BK14" s="510" t="e">
        <f>ROUND(IF('[1]wgl tot'!BM14&gt;[1]tabellen!$H$11,[1]tabellen!$H$11,'[1]wgl tot'!BM14)*[1]tabellen!$C$11,2)</f>
        <v>#DIV/0!</v>
      </c>
      <c r="BL14" s="510" t="e">
        <f>+'[1]wgl tot'!BM14+'[1]wgl tot'!BN14</f>
        <v>#DIV/0!</v>
      </c>
      <c r="BM14" s="511">
        <f t="shared" si="8"/>
        <v>1900</v>
      </c>
      <c r="BN14" s="511">
        <f t="shared" si="9"/>
        <v>1</v>
      </c>
      <c r="BO14" s="505">
        <f t="shared" si="10"/>
        <v>0</v>
      </c>
      <c r="BP14" s="480">
        <f t="shared" si="22"/>
        <v>22462</v>
      </c>
      <c r="BQ14" s="480">
        <f t="shared" ca="1" si="23"/>
        <v>43888.768521180558</v>
      </c>
      <c r="BR14" s="454"/>
      <c r="BS14" s="480"/>
      <c r="BT14" s="454"/>
      <c r="BU14" s="512"/>
      <c r="BV14" s="512"/>
      <c r="BW14" s="512"/>
      <c r="BX14" s="512"/>
      <c r="BY14" s="512"/>
      <c r="BZ14" s="512"/>
      <c r="CA14" s="444"/>
      <c r="CB14" s="444"/>
    </row>
    <row r="15" spans="1:80" s="456" customFormat="1" ht="12" customHeight="1" x14ac:dyDescent="0.2">
      <c r="A15" s="444"/>
      <c r="B15" s="445"/>
      <c r="C15" s="484"/>
      <c r="D15" s="493"/>
      <c r="E15" s="494"/>
      <c r="F15" s="495"/>
      <c r="G15" s="495"/>
      <c r="H15" s="496"/>
      <c r="I15" s="535"/>
      <c r="J15" s="495"/>
      <c r="K15" s="497"/>
      <c r="L15" s="497"/>
      <c r="M15" s="498">
        <f>IF(F15="",0,(VLOOKUP('wgl tot'!F15,saltab2019juni,G15+1,FALSE)))</f>
        <v>0</v>
      </c>
      <c r="N15" s="499">
        <f t="shared" si="0"/>
        <v>0</v>
      </c>
      <c r="O15" s="484"/>
      <c r="P15" s="498">
        <f>ROUND(IF((M15+Q15)*BD15&lt;H15*tabellen!$D$33,H15*tabellen!$D$33,(M15+R15)*BD15),2)</f>
        <v>0</v>
      </c>
      <c r="Q15" s="498">
        <f t="shared" si="1"/>
        <v>0</v>
      </c>
      <c r="R15" s="498">
        <f t="shared" si="11"/>
        <v>0</v>
      </c>
      <c r="S15" s="498">
        <f t="shared" si="2"/>
        <v>0</v>
      </c>
      <c r="T15" s="498">
        <f t="shared" si="24"/>
        <v>0</v>
      </c>
      <c r="U15" s="498">
        <f>ROUND(H15*tabellen!$D$27,2)</f>
        <v>0</v>
      </c>
      <c r="V15" s="500">
        <f t="shared" si="12"/>
        <v>0</v>
      </c>
      <c r="W15" s="499">
        <f t="shared" si="13"/>
        <v>0</v>
      </c>
      <c r="X15" s="484"/>
      <c r="Y15" s="500">
        <f t="shared" si="14"/>
        <v>0</v>
      </c>
      <c r="Z15" s="501">
        <v>0</v>
      </c>
      <c r="AA15" s="484"/>
      <c r="AB15" s="498">
        <f>IF(F15="",0,(IF(V15/H15&lt;tabellen!$E$7,0,(V15-tabellen!$E$7*H15)/12)*tabellen!$C$7))</f>
        <v>0</v>
      </c>
      <c r="AC15" s="498">
        <f>IF(F15="",0,(IF(V15/H15&lt;tabellen!$E$7,0,(V15-tabellen!$E$7*H15)/12)*tabellen!$C$8))</f>
        <v>0</v>
      </c>
      <c r="AD15" s="498">
        <f>V15/12*tabellen!$C$9</f>
        <v>0</v>
      </c>
      <c r="AE15" s="498">
        <f>IF(H15=0,0,IF(BJ15&gt;tabellen!$G$10/12,$G$10/12,BJ15)*(tabellen!$C$10+tabellen!$C$11))</f>
        <v>0</v>
      </c>
      <c r="AF15" s="498">
        <f t="shared" si="3"/>
        <v>0</v>
      </c>
      <c r="AG15" s="502">
        <f>IF(F15="",0,(IF(BJ15&gt;tabellen!$G$13*H15/12,tabellen!$G$13*H15/12,BJ15*tabellen!$C$13)))</f>
        <v>0</v>
      </c>
      <c r="AH15" s="484"/>
      <c r="AI15" s="502">
        <f>IF(F15="",0,IF(K15="j",tabellen!$C$14*BJ15,0))</f>
        <v>0</v>
      </c>
      <c r="AJ15" s="502">
        <f>IF(F15="",0,IF(L15="j",tabellen!$C$15*BJ15,0))</f>
        <v>0</v>
      </c>
      <c r="AK15" s="503">
        <v>0</v>
      </c>
      <c r="AL15" s="484"/>
      <c r="AM15" s="503">
        <v>0</v>
      </c>
      <c r="AN15" s="484"/>
      <c r="AO15" s="499">
        <f t="shared" si="15"/>
        <v>0</v>
      </c>
      <c r="AP15" s="499">
        <f t="shared" si="16"/>
        <v>0</v>
      </c>
      <c r="AQ15" s="484"/>
      <c r="AR15" s="504" t="str">
        <f t="shared" si="4"/>
        <v/>
      </c>
      <c r="AS15" s="504" t="str">
        <f t="shared" si="5"/>
        <v/>
      </c>
      <c r="AT15" s="484"/>
      <c r="AU15" s="453"/>
      <c r="AV15" s="444"/>
      <c r="AW15" s="444"/>
      <c r="AX15" s="505">
        <f t="shared" ca="1" si="17"/>
        <v>120</v>
      </c>
      <c r="AY15" s="505">
        <f t="shared" ca="1" si="18"/>
        <v>1</v>
      </c>
      <c r="AZ15" s="505">
        <f t="shared" ca="1" si="19"/>
        <v>27</v>
      </c>
      <c r="BA15" s="454">
        <f t="shared" si="6"/>
        <v>100</v>
      </c>
      <c r="BB15" s="454">
        <f t="shared" si="7"/>
        <v>0</v>
      </c>
      <c r="BC15" s="480">
        <v>42583</v>
      </c>
      <c r="BD15" s="506">
        <f t="shared" si="25"/>
        <v>0.08</v>
      </c>
      <c r="BE15" s="507">
        <f>tabellen!$D$34</f>
        <v>7.3999999999999996E-2</v>
      </c>
      <c r="BF15" s="505">
        <f t="shared" si="20"/>
        <v>0</v>
      </c>
      <c r="BG15" s="508" t="e">
        <f>IF(V15/H15&lt;tabellen!$E$7,0,(V15-tabellen!$E$7*H15)/12*tabellen!$D$7)</f>
        <v>#DIV/0!</v>
      </c>
      <c r="BH15" s="508" t="e">
        <f>IF(V15/H15&lt;tabellen!$E$8,0,(V15-tabellen!$E$8*H15)/12*tabellen!$D$8)</f>
        <v>#DIV/0!</v>
      </c>
      <c r="BI15" s="509" t="e">
        <f t="shared" si="21"/>
        <v>#DIV/0!</v>
      </c>
      <c r="BJ15" s="510" t="e">
        <f>+W15/12-'[1]wgl tot'!BL15</f>
        <v>#DIV/0!</v>
      </c>
      <c r="BK15" s="510" t="e">
        <f>ROUND(IF('[1]wgl tot'!BM15&gt;[1]tabellen!$H$11,[1]tabellen!$H$11,'[1]wgl tot'!BM15)*[1]tabellen!$C$11,2)</f>
        <v>#DIV/0!</v>
      </c>
      <c r="BL15" s="510" t="e">
        <f>+'[1]wgl tot'!BM15+'[1]wgl tot'!BN15</f>
        <v>#DIV/0!</v>
      </c>
      <c r="BM15" s="511">
        <f t="shared" si="8"/>
        <v>1900</v>
      </c>
      <c r="BN15" s="511">
        <f t="shared" si="9"/>
        <v>1</v>
      </c>
      <c r="BO15" s="505">
        <f t="shared" si="10"/>
        <v>0</v>
      </c>
      <c r="BP15" s="480">
        <f t="shared" si="22"/>
        <v>22462</v>
      </c>
      <c r="BQ15" s="480">
        <f t="shared" ca="1" si="23"/>
        <v>43888.768521180558</v>
      </c>
      <c r="BR15" s="454"/>
      <c r="BS15" s="480"/>
      <c r="BT15" s="454"/>
      <c r="BU15" s="512"/>
      <c r="BV15" s="512"/>
      <c r="BW15" s="512"/>
      <c r="BX15" s="512"/>
      <c r="BY15" s="512"/>
      <c r="BZ15" s="512"/>
      <c r="CA15" s="444"/>
      <c r="CB15" s="444"/>
    </row>
    <row r="16" spans="1:80" s="456" customFormat="1" ht="12" customHeight="1" x14ac:dyDescent="0.2">
      <c r="A16" s="444"/>
      <c r="B16" s="445"/>
      <c r="C16" s="484"/>
      <c r="D16" s="493"/>
      <c r="E16" s="494"/>
      <c r="F16" s="495"/>
      <c r="G16" s="495"/>
      <c r="H16" s="496"/>
      <c r="I16" s="535"/>
      <c r="J16" s="495"/>
      <c r="K16" s="497"/>
      <c r="L16" s="497"/>
      <c r="M16" s="498">
        <f>IF(F16="",0,(VLOOKUP('wgl tot'!F16,saltab2019juni,G16+1,FALSE)))</f>
        <v>0</v>
      </c>
      <c r="N16" s="499">
        <f t="shared" si="0"/>
        <v>0</v>
      </c>
      <c r="O16" s="484"/>
      <c r="P16" s="498">
        <f>ROUND(IF((M16+Q16)*BD16&lt;H16*tabellen!$D$33,H16*tabellen!$D$33,(M16+R16)*BD16),2)</f>
        <v>0</v>
      </c>
      <c r="Q16" s="498">
        <f t="shared" si="1"/>
        <v>0</v>
      </c>
      <c r="R16" s="498">
        <f t="shared" si="11"/>
        <v>0</v>
      </c>
      <c r="S16" s="498">
        <f t="shared" si="2"/>
        <v>0</v>
      </c>
      <c r="T16" s="498">
        <f t="shared" si="24"/>
        <v>0</v>
      </c>
      <c r="U16" s="498">
        <f>ROUND(H16*tabellen!$D$27,2)</f>
        <v>0</v>
      </c>
      <c r="V16" s="500">
        <f t="shared" si="12"/>
        <v>0</v>
      </c>
      <c r="W16" s="499">
        <f t="shared" si="13"/>
        <v>0</v>
      </c>
      <c r="X16" s="484"/>
      <c r="Y16" s="500">
        <f t="shared" si="14"/>
        <v>0</v>
      </c>
      <c r="Z16" s="501">
        <v>0</v>
      </c>
      <c r="AA16" s="484"/>
      <c r="AB16" s="498">
        <f>IF(F16="",0,(IF(V16/H16&lt;tabellen!$E$7,0,(V16-tabellen!$E$7*H16)/12)*tabellen!$C$7))</f>
        <v>0</v>
      </c>
      <c r="AC16" s="498">
        <f>IF(F16="",0,(IF(V16/H16&lt;tabellen!$E$7,0,(V16-tabellen!$E$7*H16)/12)*tabellen!$C$8))</f>
        <v>0</v>
      </c>
      <c r="AD16" s="498">
        <f>V16/12*tabellen!$C$9</f>
        <v>0</v>
      </c>
      <c r="AE16" s="498">
        <f>IF(H16=0,0,IF(BJ16&gt;tabellen!$G$10/12,$G$10/12,BJ16)*(tabellen!$C$10+tabellen!$C$11))</f>
        <v>0</v>
      </c>
      <c r="AF16" s="498">
        <f t="shared" si="3"/>
        <v>0</v>
      </c>
      <c r="AG16" s="502">
        <f>IF(F16="",0,(IF(BJ16&gt;tabellen!$G$13*H16/12,tabellen!$G$13*H16/12,BJ16*tabellen!$C$13)))</f>
        <v>0</v>
      </c>
      <c r="AH16" s="484"/>
      <c r="AI16" s="502">
        <f>IF(F16="",0,IF(K16="j",tabellen!$C$14*BJ16,0))</f>
        <v>0</v>
      </c>
      <c r="AJ16" s="502">
        <f>IF(F16="",0,IF(L16="j",tabellen!$C$15*BJ16,0))</f>
        <v>0</v>
      </c>
      <c r="AK16" s="503">
        <v>0</v>
      </c>
      <c r="AL16" s="484"/>
      <c r="AM16" s="503">
        <v>0</v>
      </c>
      <c r="AN16" s="484"/>
      <c r="AO16" s="499">
        <f t="shared" si="15"/>
        <v>0</v>
      </c>
      <c r="AP16" s="499">
        <f t="shared" si="16"/>
        <v>0</v>
      </c>
      <c r="AQ16" s="484"/>
      <c r="AR16" s="504" t="str">
        <f t="shared" si="4"/>
        <v/>
      </c>
      <c r="AS16" s="504" t="str">
        <f t="shared" si="5"/>
        <v/>
      </c>
      <c r="AT16" s="484"/>
      <c r="AU16" s="453"/>
      <c r="AV16" s="444"/>
      <c r="AW16" s="444"/>
      <c r="AX16" s="505">
        <f t="shared" ca="1" si="17"/>
        <v>120</v>
      </c>
      <c r="AY16" s="505">
        <f t="shared" ca="1" si="18"/>
        <v>1</v>
      </c>
      <c r="AZ16" s="505">
        <f t="shared" ca="1" si="19"/>
        <v>27</v>
      </c>
      <c r="BA16" s="454">
        <f t="shared" si="6"/>
        <v>100</v>
      </c>
      <c r="BB16" s="454">
        <f t="shared" si="7"/>
        <v>0</v>
      </c>
      <c r="BC16" s="480">
        <v>42583</v>
      </c>
      <c r="BD16" s="506">
        <f t="shared" si="25"/>
        <v>0.08</v>
      </c>
      <c r="BE16" s="507">
        <f>tabellen!$D$34</f>
        <v>7.3999999999999996E-2</v>
      </c>
      <c r="BF16" s="505">
        <f t="shared" si="20"/>
        <v>0</v>
      </c>
      <c r="BG16" s="508" t="e">
        <f>IF(V16/H16&lt;tabellen!$E$7,0,(V16-tabellen!$E$7*H16)/12*tabellen!$D$7)</f>
        <v>#DIV/0!</v>
      </c>
      <c r="BH16" s="508" t="e">
        <f>IF(V16/H16&lt;tabellen!$E$8,0,(V16-tabellen!$E$8*H16)/12*tabellen!$D$8)</f>
        <v>#DIV/0!</v>
      </c>
      <c r="BI16" s="509" t="e">
        <f t="shared" si="21"/>
        <v>#DIV/0!</v>
      </c>
      <c r="BJ16" s="510" t="e">
        <f>+W16/12-'[1]wgl tot'!BL16</f>
        <v>#DIV/0!</v>
      </c>
      <c r="BK16" s="510" t="e">
        <f>ROUND(IF('[1]wgl tot'!BM16&gt;[1]tabellen!$H$11,[1]tabellen!$H$11,'[1]wgl tot'!BM16)*[1]tabellen!$C$11,2)</f>
        <v>#DIV/0!</v>
      </c>
      <c r="BL16" s="510" t="e">
        <f>+'[1]wgl tot'!BM16+'[1]wgl tot'!BN16</f>
        <v>#DIV/0!</v>
      </c>
      <c r="BM16" s="511">
        <f t="shared" si="8"/>
        <v>1900</v>
      </c>
      <c r="BN16" s="511">
        <f t="shared" si="9"/>
        <v>1</v>
      </c>
      <c r="BO16" s="505">
        <f t="shared" si="10"/>
        <v>0</v>
      </c>
      <c r="BP16" s="480">
        <f t="shared" si="22"/>
        <v>22462</v>
      </c>
      <c r="BQ16" s="480">
        <f t="shared" ca="1" si="23"/>
        <v>43888.768521180558</v>
      </c>
      <c r="BR16" s="454"/>
      <c r="BS16" s="480"/>
      <c r="BT16" s="454"/>
      <c r="BU16" s="512"/>
      <c r="BV16" s="512"/>
      <c r="BW16" s="512"/>
      <c r="BX16" s="512"/>
      <c r="BY16" s="512"/>
      <c r="BZ16" s="512"/>
      <c r="CA16" s="444"/>
      <c r="CB16" s="444"/>
    </row>
    <row r="17" spans="1:80" s="456" customFormat="1" ht="12" customHeight="1" x14ac:dyDescent="0.2">
      <c r="A17" s="444"/>
      <c r="B17" s="445"/>
      <c r="C17" s="484"/>
      <c r="D17" s="493"/>
      <c r="E17" s="494"/>
      <c r="F17" s="495"/>
      <c r="G17" s="495"/>
      <c r="H17" s="496"/>
      <c r="I17" s="535"/>
      <c r="J17" s="495"/>
      <c r="K17" s="497"/>
      <c r="L17" s="497"/>
      <c r="M17" s="498">
        <f>IF(F17="",0,(VLOOKUP('wgl tot'!F17,saltab2019juni,G17+1,FALSE)))</f>
        <v>0</v>
      </c>
      <c r="N17" s="499">
        <f t="shared" si="0"/>
        <v>0</v>
      </c>
      <c r="O17" s="484"/>
      <c r="P17" s="498">
        <f>ROUND(IF((M17+Q17)*BD17&lt;H17*tabellen!$D$33,H17*tabellen!$D$33,(M17+R17)*BD17),2)</f>
        <v>0</v>
      </c>
      <c r="Q17" s="498">
        <f t="shared" si="1"/>
        <v>0</v>
      </c>
      <c r="R17" s="498">
        <f t="shared" si="11"/>
        <v>0</v>
      </c>
      <c r="S17" s="498">
        <f t="shared" si="2"/>
        <v>0</v>
      </c>
      <c r="T17" s="498">
        <f t="shared" si="24"/>
        <v>0</v>
      </c>
      <c r="U17" s="498">
        <f>ROUND(H17*tabellen!$D$27,2)</f>
        <v>0</v>
      </c>
      <c r="V17" s="500">
        <f t="shared" si="12"/>
        <v>0</v>
      </c>
      <c r="W17" s="499">
        <f t="shared" si="13"/>
        <v>0</v>
      </c>
      <c r="X17" s="484"/>
      <c r="Y17" s="500">
        <f t="shared" si="14"/>
        <v>0</v>
      </c>
      <c r="Z17" s="501">
        <v>0</v>
      </c>
      <c r="AA17" s="484"/>
      <c r="AB17" s="498">
        <f>IF(F17="",0,(IF(V17/H17&lt;tabellen!$E$7,0,(V17-tabellen!$E$7*H17)/12)*tabellen!$C$7))</f>
        <v>0</v>
      </c>
      <c r="AC17" s="498">
        <f>IF(F17="",0,(IF(V17/H17&lt;tabellen!$E$7,0,(V17-tabellen!$E$7*H17)/12)*tabellen!$C$8))</f>
        <v>0</v>
      </c>
      <c r="AD17" s="498">
        <f>V17/12*tabellen!$C$9</f>
        <v>0</v>
      </c>
      <c r="AE17" s="498">
        <f>IF(H17=0,0,IF(BJ17&gt;tabellen!$G$10/12,$G$10/12,BJ17)*(tabellen!$C$10+tabellen!$C$11))</f>
        <v>0</v>
      </c>
      <c r="AF17" s="498">
        <f t="shared" si="3"/>
        <v>0</v>
      </c>
      <c r="AG17" s="502">
        <f>IF(F17="",0,(IF(BJ17&gt;tabellen!$G$13*H17/12,tabellen!$G$13*H17/12,BJ17*tabellen!$C$13)))</f>
        <v>0</v>
      </c>
      <c r="AH17" s="484"/>
      <c r="AI17" s="502">
        <f>IF(F17="",0,IF(K17="j",tabellen!$C$14*BJ17,0))</f>
        <v>0</v>
      </c>
      <c r="AJ17" s="502">
        <f>IF(F17="",0,IF(L17="j",tabellen!$C$15*BJ17,0))</f>
        <v>0</v>
      </c>
      <c r="AK17" s="503">
        <v>0</v>
      </c>
      <c r="AL17" s="484"/>
      <c r="AM17" s="503">
        <v>0</v>
      </c>
      <c r="AN17" s="484"/>
      <c r="AO17" s="499">
        <f t="shared" si="15"/>
        <v>0</v>
      </c>
      <c r="AP17" s="499">
        <f t="shared" si="16"/>
        <v>0</v>
      </c>
      <c r="AQ17" s="484"/>
      <c r="AR17" s="504" t="str">
        <f t="shared" si="4"/>
        <v/>
      </c>
      <c r="AS17" s="504" t="str">
        <f t="shared" si="5"/>
        <v/>
      </c>
      <c r="AT17" s="484"/>
      <c r="AU17" s="453"/>
      <c r="AV17" s="444"/>
      <c r="AW17" s="444"/>
      <c r="AX17" s="505">
        <f t="shared" ca="1" si="17"/>
        <v>120</v>
      </c>
      <c r="AY17" s="505">
        <f t="shared" ca="1" si="18"/>
        <v>1</v>
      </c>
      <c r="AZ17" s="505">
        <f t="shared" ca="1" si="19"/>
        <v>27</v>
      </c>
      <c r="BA17" s="454">
        <f t="shared" si="6"/>
        <v>100</v>
      </c>
      <c r="BB17" s="454">
        <f t="shared" si="7"/>
        <v>0</v>
      </c>
      <c r="BC17" s="480">
        <v>42583</v>
      </c>
      <c r="BD17" s="506">
        <f t="shared" si="25"/>
        <v>0.08</v>
      </c>
      <c r="BE17" s="507">
        <f>tabellen!$D$34</f>
        <v>7.3999999999999996E-2</v>
      </c>
      <c r="BF17" s="505">
        <f t="shared" si="20"/>
        <v>0</v>
      </c>
      <c r="BG17" s="508" t="e">
        <f>IF(V17/H17&lt;tabellen!$E$7,0,(V17-tabellen!$E$7*H17)/12*tabellen!$D$7)</f>
        <v>#DIV/0!</v>
      </c>
      <c r="BH17" s="508" t="e">
        <f>IF(V17/H17&lt;tabellen!$E$8,0,(V17-tabellen!$E$8*H17)/12*tabellen!$D$8)</f>
        <v>#DIV/0!</v>
      </c>
      <c r="BI17" s="509" t="e">
        <f t="shared" si="21"/>
        <v>#DIV/0!</v>
      </c>
      <c r="BJ17" s="510" t="e">
        <f>+W17/12-'[1]wgl tot'!BL17</f>
        <v>#DIV/0!</v>
      </c>
      <c r="BK17" s="510" t="e">
        <f>ROUND(IF('[1]wgl tot'!BM17&gt;[1]tabellen!$H$11,[1]tabellen!$H$11,'[1]wgl tot'!BM17)*[1]tabellen!$C$11,2)</f>
        <v>#DIV/0!</v>
      </c>
      <c r="BL17" s="510" t="e">
        <f>+'[1]wgl tot'!BM17+'[1]wgl tot'!BN17</f>
        <v>#DIV/0!</v>
      </c>
      <c r="BM17" s="511">
        <f t="shared" si="8"/>
        <v>1900</v>
      </c>
      <c r="BN17" s="511">
        <f t="shared" si="9"/>
        <v>1</v>
      </c>
      <c r="BO17" s="505">
        <f t="shared" si="10"/>
        <v>0</v>
      </c>
      <c r="BP17" s="480">
        <f t="shared" si="22"/>
        <v>22462</v>
      </c>
      <c r="BQ17" s="480">
        <f t="shared" ca="1" si="23"/>
        <v>43888.768521180558</v>
      </c>
      <c r="BR17" s="454"/>
      <c r="BS17" s="480"/>
      <c r="BT17" s="454"/>
      <c r="BU17" s="512"/>
      <c r="BV17" s="512"/>
      <c r="BW17" s="512"/>
      <c r="BX17" s="512"/>
      <c r="BY17" s="512"/>
      <c r="BZ17" s="512"/>
      <c r="CA17" s="444"/>
      <c r="CB17" s="444"/>
    </row>
    <row r="18" spans="1:80" s="456" customFormat="1" ht="12" customHeight="1" x14ac:dyDescent="0.2">
      <c r="A18" s="444"/>
      <c r="B18" s="445"/>
      <c r="C18" s="484"/>
      <c r="D18" s="493"/>
      <c r="E18" s="494"/>
      <c r="F18" s="495"/>
      <c r="G18" s="495"/>
      <c r="H18" s="496"/>
      <c r="I18" s="535"/>
      <c r="J18" s="495"/>
      <c r="K18" s="497"/>
      <c r="L18" s="497"/>
      <c r="M18" s="498">
        <f>IF(F18="",0,(VLOOKUP('wgl tot'!F18,saltab2019juni,G18+1,FALSE)))</f>
        <v>0</v>
      </c>
      <c r="N18" s="499">
        <f t="shared" si="0"/>
        <v>0</v>
      </c>
      <c r="O18" s="484"/>
      <c r="P18" s="498">
        <f>ROUND(IF((M18+Q18)*BD18&lt;H18*tabellen!$D$33,H18*tabellen!$D$33,(M18+R18)*BD18),2)</f>
        <v>0</v>
      </c>
      <c r="Q18" s="498">
        <f t="shared" si="1"/>
        <v>0</v>
      </c>
      <c r="R18" s="498">
        <f t="shared" si="11"/>
        <v>0</v>
      </c>
      <c r="S18" s="498">
        <f t="shared" si="2"/>
        <v>0</v>
      </c>
      <c r="T18" s="498">
        <f t="shared" si="24"/>
        <v>0</v>
      </c>
      <c r="U18" s="498">
        <f>ROUND(H18*tabellen!$D$27,2)</f>
        <v>0</v>
      </c>
      <c r="V18" s="500">
        <f t="shared" si="12"/>
        <v>0</v>
      </c>
      <c r="W18" s="499">
        <f t="shared" si="13"/>
        <v>0</v>
      </c>
      <c r="X18" s="484"/>
      <c r="Y18" s="500">
        <f t="shared" si="14"/>
        <v>0</v>
      </c>
      <c r="Z18" s="501">
        <v>0</v>
      </c>
      <c r="AA18" s="484"/>
      <c r="AB18" s="498">
        <f>IF(F18="",0,(IF(V18/H18&lt;tabellen!$E$7,0,(V18-tabellen!$E$7*H18)/12)*tabellen!$C$7))</f>
        <v>0</v>
      </c>
      <c r="AC18" s="498">
        <f>IF(F18="",0,(IF(V18/H18&lt;tabellen!$E$7,0,(V18-tabellen!$E$7*H18)/12)*tabellen!$C$8))</f>
        <v>0</v>
      </c>
      <c r="AD18" s="498">
        <f>V18/12*tabellen!$C$9</f>
        <v>0</v>
      </c>
      <c r="AE18" s="498">
        <f>IF(H18=0,0,IF(BJ18&gt;tabellen!$G$10/12,$G$10/12,BJ18)*(tabellen!$C$10+tabellen!$C$11))</f>
        <v>0</v>
      </c>
      <c r="AF18" s="498">
        <f t="shared" si="3"/>
        <v>0</v>
      </c>
      <c r="AG18" s="502">
        <f>IF(F18="",0,(IF(BJ18&gt;tabellen!$G$13*H18/12,tabellen!$G$13*H18/12,BJ18*tabellen!$C$13)))</f>
        <v>0</v>
      </c>
      <c r="AH18" s="484"/>
      <c r="AI18" s="502">
        <f>IF(F18="",0,IF(K18="j",tabellen!$C$14*BJ18,0))</f>
        <v>0</v>
      </c>
      <c r="AJ18" s="502">
        <f>IF(F18="",0,IF(L18="j",tabellen!$C$15*BJ18,0))</f>
        <v>0</v>
      </c>
      <c r="AK18" s="503">
        <v>0</v>
      </c>
      <c r="AL18" s="484"/>
      <c r="AM18" s="503">
        <v>0</v>
      </c>
      <c r="AN18" s="484"/>
      <c r="AO18" s="499">
        <f t="shared" si="15"/>
        <v>0</v>
      </c>
      <c r="AP18" s="499">
        <f t="shared" si="16"/>
        <v>0</v>
      </c>
      <c r="AQ18" s="484"/>
      <c r="AR18" s="504" t="str">
        <f t="shared" si="4"/>
        <v/>
      </c>
      <c r="AS18" s="504" t="str">
        <f t="shared" si="5"/>
        <v/>
      </c>
      <c r="AT18" s="484"/>
      <c r="AU18" s="453"/>
      <c r="AV18" s="444"/>
      <c r="AW18" s="444"/>
      <c r="AX18" s="505">
        <f t="shared" ca="1" si="17"/>
        <v>120</v>
      </c>
      <c r="AY18" s="505">
        <f t="shared" ca="1" si="18"/>
        <v>1</v>
      </c>
      <c r="AZ18" s="505">
        <f t="shared" ca="1" si="19"/>
        <v>27</v>
      </c>
      <c r="BA18" s="454">
        <f t="shared" si="6"/>
        <v>100</v>
      </c>
      <c r="BB18" s="454">
        <f t="shared" si="7"/>
        <v>0</v>
      </c>
      <c r="BC18" s="480">
        <v>42583</v>
      </c>
      <c r="BD18" s="506">
        <f t="shared" si="25"/>
        <v>0.08</v>
      </c>
      <c r="BE18" s="507">
        <f>tabellen!$D$34</f>
        <v>7.3999999999999996E-2</v>
      </c>
      <c r="BF18" s="505">
        <f t="shared" si="20"/>
        <v>0</v>
      </c>
      <c r="BG18" s="508" t="e">
        <f>IF(V18/H18&lt;tabellen!$E$7,0,(V18-tabellen!$E$7*H18)/12*tabellen!$D$7)</f>
        <v>#DIV/0!</v>
      </c>
      <c r="BH18" s="508" t="e">
        <f>IF(V18/H18&lt;tabellen!$E$8,0,(V18-tabellen!$E$8*H18)/12*tabellen!$D$8)</f>
        <v>#DIV/0!</v>
      </c>
      <c r="BI18" s="509" t="e">
        <f t="shared" si="21"/>
        <v>#DIV/0!</v>
      </c>
      <c r="BJ18" s="510" t="e">
        <f>+W18/12-'[1]wgl tot'!BL18</f>
        <v>#DIV/0!</v>
      </c>
      <c r="BK18" s="510" t="e">
        <f>ROUND(IF('[1]wgl tot'!BM18&gt;[1]tabellen!$H$11,[1]tabellen!$H$11,'[1]wgl tot'!BM18)*[1]tabellen!$C$11,2)</f>
        <v>#DIV/0!</v>
      </c>
      <c r="BL18" s="510" t="e">
        <f>+'[1]wgl tot'!BM18+'[1]wgl tot'!BN18</f>
        <v>#DIV/0!</v>
      </c>
      <c r="BM18" s="511">
        <f t="shared" si="8"/>
        <v>1900</v>
      </c>
      <c r="BN18" s="511">
        <f t="shared" si="9"/>
        <v>1</v>
      </c>
      <c r="BO18" s="505">
        <f t="shared" si="10"/>
        <v>0</v>
      </c>
      <c r="BP18" s="480">
        <f t="shared" si="22"/>
        <v>22462</v>
      </c>
      <c r="BQ18" s="480">
        <f t="shared" ca="1" si="23"/>
        <v>43888.768521180558</v>
      </c>
      <c r="BR18" s="454"/>
      <c r="BS18" s="480"/>
      <c r="BT18" s="454"/>
      <c r="BU18" s="512"/>
      <c r="BV18" s="512"/>
      <c r="BW18" s="512"/>
      <c r="BX18" s="512"/>
      <c r="BY18" s="512"/>
      <c r="BZ18" s="512"/>
      <c r="CA18" s="444"/>
      <c r="CB18" s="444"/>
    </row>
    <row r="19" spans="1:80" s="456" customFormat="1" ht="12" customHeight="1" x14ac:dyDescent="0.2">
      <c r="A19" s="444"/>
      <c r="B19" s="445"/>
      <c r="C19" s="484"/>
      <c r="D19" s="493"/>
      <c r="E19" s="494"/>
      <c r="F19" s="495"/>
      <c r="G19" s="495"/>
      <c r="H19" s="496"/>
      <c r="I19" s="535"/>
      <c r="J19" s="495"/>
      <c r="K19" s="497"/>
      <c r="L19" s="497"/>
      <c r="M19" s="498">
        <f>IF(F19="",0,(VLOOKUP('wgl tot'!F19,saltab2019juni,G19+1,FALSE)))</f>
        <v>0</v>
      </c>
      <c r="N19" s="499">
        <f t="shared" si="0"/>
        <v>0</v>
      </c>
      <c r="O19" s="484"/>
      <c r="P19" s="498">
        <f>ROUND(IF((M19+Q19)*BD19&lt;H19*tabellen!$D$33,H19*tabellen!$D$33,(M19+R19)*BD19),2)</f>
        <v>0</v>
      </c>
      <c r="Q19" s="498">
        <f t="shared" si="1"/>
        <v>0</v>
      </c>
      <c r="R19" s="498">
        <f t="shared" si="11"/>
        <v>0</v>
      </c>
      <c r="S19" s="498">
        <f t="shared" si="2"/>
        <v>0</v>
      </c>
      <c r="T19" s="498">
        <f t="shared" si="24"/>
        <v>0</v>
      </c>
      <c r="U19" s="498">
        <f>ROUND(H19*tabellen!$D$27,2)</f>
        <v>0</v>
      </c>
      <c r="V19" s="500">
        <f t="shared" si="12"/>
        <v>0</v>
      </c>
      <c r="W19" s="499">
        <f t="shared" si="13"/>
        <v>0</v>
      </c>
      <c r="X19" s="484"/>
      <c r="Y19" s="500">
        <f t="shared" si="14"/>
        <v>0</v>
      </c>
      <c r="Z19" s="501">
        <v>0</v>
      </c>
      <c r="AA19" s="484"/>
      <c r="AB19" s="498">
        <f>IF(F19="",0,(IF(V19/H19&lt;tabellen!$E$7,0,(V19-tabellen!$E$7*H19)/12)*tabellen!$C$7))</f>
        <v>0</v>
      </c>
      <c r="AC19" s="498">
        <f>IF(F19="",0,(IF(V19/H19&lt;tabellen!$E$7,0,(V19-tabellen!$E$7*H19)/12)*tabellen!$C$8))</f>
        <v>0</v>
      </c>
      <c r="AD19" s="498">
        <f>V19/12*tabellen!$C$9</f>
        <v>0</v>
      </c>
      <c r="AE19" s="498">
        <f>IF(H19=0,0,IF(BJ19&gt;tabellen!$G$10/12,$G$10/12,BJ19)*(tabellen!$C$10+tabellen!$C$11))</f>
        <v>0</v>
      </c>
      <c r="AF19" s="498">
        <f t="shared" si="3"/>
        <v>0</v>
      </c>
      <c r="AG19" s="502">
        <f>IF(F19="",0,(IF(BJ19&gt;tabellen!$G$13*H19/12,tabellen!$G$13*H19/12,BJ19*tabellen!$C$13)))</f>
        <v>0</v>
      </c>
      <c r="AH19" s="484"/>
      <c r="AI19" s="502">
        <f>IF(F19="",0,IF(K19="j",tabellen!$C$14*BJ19,0))</f>
        <v>0</v>
      </c>
      <c r="AJ19" s="502">
        <f>IF(F19="",0,IF(L19="j",tabellen!$C$15*BJ19,0))</f>
        <v>0</v>
      </c>
      <c r="AK19" s="503">
        <v>0</v>
      </c>
      <c r="AL19" s="484"/>
      <c r="AM19" s="503">
        <v>0</v>
      </c>
      <c r="AN19" s="484"/>
      <c r="AO19" s="499">
        <f t="shared" si="15"/>
        <v>0</v>
      </c>
      <c r="AP19" s="499">
        <f t="shared" si="16"/>
        <v>0</v>
      </c>
      <c r="AQ19" s="484"/>
      <c r="AR19" s="504" t="str">
        <f t="shared" si="4"/>
        <v/>
      </c>
      <c r="AS19" s="504" t="str">
        <f t="shared" si="5"/>
        <v/>
      </c>
      <c r="AT19" s="484"/>
      <c r="AU19" s="453"/>
      <c r="AV19" s="444"/>
      <c r="AW19" s="444"/>
      <c r="AX19" s="505">
        <f t="shared" ca="1" si="17"/>
        <v>120</v>
      </c>
      <c r="AY19" s="505">
        <f t="shared" ca="1" si="18"/>
        <v>1</v>
      </c>
      <c r="AZ19" s="505">
        <f t="shared" ca="1" si="19"/>
        <v>27</v>
      </c>
      <c r="BA19" s="454">
        <f t="shared" si="6"/>
        <v>100</v>
      </c>
      <c r="BB19" s="454">
        <f t="shared" si="7"/>
        <v>0</v>
      </c>
      <c r="BC19" s="480">
        <v>42583</v>
      </c>
      <c r="BD19" s="506">
        <f t="shared" si="25"/>
        <v>0.08</v>
      </c>
      <c r="BE19" s="507">
        <f>tabellen!$D$34</f>
        <v>7.3999999999999996E-2</v>
      </c>
      <c r="BF19" s="505">
        <f t="shared" si="20"/>
        <v>0</v>
      </c>
      <c r="BG19" s="508" t="e">
        <f>IF(V19/H19&lt;tabellen!$E$7,0,(V19-tabellen!$E$7*H19)/12*tabellen!$D$7)</f>
        <v>#DIV/0!</v>
      </c>
      <c r="BH19" s="508" t="e">
        <f>IF(V19/H19&lt;tabellen!$E$8,0,(V19-tabellen!$E$8*H19)/12*tabellen!$D$8)</f>
        <v>#DIV/0!</v>
      </c>
      <c r="BI19" s="509" t="e">
        <f t="shared" si="21"/>
        <v>#DIV/0!</v>
      </c>
      <c r="BJ19" s="510" t="e">
        <f>+W19/12-'[1]wgl tot'!BL19</f>
        <v>#DIV/0!</v>
      </c>
      <c r="BK19" s="510" t="e">
        <f>ROUND(IF('[1]wgl tot'!BM19&gt;[1]tabellen!$H$11,[1]tabellen!$H$11,'[1]wgl tot'!BM19)*[1]tabellen!$C$11,2)</f>
        <v>#DIV/0!</v>
      </c>
      <c r="BL19" s="510" t="e">
        <f>+'[1]wgl tot'!BM19+'[1]wgl tot'!BN19</f>
        <v>#DIV/0!</v>
      </c>
      <c r="BM19" s="511">
        <f t="shared" si="8"/>
        <v>1900</v>
      </c>
      <c r="BN19" s="511">
        <f t="shared" si="9"/>
        <v>1</v>
      </c>
      <c r="BO19" s="505">
        <f t="shared" si="10"/>
        <v>0</v>
      </c>
      <c r="BP19" s="480">
        <f t="shared" si="22"/>
        <v>22462</v>
      </c>
      <c r="BQ19" s="480">
        <f t="shared" ca="1" si="23"/>
        <v>43888.768521180558</v>
      </c>
      <c r="BR19" s="454"/>
      <c r="BS19" s="480"/>
      <c r="BT19" s="454"/>
      <c r="BU19" s="512"/>
      <c r="BV19" s="512"/>
      <c r="BW19" s="512"/>
      <c r="BX19" s="512"/>
      <c r="BY19" s="512"/>
      <c r="BZ19" s="512"/>
      <c r="CA19" s="444"/>
      <c r="CB19" s="444"/>
    </row>
    <row r="20" spans="1:80" s="456" customFormat="1" ht="12" customHeight="1" x14ac:dyDescent="0.2">
      <c r="A20" s="444"/>
      <c r="B20" s="445"/>
      <c r="C20" s="484"/>
      <c r="D20" s="493"/>
      <c r="E20" s="494"/>
      <c r="F20" s="495"/>
      <c r="G20" s="495"/>
      <c r="H20" s="496"/>
      <c r="I20" s="535"/>
      <c r="J20" s="495"/>
      <c r="K20" s="497"/>
      <c r="L20" s="497"/>
      <c r="M20" s="498">
        <f>IF(F20="",0,(VLOOKUP('wgl tot'!F20,saltab2019juni,G20+1,FALSE)))</f>
        <v>0</v>
      </c>
      <c r="N20" s="499">
        <f t="shared" si="0"/>
        <v>0</v>
      </c>
      <c r="O20" s="484"/>
      <c r="P20" s="498">
        <f>ROUND(IF((M20+Q20)*BD20&lt;H20*tabellen!$D$33,H20*tabellen!$D$33,(M20+R20)*BD20),2)</f>
        <v>0</v>
      </c>
      <c r="Q20" s="498">
        <f t="shared" si="1"/>
        <v>0</v>
      </c>
      <c r="R20" s="498">
        <f t="shared" si="11"/>
        <v>0</v>
      </c>
      <c r="S20" s="498">
        <f t="shared" si="2"/>
        <v>0</v>
      </c>
      <c r="T20" s="498">
        <f t="shared" si="24"/>
        <v>0</v>
      </c>
      <c r="U20" s="498">
        <f>ROUND(H20*tabellen!$D$27,2)</f>
        <v>0</v>
      </c>
      <c r="V20" s="500">
        <f t="shared" si="12"/>
        <v>0</v>
      </c>
      <c r="W20" s="499">
        <f t="shared" si="13"/>
        <v>0</v>
      </c>
      <c r="X20" s="484"/>
      <c r="Y20" s="500">
        <f t="shared" si="14"/>
        <v>0</v>
      </c>
      <c r="Z20" s="501">
        <v>0</v>
      </c>
      <c r="AA20" s="484"/>
      <c r="AB20" s="498">
        <f>IF(F20="",0,(IF(V20/H20&lt;tabellen!$E$7,0,(V20-tabellen!$E$7*H20)/12)*tabellen!$C$7))</f>
        <v>0</v>
      </c>
      <c r="AC20" s="498">
        <f>IF(F20="",0,(IF(V20/H20&lt;tabellen!$E$7,0,(V20-tabellen!$E$7*H20)/12)*tabellen!$C$8))</f>
        <v>0</v>
      </c>
      <c r="AD20" s="498">
        <f>V20/12*tabellen!$C$9</f>
        <v>0</v>
      </c>
      <c r="AE20" s="498">
        <f>IF(H20=0,0,IF(BJ20&gt;tabellen!$G$10/12,$G$10/12,BJ20)*(tabellen!$C$10+tabellen!$C$11))</f>
        <v>0</v>
      </c>
      <c r="AF20" s="498">
        <f t="shared" si="3"/>
        <v>0</v>
      </c>
      <c r="AG20" s="502">
        <f>IF(F20="",0,(IF(BJ20&gt;tabellen!$G$13*H20/12,tabellen!$G$13*H20/12,BJ20*tabellen!$C$13)))</f>
        <v>0</v>
      </c>
      <c r="AH20" s="484"/>
      <c r="AI20" s="502">
        <f>IF(F20="",0,IF(K20="j",tabellen!$C$14*BJ20,0))</f>
        <v>0</v>
      </c>
      <c r="AJ20" s="502">
        <f>IF(F20="",0,IF(L20="j",tabellen!$C$15*BJ20,0))</f>
        <v>0</v>
      </c>
      <c r="AK20" s="503">
        <v>0</v>
      </c>
      <c r="AL20" s="484"/>
      <c r="AM20" s="503">
        <v>0</v>
      </c>
      <c r="AN20" s="484"/>
      <c r="AO20" s="499">
        <f t="shared" si="15"/>
        <v>0</v>
      </c>
      <c r="AP20" s="499">
        <f t="shared" si="16"/>
        <v>0</v>
      </c>
      <c r="AQ20" s="484"/>
      <c r="AR20" s="504" t="str">
        <f t="shared" si="4"/>
        <v/>
      </c>
      <c r="AS20" s="504" t="str">
        <f t="shared" si="5"/>
        <v/>
      </c>
      <c r="AT20" s="484"/>
      <c r="AU20" s="453"/>
      <c r="AV20" s="444"/>
      <c r="AW20" s="444"/>
      <c r="AX20" s="505">
        <f t="shared" ca="1" si="17"/>
        <v>120</v>
      </c>
      <c r="AY20" s="505">
        <f t="shared" ca="1" si="18"/>
        <v>1</v>
      </c>
      <c r="AZ20" s="505">
        <f t="shared" ca="1" si="19"/>
        <v>27</v>
      </c>
      <c r="BA20" s="454">
        <f t="shared" si="6"/>
        <v>100</v>
      </c>
      <c r="BB20" s="454">
        <f t="shared" si="7"/>
        <v>0</v>
      </c>
      <c r="BC20" s="480">
        <v>42583</v>
      </c>
      <c r="BD20" s="506">
        <f t="shared" si="25"/>
        <v>0.08</v>
      </c>
      <c r="BE20" s="507">
        <f>tabellen!$D$34</f>
        <v>7.3999999999999996E-2</v>
      </c>
      <c r="BF20" s="505">
        <f t="shared" si="20"/>
        <v>0</v>
      </c>
      <c r="BG20" s="508" t="e">
        <f>IF(V20/H20&lt;tabellen!$E$7,0,(V20-tabellen!$E$7*H20)/12*tabellen!$D$7)</f>
        <v>#DIV/0!</v>
      </c>
      <c r="BH20" s="508" t="e">
        <f>IF(V20/H20&lt;tabellen!$E$8,0,(V20-tabellen!$E$8*H20)/12*tabellen!$D$8)</f>
        <v>#DIV/0!</v>
      </c>
      <c r="BI20" s="509" t="e">
        <f t="shared" si="21"/>
        <v>#DIV/0!</v>
      </c>
      <c r="BJ20" s="510" t="e">
        <f>+W20/12-'[1]wgl tot'!BL20</f>
        <v>#DIV/0!</v>
      </c>
      <c r="BK20" s="510" t="e">
        <f>ROUND(IF('[1]wgl tot'!BM20&gt;[1]tabellen!$H$11,[1]tabellen!$H$11,'[1]wgl tot'!BM20)*[1]tabellen!$C$11,2)</f>
        <v>#DIV/0!</v>
      </c>
      <c r="BL20" s="510" t="e">
        <f>+'[1]wgl tot'!BM20+'[1]wgl tot'!BN20</f>
        <v>#DIV/0!</v>
      </c>
      <c r="BM20" s="511">
        <f t="shared" si="8"/>
        <v>1900</v>
      </c>
      <c r="BN20" s="511">
        <f t="shared" si="9"/>
        <v>1</v>
      </c>
      <c r="BO20" s="505">
        <f t="shared" si="10"/>
        <v>0</v>
      </c>
      <c r="BP20" s="480">
        <f t="shared" si="22"/>
        <v>22462</v>
      </c>
      <c r="BQ20" s="480">
        <f t="shared" ca="1" si="23"/>
        <v>43888.768521180558</v>
      </c>
      <c r="BR20" s="454"/>
      <c r="BS20" s="480"/>
      <c r="BT20" s="454"/>
      <c r="BU20" s="512"/>
      <c r="BV20" s="512"/>
      <c r="BW20" s="512"/>
      <c r="BX20" s="512"/>
      <c r="BY20" s="512"/>
      <c r="BZ20" s="512"/>
      <c r="CA20" s="444"/>
      <c r="CB20" s="444"/>
    </row>
    <row r="21" spans="1:80" s="456" customFormat="1" ht="12" customHeight="1" x14ac:dyDescent="0.2">
      <c r="A21" s="444"/>
      <c r="B21" s="445"/>
      <c r="C21" s="484"/>
      <c r="D21" s="493"/>
      <c r="E21" s="494"/>
      <c r="F21" s="495"/>
      <c r="G21" s="495"/>
      <c r="H21" s="496"/>
      <c r="I21" s="535"/>
      <c r="J21" s="495"/>
      <c r="K21" s="497"/>
      <c r="L21" s="497"/>
      <c r="M21" s="498">
        <f>IF(F21="",0,(VLOOKUP('wgl tot'!F21,saltab2019juni,G21+1,FALSE)))</f>
        <v>0</v>
      </c>
      <c r="N21" s="499">
        <f t="shared" si="0"/>
        <v>0</v>
      </c>
      <c r="O21" s="484"/>
      <c r="P21" s="498">
        <f>ROUND(IF((M21+Q21)*BD21&lt;H21*tabellen!$D$33,H21*tabellen!$D$33,(M21+R21)*BD21),2)</f>
        <v>0</v>
      </c>
      <c r="Q21" s="498">
        <f t="shared" si="1"/>
        <v>0</v>
      </c>
      <c r="R21" s="498">
        <f t="shared" si="11"/>
        <v>0</v>
      </c>
      <c r="S21" s="498">
        <f t="shared" si="2"/>
        <v>0</v>
      </c>
      <c r="T21" s="498">
        <f t="shared" si="24"/>
        <v>0</v>
      </c>
      <c r="U21" s="498">
        <f>ROUND(H21*tabellen!$D$27,2)</f>
        <v>0</v>
      </c>
      <c r="V21" s="500">
        <f t="shared" si="12"/>
        <v>0</v>
      </c>
      <c r="W21" s="499">
        <f t="shared" si="13"/>
        <v>0</v>
      </c>
      <c r="X21" s="484"/>
      <c r="Y21" s="500">
        <f t="shared" si="14"/>
        <v>0</v>
      </c>
      <c r="Z21" s="501">
        <v>0</v>
      </c>
      <c r="AA21" s="484"/>
      <c r="AB21" s="498">
        <f>IF(F21="",0,(IF(V21/H21&lt;tabellen!$E$7,0,(V21-tabellen!$E$7*H21)/12)*tabellen!$C$7))</f>
        <v>0</v>
      </c>
      <c r="AC21" s="498">
        <f>IF(F21="",0,(IF(V21/H21&lt;tabellen!$E$7,0,(V21-tabellen!$E$7*H21)/12)*tabellen!$C$8))</f>
        <v>0</v>
      </c>
      <c r="AD21" s="498">
        <f>V21/12*tabellen!$C$9</f>
        <v>0</v>
      </c>
      <c r="AE21" s="498">
        <f>IF(H21=0,0,IF(BJ21&gt;tabellen!$G$10/12,$G$10/12,BJ21)*(tabellen!$C$10+tabellen!$C$11))</f>
        <v>0</v>
      </c>
      <c r="AF21" s="498">
        <f t="shared" si="3"/>
        <v>0</v>
      </c>
      <c r="AG21" s="502">
        <f>IF(F21="",0,(IF(BJ21&gt;tabellen!$G$13*H21/12,tabellen!$G$13*H21/12,BJ21*tabellen!$C$13)))</f>
        <v>0</v>
      </c>
      <c r="AH21" s="484"/>
      <c r="AI21" s="502">
        <f>IF(F21="",0,IF(K21="j",tabellen!$C$14*BJ21,0))</f>
        <v>0</v>
      </c>
      <c r="AJ21" s="502">
        <f>IF(F21="",0,IF(L21="j",tabellen!$C$15*BJ21,0))</f>
        <v>0</v>
      </c>
      <c r="AK21" s="503">
        <v>0</v>
      </c>
      <c r="AL21" s="484"/>
      <c r="AM21" s="503">
        <v>0</v>
      </c>
      <c r="AN21" s="484"/>
      <c r="AO21" s="499">
        <f t="shared" si="15"/>
        <v>0</v>
      </c>
      <c r="AP21" s="499">
        <f t="shared" si="16"/>
        <v>0</v>
      </c>
      <c r="AQ21" s="484"/>
      <c r="AR21" s="504" t="str">
        <f t="shared" si="4"/>
        <v/>
      </c>
      <c r="AS21" s="504" t="str">
        <f t="shared" si="5"/>
        <v/>
      </c>
      <c r="AT21" s="484"/>
      <c r="AU21" s="453"/>
      <c r="AV21" s="444"/>
      <c r="AW21" s="444"/>
      <c r="AX21" s="505">
        <f t="shared" ca="1" si="17"/>
        <v>120</v>
      </c>
      <c r="AY21" s="505">
        <f t="shared" ca="1" si="18"/>
        <v>1</v>
      </c>
      <c r="AZ21" s="505">
        <f t="shared" ca="1" si="19"/>
        <v>27</v>
      </c>
      <c r="BA21" s="454">
        <f t="shared" si="6"/>
        <v>100</v>
      </c>
      <c r="BB21" s="454">
        <f t="shared" si="7"/>
        <v>0</v>
      </c>
      <c r="BC21" s="480">
        <v>42583</v>
      </c>
      <c r="BD21" s="506">
        <f t="shared" si="25"/>
        <v>0.08</v>
      </c>
      <c r="BE21" s="507">
        <f>tabellen!$D$34</f>
        <v>7.3999999999999996E-2</v>
      </c>
      <c r="BF21" s="505">
        <f t="shared" si="20"/>
        <v>0</v>
      </c>
      <c r="BG21" s="508" t="e">
        <f>IF(V21/H21&lt;tabellen!$E$7,0,(V21-tabellen!$E$7*H21)/12*tabellen!$D$7)</f>
        <v>#DIV/0!</v>
      </c>
      <c r="BH21" s="508" t="e">
        <f>IF(V21/H21&lt;tabellen!$E$8,0,(V21-tabellen!$E$8*H21)/12*tabellen!$D$8)</f>
        <v>#DIV/0!</v>
      </c>
      <c r="BI21" s="509" t="e">
        <f t="shared" si="21"/>
        <v>#DIV/0!</v>
      </c>
      <c r="BJ21" s="510" t="e">
        <f>+W21/12-'[1]wgl tot'!BL21</f>
        <v>#DIV/0!</v>
      </c>
      <c r="BK21" s="510" t="e">
        <f>ROUND(IF('[1]wgl tot'!BM21&gt;[1]tabellen!$H$11,[1]tabellen!$H$11,'[1]wgl tot'!BM21)*[1]tabellen!$C$11,2)</f>
        <v>#DIV/0!</v>
      </c>
      <c r="BL21" s="510" t="e">
        <f>+'[1]wgl tot'!BM21+'[1]wgl tot'!BN21</f>
        <v>#DIV/0!</v>
      </c>
      <c r="BM21" s="511">
        <f t="shared" si="8"/>
        <v>1900</v>
      </c>
      <c r="BN21" s="511">
        <f t="shared" si="9"/>
        <v>1</v>
      </c>
      <c r="BO21" s="505">
        <f t="shared" si="10"/>
        <v>0</v>
      </c>
      <c r="BP21" s="480">
        <f t="shared" si="22"/>
        <v>22462</v>
      </c>
      <c r="BQ21" s="480">
        <f t="shared" ca="1" si="23"/>
        <v>43888.768521180558</v>
      </c>
      <c r="BR21" s="454"/>
      <c r="BS21" s="480"/>
      <c r="BT21" s="454"/>
      <c r="BU21" s="512"/>
      <c r="BV21" s="512"/>
      <c r="BW21" s="512"/>
      <c r="BX21" s="512"/>
      <c r="BY21" s="512"/>
      <c r="BZ21" s="512"/>
      <c r="CA21" s="444"/>
      <c r="CB21" s="444"/>
    </row>
    <row r="22" spans="1:80" s="456" customFormat="1" ht="12" customHeight="1" x14ac:dyDescent="0.2">
      <c r="A22" s="444"/>
      <c r="B22" s="445"/>
      <c r="C22" s="484"/>
      <c r="D22" s="493"/>
      <c r="E22" s="494"/>
      <c r="F22" s="495"/>
      <c r="G22" s="495"/>
      <c r="H22" s="496"/>
      <c r="I22" s="535"/>
      <c r="J22" s="495"/>
      <c r="K22" s="497"/>
      <c r="L22" s="497"/>
      <c r="M22" s="498">
        <f>IF(F22="",0,(VLOOKUP('wgl tot'!F22,saltab2019juni,G22+1,FALSE)))</f>
        <v>0</v>
      </c>
      <c r="N22" s="499">
        <f t="shared" si="0"/>
        <v>0</v>
      </c>
      <c r="O22" s="484"/>
      <c r="P22" s="498">
        <f>ROUND(IF((M22+Q22)*BD22&lt;H22*tabellen!$D$33,H22*tabellen!$D$33,(M22+R22)*BD22),2)</f>
        <v>0</v>
      </c>
      <c r="Q22" s="498">
        <f t="shared" si="1"/>
        <v>0</v>
      </c>
      <c r="R22" s="498">
        <f t="shared" si="11"/>
        <v>0</v>
      </c>
      <c r="S22" s="498">
        <f t="shared" si="2"/>
        <v>0</v>
      </c>
      <c r="T22" s="498">
        <f t="shared" si="24"/>
        <v>0</v>
      </c>
      <c r="U22" s="498">
        <f>ROUND(H22*tabellen!$D$27,2)</f>
        <v>0</v>
      </c>
      <c r="V22" s="500">
        <f t="shared" si="12"/>
        <v>0</v>
      </c>
      <c r="W22" s="499">
        <f t="shared" si="13"/>
        <v>0</v>
      </c>
      <c r="X22" s="484"/>
      <c r="Y22" s="500">
        <f t="shared" si="14"/>
        <v>0</v>
      </c>
      <c r="Z22" s="501">
        <v>0</v>
      </c>
      <c r="AA22" s="484"/>
      <c r="AB22" s="498">
        <f>IF(F22="",0,(IF(V22/H22&lt;tabellen!$E$7,0,(V22-tabellen!$E$7*H22)/12)*tabellen!$C$7))</f>
        <v>0</v>
      </c>
      <c r="AC22" s="498">
        <f>IF(F22="",0,(IF(V22/H22&lt;tabellen!$E$7,0,(V22-tabellen!$E$7*H22)/12)*tabellen!$C$8))</f>
        <v>0</v>
      </c>
      <c r="AD22" s="498">
        <f>V22/12*tabellen!$C$9</f>
        <v>0</v>
      </c>
      <c r="AE22" s="498">
        <f>IF(H22=0,0,IF(BJ22&gt;tabellen!$G$10/12,$G$10/12,BJ22)*(tabellen!$C$10+tabellen!$C$11))</f>
        <v>0</v>
      </c>
      <c r="AF22" s="498">
        <f t="shared" si="3"/>
        <v>0</v>
      </c>
      <c r="AG22" s="502">
        <f>IF(F22="",0,(IF(BJ22&gt;tabellen!$G$13*H22/12,tabellen!$G$13*H22/12,BJ22*tabellen!$C$13)))</f>
        <v>0</v>
      </c>
      <c r="AH22" s="484"/>
      <c r="AI22" s="502">
        <f>IF(F22="",0,IF(K22="j",tabellen!$C$14*BJ22,0))</f>
        <v>0</v>
      </c>
      <c r="AJ22" s="502">
        <f>IF(F22="",0,IF(L22="j",tabellen!$C$15*BJ22,0))</f>
        <v>0</v>
      </c>
      <c r="AK22" s="503">
        <v>0</v>
      </c>
      <c r="AL22" s="484"/>
      <c r="AM22" s="503">
        <v>0</v>
      </c>
      <c r="AN22" s="484"/>
      <c r="AO22" s="499">
        <f t="shared" si="15"/>
        <v>0</v>
      </c>
      <c r="AP22" s="499">
        <f t="shared" si="16"/>
        <v>0</v>
      </c>
      <c r="AQ22" s="484"/>
      <c r="AR22" s="504" t="str">
        <f t="shared" si="4"/>
        <v/>
      </c>
      <c r="AS22" s="504" t="str">
        <f t="shared" si="5"/>
        <v/>
      </c>
      <c r="AT22" s="484"/>
      <c r="AU22" s="453"/>
      <c r="AV22" s="444"/>
      <c r="AW22" s="444"/>
      <c r="AX22" s="505">
        <f t="shared" ca="1" si="17"/>
        <v>120</v>
      </c>
      <c r="AY22" s="505">
        <f t="shared" ca="1" si="18"/>
        <v>1</v>
      </c>
      <c r="AZ22" s="505">
        <f t="shared" ca="1" si="19"/>
        <v>27</v>
      </c>
      <c r="BA22" s="454">
        <f t="shared" si="6"/>
        <v>100</v>
      </c>
      <c r="BB22" s="454">
        <f t="shared" si="7"/>
        <v>0</v>
      </c>
      <c r="BC22" s="480">
        <v>42583</v>
      </c>
      <c r="BD22" s="506">
        <f t="shared" si="25"/>
        <v>0.08</v>
      </c>
      <c r="BE22" s="507">
        <f>tabellen!$D$34</f>
        <v>7.3999999999999996E-2</v>
      </c>
      <c r="BF22" s="505">
        <f t="shared" si="20"/>
        <v>0</v>
      </c>
      <c r="BG22" s="508" t="e">
        <f>IF(V22/H22&lt;tabellen!$E$7,0,(V22-tabellen!$E$7*H22)/12*tabellen!$D$7)</f>
        <v>#DIV/0!</v>
      </c>
      <c r="BH22" s="508" t="e">
        <f>IF(V22/H22&lt;tabellen!$E$8,0,(V22-tabellen!$E$8*H22)/12*tabellen!$D$8)</f>
        <v>#DIV/0!</v>
      </c>
      <c r="BI22" s="509" t="e">
        <f t="shared" si="21"/>
        <v>#DIV/0!</v>
      </c>
      <c r="BJ22" s="510" t="e">
        <f>+W22/12-'[1]wgl tot'!BL22</f>
        <v>#DIV/0!</v>
      </c>
      <c r="BK22" s="510" t="e">
        <f>ROUND(IF('[1]wgl tot'!BM22&gt;[1]tabellen!$H$11,[1]tabellen!$H$11,'[1]wgl tot'!BM22)*[1]tabellen!$C$11,2)</f>
        <v>#DIV/0!</v>
      </c>
      <c r="BL22" s="510" t="e">
        <f>+'[1]wgl tot'!BM22+'[1]wgl tot'!BN22</f>
        <v>#DIV/0!</v>
      </c>
      <c r="BM22" s="511">
        <f t="shared" si="8"/>
        <v>1900</v>
      </c>
      <c r="BN22" s="511">
        <f t="shared" si="9"/>
        <v>1</v>
      </c>
      <c r="BO22" s="505">
        <f t="shared" si="10"/>
        <v>0</v>
      </c>
      <c r="BP22" s="480">
        <f t="shared" si="22"/>
        <v>22462</v>
      </c>
      <c r="BQ22" s="480">
        <f t="shared" ca="1" si="23"/>
        <v>43888.768521180558</v>
      </c>
      <c r="BR22" s="454"/>
      <c r="BS22" s="480"/>
      <c r="BT22" s="454"/>
      <c r="BU22" s="512"/>
      <c r="BV22" s="512"/>
      <c r="BW22" s="512"/>
      <c r="BX22" s="512"/>
      <c r="BY22" s="512"/>
      <c r="BZ22" s="512"/>
      <c r="CA22" s="444"/>
      <c r="CB22" s="444"/>
    </row>
    <row r="23" spans="1:80" s="456" customFormat="1" ht="12" customHeight="1" x14ac:dyDescent="0.2">
      <c r="A23" s="444"/>
      <c r="B23" s="445"/>
      <c r="C23" s="484"/>
      <c r="D23" s="493"/>
      <c r="E23" s="494"/>
      <c r="F23" s="495"/>
      <c r="G23" s="495"/>
      <c r="H23" s="496"/>
      <c r="I23" s="535"/>
      <c r="J23" s="495"/>
      <c r="K23" s="497"/>
      <c r="L23" s="497"/>
      <c r="M23" s="498">
        <f>IF(F23="",0,(VLOOKUP('wgl tot'!F23,saltab2019juni,G23+1,FALSE)))</f>
        <v>0</v>
      </c>
      <c r="N23" s="499">
        <f t="shared" si="0"/>
        <v>0</v>
      </c>
      <c r="O23" s="484"/>
      <c r="P23" s="498">
        <f>ROUND(IF((M23+Q23)*BD23&lt;H23*tabellen!$D$33,H23*tabellen!$D$33,(M23+R23)*BD23),2)</f>
        <v>0</v>
      </c>
      <c r="Q23" s="498">
        <f t="shared" si="1"/>
        <v>0</v>
      </c>
      <c r="R23" s="498">
        <f t="shared" si="11"/>
        <v>0</v>
      </c>
      <c r="S23" s="498">
        <f t="shared" si="2"/>
        <v>0</v>
      </c>
      <c r="T23" s="498">
        <f t="shared" si="24"/>
        <v>0</v>
      </c>
      <c r="U23" s="498">
        <f>ROUND(H23*tabellen!$D$27,2)</f>
        <v>0</v>
      </c>
      <c r="V23" s="500">
        <f t="shared" si="12"/>
        <v>0</v>
      </c>
      <c r="W23" s="499">
        <f t="shared" si="13"/>
        <v>0</v>
      </c>
      <c r="X23" s="484"/>
      <c r="Y23" s="500">
        <f t="shared" si="14"/>
        <v>0</v>
      </c>
      <c r="Z23" s="501">
        <v>0</v>
      </c>
      <c r="AA23" s="484"/>
      <c r="AB23" s="498">
        <f>IF(F23="",0,(IF(V23/H23&lt;tabellen!$E$7,0,(V23-tabellen!$E$7*H23)/12)*tabellen!$C$7))</f>
        <v>0</v>
      </c>
      <c r="AC23" s="498">
        <f>IF(F23="",0,(IF(V23/H23&lt;tabellen!$E$7,0,(V23-tabellen!$E$7*H23)/12)*tabellen!$C$8))</f>
        <v>0</v>
      </c>
      <c r="AD23" s="498">
        <f>V23/12*tabellen!$C$9</f>
        <v>0</v>
      </c>
      <c r="AE23" s="498">
        <f>IF(H23=0,0,IF(BJ23&gt;tabellen!$G$10/12,$G$10/12,BJ23)*(tabellen!$C$10+tabellen!$C$11))</f>
        <v>0</v>
      </c>
      <c r="AF23" s="498">
        <f t="shared" si="3"/>
        <v>0</v>
      </c>
      <c r="AG23" s="502">
        <f>IF(F23="",0,(IF(BJ23&gt;tabellen!$G$13*H23/12,tabellen!$G$13*H23/12,BJ23*tabellen!$C$13)))</f>
        <v>0</v>
      </c>
      <c r="AH23" s="484"/>
      <c r="AI23" s="502">
        <f>IF(F23="",0,IF(K23="j",tabellen!$C$14*BJ23,0))</f>
        <v>0</v>
      </c>
      <c r="AJ23" s="502">
        <f>IF(F23="",0,IF(L23="j",tabellen!$C$15*BJ23,0))</f>
        <v>0</v>
      </c>
      <c r="AK23" s="503">
        <v>0</v>
      </c>
      <c r="AL23" s="484"/>
      <c r="AM23" s="503">
        <v>0</v>
      </c>
      <c r="AN23" s="484"/>
      <c r="AO23" s="499">
        <f t="shared" si="15"/>
        <v>0</v>
      </c>
      <c r="AP23" s="499">
        <f t="shared" si="16"/>
        <v>0</v>
      </c>
      <c r="AQ23" s="484"/>
      <c r="AR23" s="504" t="str">
        <f t="shared" si="4"/>
        <v/>
      </c>
      <c r="AS23" s="504" t="str">
        <f t="shared" si="5"/>
        <v/>
      </c>
      <c r="AT23" s="484"/>
      <c r="AU23" s="453"/>
      <c r="AV23" s="444"/>
      <c r="AW23" s="444"/>
      <c r="AX23" s="505">
        <f t="shared" ca="1" si="17"/>
        <v>120</v>
      </c>
      <c r="AY23" s="505">
        <f t="shared" ca="1" si="18"/>
        <v>1</v>
      </c>
      <c r="AZ23" s="505">
        <f t="shared" ca="1" si="19"/>
        <v>27</v>
      </c>
      <c r="BA23" s="454">
        <f t="shared" si="6"/>
        <v>100</v>
      </c>
      <c r="BB23" s="454">
        <f t="shared" si="7"/>
        <v>0</v>
      </c>
      <c r="BC23" s="480">
        <v>42583</v>
      </c>
      <c r="BD23" s="506">
        <f t="shared" si="25"/>
        <v>0.08</v>
      </c>
      <c r="BE23" s="507">
        <f>tabellen!$D$34</f>
        <v>7.3999999999999996E-2</v>
      </c>
      <c r="BF23" s="505">
        <f t="shared" si="20"/>
        <v>0</v>
      </c>
      <c r="BG23" s="508" t="e">
        <f>IF(V23/H23&lt;tabellen!$E$7,0,(V23-tabellen!$E$7*H23)/12*tabellen!$D$7)</f>
        <v>#DIV/0!</v>
      </c>
      <c r="BH23" s="508" t="e">
        <f>IF(V23/H23&lt;tabellen!$E$8,0,(V23-tabellen!$E$8*H23)/12*tabellen!$D$8)</f>
        <v>#DIV/0!</v>
      </c>
      <c r="BI23" s="509" t="e">
        <f t="shared" si="21"/>
        <v>#DIV/0!</v>
      </c>
      <c r="BJ23" s="510" t="e">
        <f>+W23/12-'[1]wgl tot'!BL23</f>
        <v>#DIV/0!</v>
      </c>
      <c r="BK23" s="510" t="e">
        <f>ROUND(IF('[1]wgl tot'!BM23&gt;[1]tabellen!$H$11,[1]tabellen!$H$11,'[1]wgl tot'!BM23)*[1]tabellen!$C$11,2)</f>
        <v>#DIV/0!</v>
      </c>
      <c r="BL23" s="510" t="e">
        <f>+'[1]wgl tot'!BM23+'[1]wgl tot'!BN23</f>
        <v>#DIV/0!</v>
      </c>
      <c r="BM23" s="511">
        <f t="shared" si="8"/>
        <v>1900</v>
      </c>
      <c r="BN23" s="511">
        <f t="shared" si="9"/>
        <v>1</v>
      </c>
      <c r="BO23" s="505">
        <f t="shared" si="10"/>
        <v>0</v>
      </c>
      <c r="BP23" s="480">
        <f t="shared" si="22"/>
        <v>22462</v>
      </c>
      <c r="BQ23" s="480">
        <f t="shared" ca="1" si="23"/>
        <v>43888.768521180558</v>
      </c>
      <c r="BR23" s="454"/>
      <c r="BS23" s="480"/>
      <c r="BT23" s="454"/>
      <c r="BU23" s="512"/>
      <c r="BV23" s="512"/>
      <c r="BW23" s="512"/>
      <c r="BX23" s="512"/>
      <c r="BY23" s="512"/>
      <c r="BZ23" s="512"/>
      <c r="CA23" s="444"/>
      <c r="CB23" s="444"/>
    </row>
    <row r="24" spans="1:80" s="456" customFormat="1" ht="12" customHeight="1" x14ac:dyDescent="0.2">
      <c r="A24" s="444"/>
      <c r="B24" s="445"/>
      <c r="C24" s="484"/>
      <c r="D24" s="493"/>
      <c r="E24" s="494"/>
      <c r="F24" s="495"/>
      <c r="G24" s="495"/>
      <c r="H24" s="496"/>
      <c r="I24" s="535"/>
      <c r="J24" s="495"/>
      <c r="K24" s="497"/>
      <c r="L24" s="497"/>
      <c r="M24" s="498">
        <f>IF(F24="",0,(VLOOKUP('wgl tot'!F24,saltab2019juni,G24+1,FALSE)))</f>
        <v>0</v>
      </c>
      <c r="N24" s="499">
        <f t="shared" si="0"/>
        <v>0</v>
      </c>
      <c r="O24" s="484"/>
      <c r="P24" s="498">
        <f>ROUND(IF((M24+Q24)*BD24&lt;H24*tabellen!$D$33,H24*tabellen!$D$33,(M24+R24)*BD24),2)</f>
        <v>0</v>
      </c>
      <c r="Q24" s="498">
        <f t="shared" si="1"/>
        <v>0</v>
      </c>
      <c r="R24" s="498">
        <f t="shared" si="11"/>
        <v>0</v>
      </c>
      <c r="S24" s="498">
        <f t="shared" si="2"/>
        <v>0</v>
      </c>
      <c r="T24" s="498">
        <f t="shared" si="24"/>
        <v>0</v>
      </c>
      <c r="U24" s="498">
        <f>ROUND(H24*tabellen!$D$27,2)</f>
        <v>0</v>
      </c>
      <c r="V24" s="500">
        <f t="shared" si="12"/>
        <v>0</v>
      </c>
      <c r="W24" s="499">
        <f t="shared" si="13"/>
        <v>0</v>
      </c>
      <c r="X24" s="484"/>
      <c r="Y24" s="500">
        <f t="shared" si="14"/>
        <v>0</v>
      </c>
      <c r="Z24" s="501">
        <v>0</v>
      </c>
      <c r="AA24" s="484"/>
      <c r="AB24" s="498">
        <f>IF(F24="",0,(IF(V24/H24&lt;tabellen!$E$7,0,(V24-tabellen!$E$7*H24)/12)*tabellen!$C$7))</f>
        <v>0</v>
      </c>
      <c r="AC24" s="498">
        <f>IF(F24="",0,(IF(V24/H24&lt;tabellen!$E$7,0,(V24-tabellen!$E$7*H24)/12)*tabellen!$C$8))</f>
        <v>0</v>
      </c>
      <c r="AD24" s="498">
        <f>V24/12*tabellen!$C$9</f>
        <v>0</v>
      </c>
      <c r="AE24" s="498">
        <f>IF(H24=0,0,IF(BJ24&gt;tabellen!$G$10/12,$G$10/12,BJ24)*(tabellen!$C$10+tabellen!$C$11))</f>
        <v>0</v>
      </c>
      <c r="AF24" s="498">
        <f t="shared" si="3"/>
        <v>0</v>
      </c>
      <c r="AG24" s="502">
        <f>IF(F24="",0,(IF(BJ24&gt;tabellen!$G$13*H24/12,tabellen!$G$13*H24/12,BJ24*tabellen!$C$13)))</f>
        <v>0</v>
      </c>
      <c r="AH24" s="484"/>
      <c r="AI24" s="502">
        <f>IF(F24="",0,IF(K24="j",tabellen!$C$14*BJ24,0))</f>
        <v>0</v>
      </c>
      <c r="AJ24" s="502">
        <f>IF(F24="",0,IF(L24="j",tabellen!$C$15*BJ24,0))</f>
        <v>0</v>
      </c>
      <c r="AK24" s="503">
        <v>0</v>
      </c>
      <c r="AL24" s="484"/>
      <c r="AM24" s="503">
        <v>0</v>
      </c>
      <c r="AN24" s="484"/>
      <c r="AO24" s="499">
        <f t="shared" si="15"/>
        <v>0</v>
      </c>
      <c r="AP24" s="499">
        <f t="shared" si="16"/>
        <v>0</v>
      </c>
      <c r="AQ24" s="484"/>
      <c r="AR24" s="504" t="str">
        <f t="shared" si="4"/>
        <v/>
      </c>
      <c r="AS24" s="504" t="str">
        <f t="shared" si="5"/>
        <v/>
      </c>
      <c r="AT24" s="484"/>
      <c r="AU24" s="453"/>
      <c r="AV24" s="444"/>
      <c r="AW24" s="444"/>
      <c r="AX24" s="505">
        <f t="shared" ca="1" si="17"/>
        <v>120</v>
      </c>
      <c r="AY24" s="505">
        <f t="shared" ca="1" si="18"/>
        <v>1</v>
      </c>
      <c r="AZ24" s="505">
        <f t="shared" ca="1" si="19"/>
        <v>27</v>
      </c>
      <c r="BA24" s="454">
        <f t="shared" si="6"/>
        <v>100</v>
      </c>
      <c r="BB24" s="454">
        <f t="shared" si="7"/>
        <v>0</v>
      </c>
      <c r="BC24" s="480">
        <v>42583</v>
      </c>
      <c r="BD24" s="506">
        <f t="shared" si="25"/>
        <v>0.08</v>
      </c>
      <c r="BE24" s="507">
        <f>tabellen!$D$34</f>
        <v>7.3999999999999996E-2</v>
      </c>
      <c r="BF24" s="505">
        <f t="shared" si="20"/>
        <v>0</v>
      </c>
      <c r="BG24" s="508" t="e">
        <f>IF(V24/H24&lt;tabellen!$E$7,0,(V24-tabellen!$E$7*H24)/12*tabellen!$D$7)</f>
        <v>#DIV/0!</v>
      </c>
      <c r="BH24" s="508" t="e">
        <f>IF(V24/H24&lt;tabellen!$E$8,0,(V24-tabellen!$E$8*H24)/12*tabellen!$D$8)</f>
        <v>#DIV/0!</v>
      </c>
      <c r="BI24" s="509" t="e">
        <f t="shared" si="21"/>
        <v>#DIV/0!</v>
      </c>
      <c r="BJ24" s="510" t="e">
        <f>+W24/12-'[1]wgl tot'!BL24</f>
        <v>#DIV/0!</v>
      </c>
      <c r="BK24" s="510" t="e">
        <f>ROUND(IF('[1]wgl tot'!BM24&gt;[1]tabellen!$H$11,[1]tabellen!$H$11,'[1]wgl tot'!BM24)*[1]tabellen!$C$11,2)</f>
        <v>#DIV/0!</v>
      </c>
      <c r="BL24" s="510" t="e">
        <f>+'[1]wgl tot'!BM24+'[1]wgl tot'!BN24</f>
        <v>#DIV/0!</v>
      </c>
      <c r="BM24" s="511">
        <f t="shared" si="8"/>
        <v>1900</v>
      </c>
      <c r="BN24" s="511">
        <f t="shared" si="9"/>
        <v>1</v>
      </c>
      <c r="BO24" s="505">
        <f t="shared" si="10"/>
        <v>0</v>
      </c>
      <c r="BP24" s="480">
        <f t="shared" si="22"/>
        <v>22462</v>
      </c>
      <c r="BQ24" s="480">
        <f t="shared" ca="1" si="23"/>
        <v>43888.768521180558</v>
      </c>
      <c r="BR24" s="454"/>
      <c r="BS24" s="480"/>
      <c r="BT24" s="454"/>
      <c r="BU24" s="512"/>
      <c r="BV24" s="512"/>
      <c r="BW24" s="512"/>
      <c r="BX24" s="512"/>
      <c r="BY24" s="512"/>
      <c r="BZ24" s="512"/>
      <c r="CA24" s="444"/>
      <c r="CB24" s="444"/>
    </row>
    <row r="25" spans="1:80" s="456" customFormat="1" ht="12" customHeight="1" x14ac:dyDescent="0.2">
      <c r="A25" s="444"/>
      <c r="B25" s="445"/>
      <c r="C25" s="484"/>
      <c r="D25" s="493"/>
      <c r="E25" s="494"/>
      <c r="F25" s="495"/>
      <c r="G25" s="495"/>
      <c r="H25" s="496"/>
      <c r="I25" s="535"/>
      <c r="J25" s="495"/>
      <c r="K25" s="497"/>
      <c r="L25" s="497"/>
      <c r="M25" s="498">
        <f>IF(F25="",0,(VLOOKUP('wgl tot'!F25,saltab2019juni,G25+1,FALSE)))</f>
        <v>0</v>
      </c>
      <c r="N25" s="499">
        <f t="shared" si="0"/>
        <v>0</v>
      </c>
      <c r="O25" s="484"/>
      <c r="P25" s="498">
        <f>ROUND(IF((M25+Q25)*BD25&lt;H25*tabellen!$D$33,H25*tabellen!$D$33,(M25+R25)*BD25),2)</f>
        <v>0</v>
      </c>
      <c r="Q25" s="498">
        <f t="shared" si="1"/>
        <v>0</v>
      </c>
      <c r="R25" s="498">
        <f t="shared" si="11"/>
        <v>0</v>
      </c>
      <c r="S25" s="498">
        <f t="shared" si="2"/>
        <v>0</v>
      </c>
      <c r="T25" s="498">
        <f t="shared" si="24"/>
        <v>0</v>
      </c>
      <c r="U25" s="498">
        <f>ROUND(H25*tabellen!$D$27,2)</f>
        <v>0</v>
      </c>
      <c r="V25" s="500">
        <f t="shared" si="12"/>
        <v>0</v>
      </c>
      <c r="W25" s="499">
        <f t="shared" si="13"/>
        <v>0</v>
      </c>
      <c r="X25" s="484"/>
      <c r="Y25" s="500">
        <f t="shared" si="14"/>
        <v>0</v>
      </c>
      <c r="Z25" s="501">
        <v>0</v>
      </c>
      <c r="AA25" s="484"/>
      <c r="AB25" s="498">
        <f>IF(F25="",0,(IF(V25/H25&lt;tabellen!$E$7,0,(V25-tabellen!$E$7*H25)/12)*tabellen!$C$7))</f>
        <v>0</v>
      </c>
      <c r="AC25" s="498">
        <f>IF(F25="",0,(IF(V25/H25&lt;tabellen!$E$7,0,(V25-tabellen!$E$7*H25)/12)*tabellen!$C$8))</f>
        <v>0</v>
      </c>
      <c r="AD25" s="498">
        <f>V25/12*tabellen!$C$9</f>
        <v>0</v>
      </c>
      <c r="AE25" s="498">
        <f>IF(H25=0,0,IF(BJ25&gt;tabellen!$G$10/12,$G$10/12,BJ25)*(tabellen!$C$10+tabellen!$C$11))</f>
        <v>0</v>
      </c>
      <c r="AF25" s="498">
        <f t="shared" si="3"/>
        <v>0</v>
      </c>
      <c r="AG25" s="502">
        <f>IF(F25="",0,(IF(BJ25&gt;tabellen!$G$13*H25/12,tabellen!$G$13*H25/12,BJ25*tabellen!$C$13)))</f>
        <v>0</v>
      </c>
      <c r="AH25" s="484"/>
      <c r="AI25" s="502">
        <f>IF(F25="",0,IF(K25="j",tabellen!$C$14*BJ25,0))</f>
        <v>0</v>
      </c>
      <c r="AJ25" s="502">
        <f>IF(F25="",0,IF(L25="j",tabellen!$C$15*BJ25,0))</f>
        <v>0</v>
      </c>
      <c r="AK25" s="503">
        <v>0</v>
      </c>
      <c r="AL25" s="484"/>
      <c r="AM25" s="503">
        <v>0</v>
      </c>
      <c r="AN25" s="484"/>
      <c r="AO25" s="499">
        <f t="shared" si="15"/>
        <v>0</v>
      </c>
      <c r="AP25" s="499">
        <f t="shared" si="16"/>
        <v>0</v>
      </c>
      <c r="AQ25" s="484"/>
      <c r="AR25" s="504" t="str">
        <f t="shared" si="4"/>
        <v/>
      </c>
      <c r="AS25" s="504" t="str">
        <f t="shared" si="5"/>
        <v/>
      </c>
      <c r="AT25" s="484"/>
      <c r="AU25" s="453"/>
      <c r="AV25" s="444"/>
      <c r="AW25" s="444"/>
      <c r="AX25" s="505">
        <f t="shared" ca="1" si="17"/>
        <v>120</v>
      </c>
      <c r="AY25" s="505">
        <f t="shared" ca="1" si="18"/>
        <v>1</v>
      </c>
      <c r="AZ25" s="505">
        <f t="shared" ca="1" si="19"/>
        <v>27</v>
      </c>
      <c r="BA25" s="454">
        <f t="shared" si="6"/>
        <v>100</v>
      </c>
      <c r="BB25" s="454">
        <f t="shared" si="7"/>
        <v>0</v>
      </c>
      <c r="BC25" s="480">
        <v>42583</v>
      </c>
      <c r="BD25" s="506">
        <f t="shared" si="25"/>
        <v>0.08</v>
      </c>
      <c r="BE25" s="507">
        <f>tabellen!$D$34</f>
        <v>7.3999999999999996E-2</v>
      </c>
      <c r="BF25" s="505">
        <f t="shared" si="20"/>
        <v>0</v>
      </c>
      <c r="BG25" s="508" t="e">
        <f>IF(V25/H25&lt;tabellen!$E$7,0,(V25-tabellen!$E$7*H25)/12*tabellen!$D$7)</f>
        <v>#DIV/0!</v>
      </c>
      <c r="BH25" s="508" t="e">
        <f>IF(V25/H25&lt;tabellen!$E$8,0,(V25-tabellen!$E$8*H25)/12*tabellen!$D$8)</f>
        <v>#DIV/0!</v>
      </c>
      <c r="BI25" s="509" t="e">
        <f t="shared" si="21"/>
        <v>#DIV/0!</v>
      </c>
      <c r="BJ25" s="510" t="e">
        <f>+W25/12-'[1]wgl tot'!BL25</f>
        <v>#DIV/0!</v>
      </c>
      <c r="BK25" s="510" t="e">
        <f>ROUND(IF('[1]wgl tot'!BM25&gt;[1]tabellen!$H$11,[1]tabellen!$H$11,'[1]wgl tot'!BM25)*[1]tabellen!$C$11,2)</f>
        <v>#DIV/0!</v>
      </c>
      <c r="BL25" s="510" t="e">
        <f>+'[1]wgl tot'!BM25+'[1]wgl tot'!BN25</f>
        <v>#DIV/0!</v>
      </c>
      <c r="BM25" s="511">
        <f t="shared" si="8"/>
        <v>1900</v>
      </c>
      <c r="BN25" s="511">
        <f t="shared" si="9"/>
        <v>1</v>
      </c>
      <c r="BO25" s="505">
        <f t="shared" si="10"/>
        <v>0</v>
      </c>
      <c r="BP25" s="480">
        <f t="shared" si="22"/>
        <v>22462</v>
      </c>
      <c r="BQ25" s="480">
        <f t="shared" ca="1" si="23"/>
        <v>43888.768521180558</v>
      </c>
      <c r="BR25" s="454"/>
      <c r="BS25" s="480"/>
      <c r="BT25" s="454"/>
      <c r="BU25" s="512"/>
      <c r="BV25" s="512"/>
      <c r="BW25" s="512"/>
      <c r="BX25" s="512"/>
      <c r="BY25" s="512"/>
      <c r="BZ25" s="512"/>
      <c r="CA25" s="444"/>
      <c r="CB25" s="444"/>
    </row>
    <row r="26" spans="1:80" s="456" customFormat="1" ht="12" customHeight="1" x14ac:dyDescent="0.2">
      <c r="A26" s="444"/>
      <c r="B26" s="445"/>
      <c r="C26" s="484"/>
      <c r="D26" s="493"/>
      <c r="E26" s="494"/>
      <c r="F26" s="495"/>
      <c r="G26" s="495"/>
      <c r="H26" s="496"/>
      <c r="I26" s="535"/>
      <c r="J26" s="495"/>
      <c r="K26" s="497"/>
      <c r="L26" s="497"/>
      <c r="M26" s="498">
        <f>IF(F26="",0,(VLOOKUP('wgl tot'!F26,saltab2019juni,G26+1,FALSE)))</f>
        <v>0</v>
      </c>
      <c r="N26" s="499">
        <f t="shared" si="0"/>
        <v>0</v>
      </c>
      <c r="O26" s="484"/>
      <c r="P26" s="498">
        <f>ROUND(IF((M26+Q26)*BD26&lt;H26*tabellen!$D$33,H26*tabellen!$D$33,(M26+R26)*BD26),2)</f>
        <v>0</v>
      </c>
      <c r="Q26" s="498">
        <f t="shared" si="1"/>
        <v>0</v>
      </c>
      <c r="R26" s="498">
        <f t="shared" si="11"/>
        <v>0</v>
      </c>
      <c r="S26" s="498">
        <f t="shared" si="2"/>
        <v>0</v>
      </c>
      <c r="T26" s="498">
        <f t="shared" si="24"/>
        <v>0</v>
      </c>
      <c r="U26" s="498">
        <f>ROUND(H26*tabellen!$D$27,2)</f>
        <v>0</v>
      </c>
      <c r="V26" s="500">
        <f t="shared" si="12"/>
        <v>0</v>
      </c>
      <c r="W26" s="499">
        <f t="shared" si="13"/>
        <v>0</v>
      </c>
      <c r="X26" s="484"/>
      <c r="Y26" s="500">
        <f t="shared" si="14"/>
        <v>0</v>
      </c>
      <c r="Z26" s="501">
        <v>0</v>
      </c>
      <c r="AA26" s="484"/>
      <c r="AB26" s="498">
        <f>IF(F26="",0,(IF(V26/H26&lt;tabellen!$E$7,0,(V26-tabellen!$E$7*H26)/12)*tabellen!$C$7))</f>
        <v>0</v>
      </c>
      <c r="AC26" s="498">
        <f>IF(F26="",0,(IF(V26/H26&lt;tabellen!$E$7,0,(V26-tabellen!$E$7*H26)/12)*tabellen!$C$8))</f>
        <v>0</v>
      </c>
      <c r="AD26" s="498">
        <f>V26/12*tabellen!$C$9</f>
        <v>0</v>
      </c>
      <c r="AE26" s="498">
        <f>IF(H26=0,0,IF(BJ26&gt;tabellen!$G$10/12,$G$10/12,BJ26)*(tabellen!$C$10+tabellen!$C$11))</f>
        <v>0</v>
      </c>
      <c r="AF26" s="498">
        <f t="shared" si="3"/>
        <v>0</v>
      </c>
      <c r="AG26" s="502">
        <f>IF(F26="",0,(IF(BJ26&gt;tabellen!$G$13*H26/12,tabellen!$G$13*H26/12,BJ26*tabellen!$C$13)))</f>
        <v>0</v>
      </c>
      <c r="AH26" s="484"/>
      <c r="AI26" s="502">
        <f>IF(F26="",0,IF(K26="j",tabellen!$C$14*BJ26,0))</f>
        <v>0</v>
      </c>
      <c r="AJ26" s="502">
        <f>IF(F26="",0,IF(L26="j",tabellen!$C$15*BJ26,0))</f>
        <v>0</v>
      </c>
      <c r="AK26" s="503">
        <v>0</v>
      </c>
      <c r="AL26" s="484"/>
      <c r="AM26" s="503">
        <v>0</v>
      </c>
      <c r="AN26" s="484"/>
      <c r="AO26" s="499">
        <f t="shared" si="15"/>
        <v>0</v>
      </c>
      <c r="AP26" s="499">
        <f t="shared" si="16"/>
        <v>0</v>
      </c>
      <c r="AQ26" s="484"/>
      <c r="AR26" s="504" t="str">
        <f t="shared" si="4"/>
        <v/>
      </c>
      <c r="AS26" s="504" t="str">
        <f t="shared" si="5"/>
        <v/>
      </c>
      <c r="AT26" s="484"/>
      <c r="AU26" s="453"/>
      <c r="AV26" s="444"/>
      <c r="AW26" s="444"/>
      <c r="AX26" s="505">
        <f t="shared" ca="1" si="17"/>
        <v>120</v>
      </c>
      <c r="AY26" s="505">
        <f t="shared" ca="1" si="18"/>
        <v>1</v>
      </c>
      <c r="AZ26" s="505">
        <f t="shared" ca="1" si="19"/>
        <v>27</v>
      </c>
      <c r="BA26" s="454">
        <f t="shared" si="6"/>
        <v>100</v>
      </c>
      <c r="BB26" s="454">
        <f t="shared" si="7"/>
        <v>0</v>
      </c>
      <c r="BC26" s="480">
        <v>42583</v>
      </c>
      <c r="BD26" s="506">
        <f t="shared" si="25"/>
        <v>0.08</v>
      </c>
      <c r="BE26" s="507">
        <f>tabellen!$D$34</f>
        <v>7.3999999999999996E-2</v>
      </c>
      <c r="BF26" s="505">
        <f t="shared" si="20"/>
        <v>0</v>
      </c>
      <c r="BG26" s="508" t="e">
        <f>IF(V26/H26&lt;tabellen!$E$7,0,(V26-tabellen!$E$7*H26)/12*tabellen!$D$7)</f>
        <v>#DIV/0!</v>
      </c>
      <c r="BH26" s="508" t="e">
        <f>IF(V26/H26&lt;tabellen!$E$8,0,(V26-tabellen!$E$8*H26)/12*tabellen!$D$8)</f>
        <v>#DIV/0!</v>
      </c>
      <c r="BI26" s="509" t="e">
        <f t="shared" si="21"/>
        <v>#DIV/0!</v>
      </c>
      <c r="BJ26" s="510" t="e">
        <f>+W26/12-'[1]wgl tot'!BL26</f>
        <v>#DIV/0!</v>
      </c>
      <c r="BK26" s="510" t="e">
        <f>ROUND(IF('[1]wgl tot'!BM26&gt;[1]tabellen!$H$11,[1]tabellen!$H$11,'[1]wgl tot'!BM26)*[1]tabellen!$C$11,2)</f>
        <v>#DIV/0!</v>
      </c>
      <c r="BL26" s="510" t="e">
        <f>+'[1]wgl tot'!BM26+'[1]wgl tot'!BN26</f>
        <v>#DIV/0!</v>
      </c>
      <c r="BM26" s="511">
        <f t="shared" si="8"/>
        <v>1900</v>
      </c>
      <c r="BN26" s="511">
        <f t="shared" si="9"/>
        <v>1</v>
      </c>
      <c r="BO26" s="505">
        <f t="shared" si="10"/>
        <v>0</v>
      </c>
      <c r="BP26" s="480">
        <f t="shared" si="22"/>
        <v>22462</v>
      </c>
      <c r="BQ26" s="480">
        <f t="shared" ca="1" si="23"/>
        <v>43888.768521180558</v>
      </c>
      <c r="BR26" s="454"/>
      <c r="BS26" s="480"/>
      <c r="BT26" s="454"/>
      <c r="BU26" s="512"/>
      <c r="BV26" s="512"/>
      <c r="BW26" s="512"/>
      <c r="BX26" s="512"/>
      <c r="BY26" s="512"/>
      <c r="BZ26" s="512"/>
      <c r="CA26" s="444"/>
      <c r="CB26" s="444"/>
    </row>
    <row r="27" spans="1:80" s="456" customFormat="1" ht="12" customHeight="1" x14ac:dyDescent="0.2">
      <c r="A27" s="444"/>
      <c r="B27" s="445"/>
      <c r="C27" s="484"/>
      <c r="D27" s="493"/>
      <c r="E27" s="494"/>
      <c r="F27" s="495"/>
      <c r="G27" s="495"/>
      <c r="H27" s="496"/>
      <c r="I27" s="535"/>
      <c r="J27" s="495"/>
      <c r="K27" s="497"/>
      <c r="L27" s="497"/>
      <c r="M27" s="498">
        <f>IF(F27="",0,(VLOOKUP('wgl tot'!F27,saltab2019juni,G27+1,FALSE)))</f>
        <v>0</v>
      </c>
      <c r="N27" s="499">
        <f t="shared" si="0"/>
        <v>0</v>
      </c>
      <c r="O27" s="484"/>
      <c r="P27" s="498">
        <f>ROUND(IF((M27+Q27)*BD27&lt;H27*tabellen!$D$33,H27*tabellen!$D$33,(M27+R27)*BD27),2)</f>
        <v>0</v>
      </c>
      <c r="Q27" s="498">
        <f t="shared" si="1"/>
        <v>0</v>
      </c>
      <c r="R27" s="498">
        <f t="shared" si="11"/>
        <v>0</v>
      </c>
      <c r="S27" s="498">
        <f t="shared" si="2"/>
        <v>0</v>
      </c>
      <c r="T27" s="498">
        <f t="shared" si="24"/>
        <v>0</v>
      </c>
      <c r="U27" s="498">
        <f>ROUND(H27*tabellen!$D$27,2)</f>
        <v>0</v>
      </c>
      <c r="V27" s="500">
        <f t="shared" si="12"/>
        <v>0</v>
      </c>
      <c r="W27" s="499">
        <f t="shared" si="13"/>
        <v>0</v>
      </c>
      <c r="X27" s="484"/>
      <c r="Y27" s="500">
        <f t="shared" si="14"/>
        <v>0</v>
      </c>
      <c r="Z27" s="501">
        <v>0</v>
      </c>
      <c r="AA27" s="484"/>
      <c r="AB27" s="498">
        <f>IF(F27="",0,(IF(V27/H27&lt;tabellen!$E$7,0,(V27-tabellen!$E$7*H27)/12)*tabellen!$C$7))</f>
        <v>0</v>
      </c>
      <c r="AC27" s="498">
        <f>IF(F27="",0,(IF(V27/H27&lt;tabellen!$E$7,0,(V27-tabellen!$E$7*H27)/12)*tabellen!$C$8))</f>
        <v>0</v>
      </c>
      <c r="AD27" s="498">
        <f>V27/12*tabellen!$C$9</f>
        <v>0</v>
      </c>
      <c r="AE27" s="498">
        <f>IF(H27=0,0,IF(BJ27&gt;tabellen!$G$10/12,$G$10/12,BJ27)*(tabellen!$C$10+tabellen!$C$11))</f>
        <v>0</v>
      </c>
      <c r="AF27" s="498">
        <f t="shared" si="3"/>
        <v>0</v>
      </c>
      <c r="AG27" s="502">
        <f>IF(F27="",0,(IF(BJ27&gt;tabellen!$G$13*H27/12,tabellen!$G$13*H27/12,BJ27*tabellen!$C$13)))</f>
        <v>0</v>
      </c>
      <c r="AH27" s="484"/>
      <c r="AI27" s="502">
        <f>IF(F27="",0,IF(K27="j",tabellen!$C$14*BJ27,0))</f>
        <v>0</v>
      </c>
      <c r="AJ27" s="502">
        <f>IF(F27="",0,IF(L27="j",tabellen!$C$15*BJ27,0))</f>
        <v>0</v>
      </c>
      <c r="AK27" s="503">
        <v>0</v>
      </c>
      <c r="AL27" s="484"/>
      <c r="AM27" s="503">
        <v>0</v>
      </c>
      <c r="AN27" s="484"/>
      <c r="AO27" s="499">
        <f t="shared" si="15"/>
        <v>0</v>
      </c>
      <c r="AP27" s="499">
        <f t="shared" si="16"/>
        <v>0</v>
      </c>
      <c r="AQ27" s="484"/>
      <c r="AR27" s="504" t="str">
        <f t="shared" si="4"/>
        <v/>
      </c>
      <c r="AS27" s="504" t="str">
        <f t="shared" si="5"/>
        <v/>
      </c>
      <c r="AT27" s="484"/>
      <c r="AU27" s="453"/>
      <c r="AV27" s="444"/>
      <c r="AW27" s="444"/>
      <c r="AX27" s="505">
        <f t="shared" ca="1" si="17"/>
        <v>120</v>
      </c>
      <c r="AY27" s="505">
        <f t="shared" ca="1" si="18"/>
        <v>1</v>
      </c>
      <c r="AZ27" s="505">
        <f t="shared" ca="1" si="19"/>
        <v>27</v>
      </c>
      <c r="BA27" s="454">
        <f t="shared" si="6"/>
        <v>100</v>
      </c>
      <c r="BB27" s="454">
        <f t="shared" si="7"/>
        <v>0</v>
      </c>
      <c r="BC27" s="480">
        <v>42583</v>
      </c>
      <c r="BD27" s="506">
        <f t="shared" si="25"/>
        <v>0.08</v>
      </c>
      <c r="BE27" s="507">
        <f>tabellen!$D$34</f>
        <v>7.3999999999999996E-2</v>
      </c>
      <c r="BF27" s="505">
        <f t="shared" si="20"/>
        <v>0</v>
      </c>
      <c r="BG27" s="508" t="e">
        <f>IF(V27/H27&lt;tabellen!$E$7,0,(V27-tabellen!$E$7*H27)/12*tabellen!$D$7)</f>
        <v>#DIV/0!</v>
      </c>
      <c r="BH27" s="508" t="e">
        <f>IF(V27/H27&lt;tabellen!$E$8,0,(V27-tabellen!$E$8*H27)/12*tabellen!$D$8)</f>
        <v>#DIV/0!</v>
      </c>
      <c r="BI27" s="509" t="e">
        <f t="shared" si="21"/>
        <v>#DIV/0!</v>
      </c>
      <c r="BJ27" s="510" t="e">
        <f>+W27/12-'[1]wgl tot'!BL27</f>
        <v>#DIV/0!</v>
      </c>
      <c r="BK27" s="510" t="e">
        <f>ROUND(IF('[1]wgl tot'!BM27&gt;[1]tabellen!$H$11,[1]tabellen!$H$11,'[1]wgl tot'!BM27)*[1]tabellen!$C$11,2)</f>
        <v>#DIV/0!</v>
      </c>
      <c r="BL27" s="510" t="e">
        <f>+'[1]wgl tot'!BM27+'[1]wgl tot'!BN27</f>
        <v>#DIV/0!</v>
      </c>
      <c r="BM27" s="511">
        <f t="shared" si="8"/>
        <v>1900</v>
      </c>
      <c r="BN27" s="511">
        <f t="shared" si="9"/>
        <v>1</v>
      </c>
      <c r="BO27" s="505">
        <f t="shared" si="10"/>
        <v>0</v>
      </c>
      <c r="BP27" s="480">
        <f t="shared" si="22"/>
        <v>22462</v>
      </c>
      <c r="BQ27" s="480">
        <f t="shared" ca="1" si="23"/>
        <v>43888.768521180558</v>
      </c>
      <c r="BR27" s="454"/>
      <c r="BS27" s="480"/>
      <c r="BT27" s="454"/>
      <c r="BU27" s="512"/>
      <c r="BV27" s="512"/>
      <c r="BW27" s="512"/>
      <c r="BX27" s="512"/>
      <c r="BY27" s="512"/>
      <c r="BZ27" s="512"/>
      <c r="CA27" s="444"/>
      <c r="CB27" s="444"/>
    </row>
    <row r="28" spans="1:80" s="456" customFormat="1" ht="12" customHeight="1" x14ac:dyDescent="0.2">
      <c r="A28" s="444"/>
      <c r="B28" s="445"/>
      <c r="C28" s="484"/>
      <c r="D28" s="493"/>
      <c r="E28" s="494"/>
      <c r="F28" s="495"/>
      <c r="G28" s="495"/>
      <c r="H28" s="496"/>
      <c r="I28" s="535"/>
      <c r="J28" s="495"/>
      <c r="K28" s="497"/>
      <c r="L28" s="497"/>
      <c r="M28" s="498">
        <f>IF(F28="",0,(VLOOKUP('wgl tot'!F28,saltab2019juni,G28+1,FALSE)))</f>
        <v>0</v>
      </c>
      <c r="N28" s="499">
        <f t="shared" si="0"/>
        <v>0</v>
      </c>
      <c r="O28" s="484"/>
      <c r="P28" s="498">
        <f>ROUND(IF((M28+Q28)*BD28&lt;H28*tabellen!$D$33,H28*tabellen!$D$33,(M28+R28)*BD28),2)</f>
        <v>0</v>
      </c>
      <c r="Q28" s="498">
        <f t="shared" si="1"/>
        <v>0</v>
      </c>
      <c r="R28" s="498">
        <f t="shared" si="11"/>
        <v>0</v>
      </c>
      <c r="S28" s="498">
        <f t="shared" si="2"/>
        <v>0</v>
      </c>
      <c r="T28" s="498">
        <f t="shared" si="24"/>
        <v>0</v>
      </c>
      <c r="U28" s="498">
        <f>ROUND(H28*tabellen!$D$27,2)</f>
        <v>0</v>
      </c>
      <c r="V28" s="500">
        <f t="shared" si="12"/>
        <v>0</v>
      </c>
      <c r="W28" s="499">
        <f t="shared" si="13"/>
        <v>0</v>
      </c>
      <c r="X28" s="484"/>
      <c r="Y28" s="500">
        <f t="shared" si="14"/>
        <v>0</v>
      </c>
      <c r="Z28" s="501">
        <v>0</v>
      </c>
      <c r="AA28" s="484"/>
      <c r="AB28" s="498">
        <f>IF(F28="",0,(IF(V28/H28&lt;tabellen!$E$7,0,(V28-tabellen!$E$7*H28)/12)*tabellen!$C$7))</f>
        <v>0</v>
      </c>
      <c r="AC28" s="498">
        <f>IF(F28="",0,(IF(V28/H28&lt;tabellen!$E$7,0,(V28-tabellen!$E$7*H28)/12)*tabellen!$C$8))</f>
        <v>0</v>
      </c>
      <c r="AD28" s="498">
        <f>V28/12*tabellen!$C$9</f>
        <v>0</v>
      </c>
      <c r="AE28" s="498">
        <f>IF(H28=0,0,IF(BJ28&gt;tabellen!$G$10/12,$G$10/12,BJ28)*(tabellen!$C$10+tabellen!$C$11))</f>
        <v>0</v>
      </c>
      <c r="AF28" s="498">
        <f t="shared" si="3"/>
        <v>0</v>
      </c>
      <c r="AG28" s="502">
        <f>IF(F28="",0,(IF(BJ28&gt;tabellen!$G$13*H28/12,tabellen!$G$13*H28/12,BJ28*tabellen!$C$13)))</f>
        <v>0</v>
      </c>
      <c r="AH28" s="484"/>
      <c r="AI28" s="502">
        <f>IF(F28="",0,IF(K28="j",tabellen!$C$14*BJ28,0))</f>
        <v>0</v>
      </c>
      <c r="AJ28" s="502">
        <f>IF(F28="",0,IF(L28="j",tabellen!$C$15*BJ28,0))</f>
        <v>0</v>
      </c>
      <c r="AK28" s="503">
        <v>0</v>
      </c>
      <c r="AL28" s="484"/>
      <c r="AM28" s="503">
        <v>0</v>
      </c>
      <c r="AN28" s="484"/>
      <c r="AO28" s="499">
        <f t="shared" si="15"/>
        <v>0</v>
      </c>
      <c r="AP28" s="499">
        <f t="shared" si="16"/>
        <v>0</v>
      </c>
      <c r="AQ28" s="484"/>
      <c r="AR28" s="504" t="str">
        <f t="shared" si="4"/>
        <v/>
      </c>
      <c r="AS28" s="504" t="str">
        <f t="shared" si="5"/>
        <v/>
      </c>
      <c r="AT28" s="484"/>
      <c r="AU28" s="453"/>
      <c r="AV28" s="444"/>
      <c r="AW28" s="444"/>
      <c r="AX28" s="505">
        <f t="shared" ca="1" si="17"/>
        <v>120</v>
      </c>
      <c r="AY28" s="505">
        <f t="shared" ca="1" si="18"/>
        <v>1</v>
      </c>
      <c r="AZ28" s="505">
        <f t="shared" ca="1" si="19"/>
        <v>27</v>
      </c>
      <c r="BA28" s="454">
        <f t="shared" si="6"/>
        <v>100</v>
      </c>
      <c r="BB28" s="454">
        <f t="shared" si="7"/>
        <v>0</v>
      </c>
      <c r="BC28" s="480">
        <v>42583</v>
      </c>
      <c r="BD28" s="506">
        <f t="shared" si="25"/>
        <v>0.08</v>
      </c>
      <c r="BE28" s="507">
        <f>tabellen!$D$34</f>
        <v>7.3999999999999996E-2</v>
      </c>
      <c r="BF28" s="505">
        <f t="shared" si="20"/>
        <v>0</v>
      </c>
      <c r="BG28" s="508" t="e">
        <f>IF(V28/H28&lt;tabellen!$E$7,0,(V28-tabellen!$E$7*H28)/12*tabellen!$D$7)</f>
        <v>#DIV/0!</v>
      </c>
      <c r="BH28" s="508" t="e">
        <f>IF(V28/H28&lt;tabellen!$E$8,0,(V28-tabellen!$E$8*H28)/12*tabellen!$D$8)</f>
        <v>#DIV/0!</v>
      </c>
      <c r="BI28" s="509" t="e">
        <f t="shared" si="21"/>
        <v>#DIV/0!</v>
      </c>
      <c r="BJ28" s="510" t="e">
        <f>+W28/12-'[1]wgl tot'!BL28</f>
        <v>#DIV/0!</v>
      </c>
      <c r="BK28" s="510" t="e">
        <f>ROUND(IF('[1]wgl tot'!BM28&gt;[1]tabellen!$H$11,[1]tabellen!$H$11,'[1]wgl tot'!BM28)*[1]tabellen!$C$11,2)</f>
        <v>#DIV/0!</v>
      </c>
      <c r="BL28" s="510" t="e">
        <f>+'[1]wgl tot'!BM28+'[1]wgl tot'!BN28</f>
        <v>#DIV/0!</v>
      </c>
      <c r="BM28" s="511">
        <f t="shared" si="8"/>
        <v>1900</v>
      </c>
      <c r="BN28" s="511">
        <f t="shared" si="9"/>
        <v>1</v>
      </c>
      <c r="BO28" s="505">
        <f t="shared" si="10"/>
        <v>0</v>
      </c>
      <c r="BP28" s="480">
        <f t="shared" si="22"/>
        <v>22462</v>
      </c>
      <c r="BQ28" s="480">
        <f t="shared" ca="1" si="23"/>
        <v>43888.768521180558</v>
      </c>
      <c r="BR28" s="454"/>
      <c r="BS28" s="480"/>
      <c r="BT28" s="454"/>
      <c r="BU28" s="512"/>
      <c r="BV28" s="512"/>
      <c r="BW28" s="512"/>
      <c r="BX28" s="512"/>
      <c r="BY28" s="512"/>
      <c r="BZ28" s="512"/>
      <c r="CA28" s="444"/>
      <c r="CB28" s="444"/>
    </row>
    <row r="29" spans="1:80" s="456" customFormat="1" ht="12" customHeight="1" x14ac:dyDescent="0.2">
      <c r="A29" s="444"/>
      <c r="B29" s="445"/>
      <c r="C29" s="484"/>
      <c r="D29" s="493"/>
      <c r="E29" s="494"/>
      <c r="F29" s="495"/>
      <c r="G29" s="495"/>
      <c r="H29" s="496"/>
      <c r="I29" s="535"/>
      <c r="J29" s="495"/>
      <c r="K29" s="497"/>
      <c r="L29" s="497"/>
      <c r="M29" s="498">
        <f>IF(F29="",0,(VLOOKUP('wgl tot'!F29,saltab2019juni,G29+1,FALSE)))</f>
        <v>0</v>
      </c>
      <c r="N29" s="499">
        <f t="shared" si="0"/>
        <v>0</v>
      </c>
      <c r="O29" s="484"/>
      <c r="P29" s="498">
        <f>ROUND(IF((M29+Q29)*BD29&lt;H29*tabellen!$D$33,H29*tabellen!$D$33,(M29+R29)*BD29),2)</f>
        <v>0</v>
      </c>
      <c r="Q29" s="498">
        <f t="shared" si="1"/>
        <v>0</v>
      </c>
      <c r="R29" s="498">
        <f t="shared" si="11"/>
        <v>0</v>
      </c>
      <c r="S29" s="498">
        <f t="shared" si="2"/>
        <v>0</v>
      </c>
      <c r="T29" s="498">
        <f t="shared" si="24"/>
        <v>0</v>
      </c>
      <c r="U29" s="498">
        <f>ROUND(H29*tabellen!$D$27,2)</f>
        <v>0</v>
      </c>
      <c r="V29" s="500">
        <f t="shared" si="12"/>
        <v>0</v>
      </c>
      <c r="W29" s="499">
        <f t="shared" si="13"/>
        <v>0</v>
      </c>
      <c r="X29" s="484"/>
      <c r="Y29" s="500">
        <f t="shared" si="14"/>
        <v>0</v>
      </c>
      <c r="Z29" s="501">
        <v>0</v>
      </c>
      <c r="AA29" s="484"/>
      <c r="AB29" s="498">
        <f>IF(F29="",0,(IF(V29/H29&lt;tabellen!$E$7,0,(V29-tabellen!$E$7*H29)/12)*tabellen!$C$7))</f>
        <v>0</v>
      </c>
      <c r="AC29" s="498">
        <f>IF(F29="",0,(IF(V29/H29&lt;tabellen!$E$7,0,(V29-tabellen!$E$7*H29)/12)*tabellen!$C$8))</f>
        <v>0</v>
      </c>
      <c r="AD29" s="498">
        <f>V29/12*tabellen!$C$9</f>
        <v>0</v>
      </c>
      <c r="AE29" s="498">
        <f>IF(H29=0,0,IF(BJ29&gt;tabellen!$G$10/12,$G$10/12,BJ29)*(tabellen!$C$10+tabellen!$C$11))</f>
        <v>0</v>
      </c>
      <c r="AF29" s="498">
        <f t="shared" si="3"/>
        <v>0</v>
      </c>
      <c r="AG29" s="502">
        <f>IF(F29="",0,(IF(BJ29&gt;tabellen!$G$13*H29/12,tabellen!$G$13*H29/12,BJ29*tabellen!$C$13)))</f>
        <v>0</v>
      </c>
      <c r="AH29" s="484"/>
      <c r="AI29" s="502">
        <f>IF(F29="",0,IF(K29="j",tabellen!$C$14*BJ29,0))</f>
        <v>0</v>
      </c>
      <c r="AJ29" s="502">
        <f>IF(F29="",0,IF(L29="j",tabellen!$C$15*BJ29,0))</f>
        <v>0</v>
      </c>
      <c r="AK29" s="503">
        <v>0</v>
      </c>
      <c r="AL29" s="484"/>
      <c r="AM29" s="503">
        <v>0</v>
      </c>
      <c r="AN29" s="484"/>
      <c r="AO29" s="499">
        <f t="shared" si="15"/>
        <v>0</v>
      </c>
      <c r="AP29" s="499">
        <f t="shared" si="16"/>
        <v>0</v>
      </c>
      <c r="AQ29" s="484"/>
      <c r="AR29" s="504" t="str">
        <f t="shared" si="4"/>
        <v/>
      </c>
      <c r="AS29" s="504" t="str">
        <f t="shared" si="5"/>
        <v/>
      </c>
      <c r="AT29" s="484"/>
      <c r="AU29" s="453"/>
      <c r="AV29" s="444"/>
      <c r="AW29" s="444"/>
      <c r="AX29" s="505">
        <f t="shared" ca="1" si="17"/>
        <v>120</v>
      </c>
      <c r="AY29" s="505">
        <f t="shared" ca="1" si="18"/>
        <v>1</v>
      </c>
      <c r="AZ29" s="505">
        <f t="shared" ca="1" si="19"/>
        <v>27</v>
      </c>
      <c r="BA29" s="454">
        <f t="shared" si="6"/>
        <v>100</v>
      </c>
      <c r="BB29" s="454">
        <f t="shared" si="7"/>
        <v>0</v>
      </c>
      <c r="BC29" s="480">
        <v>42583</v>
      </c>
      <c r="BD29" s="506">
        <f t="shared" si="25"/>
        <v>0.08</v>
      </c>
      <c r="BE29" s="507">
        <f>tabellen!$D$34</f>
        <v>7.3999999999999996E-2</v>
      </c>
      <c r="BF29" s="505">
        <f t="shared" si="20"/>
        <v>0</v>
      </c>
      <c r="BG29" s="508" t="e">
        <f>IF(V29/H29&lt;tabellen!$E$7,0,(V29-tabellen!$E$7*H29)/12*tabellen!$D$7)</f>
        <v>#DIV/0!</v>
      </c>
      <c r="BH29" s="508" t="e">
        <f>IF(V29/H29&lt;tabellen!$E$8,0,(V29-tabellen!$E$8*H29)/12*tabellen!$D$8)</f>
        <v>#DIV/0!</v>
      </c>
      <c r="BI29" s="509" t="e">
        <f t="shared" si="21"/>
        <v>#DIV/0!</v>
      </c>
      <c r="BJ29" s="510" t="e">
        <f>+W29/12-'[1]wgl tot'!BL29</f>
        <v>#DIV/0!</v>
      </c>
      <c r="BK29" s="510" t="e">
        <f>ROUND(IF('[1]wgl tot'!BM29&gt;[1]tabellen!$H$11,[1]tabellen!$H$11,'[1]wgl tot'!BM29)*[1]tabellen!$C$11,2)</f>
        <v>#DIV/0!</v>
      </c>
      <c r="BL29" s="510" t="e">
        <f>+'[1]wgl tot'!BM29+'[1]wgl tot'!BN29</f>
        <v>#DIV/0!</v>
      </c>
      <c r="BM29" s="511">
        <f t="shared" si="8"/>
        <v>1900</v>
      </c>
      <c r="BN29" s="511">
        <f t="shared" si="9"/>
        <v>1</v>
      </c>
      <c r="BO29" s="505">
        <f t="shared" si="10"/>
        <v>0</v>
      </c>
      <c r="BP29" s="480">
        <f t="shared" si="22"/>
        <v>22462</v>
      </c>
      <c r="BQ29" s="480">
        <f t="shared" ca="1" si="23"/>
        <v>43888.768521180558</v>
      </c>
      <c r="BR29" s="454"/>
      <c r="BS29" s="480"/>
      <c r="BT29" s="454"/>
      <c r="BU29" s="512"/>
      <c r="BV29" s="512"/>
      <c r="BW29" s="512"/>
      <c r="BX29" s="512"/>
      <c r="BY29" s="512"/>
      <c r="BZ29" s="512"/>
      <c r="CA29" s="444"/>
      <c r="CB29" s="444"/>
    </row>
    <row r="30" spans="1:80" s="456" customFormat="1" ht="12" customHeight="1" x14ac:dyDescent="0.2">
      <c r="A30" s="444"/>
      <c r="B30" s="445"/>
      <c r="C30" s="484"/>
      <c r="D30" s="493"/>
      <c r="E30" s="494"/>
      <c r="F30" s="495"/>
      <c r="G30" s="495"/>
      <c r="H30" s="496"/>
      <c r="I30" s="535"/>
      <c r="J30" s="495"/>
      <c r="K30" s="497"/>
      <c r="L30" s="497"/>
      <c r="M30" s="498">
        <f>IF(F30="",0,(VLOOKUP('wgl tot'!F30,saltab2019juni,G30+1,FALSE)))</f>
        <v>0</v>
      </c>
      <c r="N30" s="499">
        <f t="shared" si="0"/>
        <v>0</v>
      </c>
      <c r="O30" s="484"/>
      <c r="P30" s="498">
        <f>ROUND(IF((M30+Q30)*BD30&lt;H30*tabellen!$D$33,H30*tabellen!$D$33,(M30+R30)*BD30),2)</f>
        <v>0</v>
      </c>
      <c r="Q30" s="498">
        <f t="shared" si="1"/>
        <v>0</v>
      </c>
      <c r="R30" s="498">
        <f t="shared" si="11"/>
        <v>0</v>
      </c>
      <c r="S30" s="498">
        <f t="shared" si="2"/>
        <v>0</v>
      </c>
      <c r="T30" s="498">
        <f t="shared" si="24"/>
        <v>0</v>
      </c>
      <c r="U30" s="498">
        <f>ROUND(H30*tabellen!$D$27,2)</f>
        <v>0</v>
      </c>
      <c r="V30" s="500">
        <f t="shared" si="12"/>
        <v>0</v>
      </c>
      <c r="W30" s="499">
        <f t="shared" si="13"/>
        <v>0</v>
      </c>
      <c r="X30" s="484"/>
      <c r="Y30" s="500">
        <f t="shared" si="14"/>
        <v>0</v>
      </c>
      <c r="Z30" s="501">
        <v>0</v>
      </c>
      <c r="AA30" s="484"/>
      <c r="AB30" s="498">
        <f>IF(F30="",0,(IF(V30/H30&lt;tabellen!$E$7,0,(V30-tabellen!$E$7*H30)/12)*tabellen!$C$7))</f>
        <v>0</v>
      </c>
      <c r="AC30" s="498">
        <f>IF(F30="",0,(IF(V30/H30&lt;tabellen!$E$7,0,(V30-tabellen!$E$7*H30)/12)*tabellen!$C$8))</f>
        <v>0</v>
      </c>
      <c r="AD30" s="498">
        <f>V30/12*tabellen!$C$9</f>
        <v>0</v>
      </c>
      <c r="AE30" s="498">
        <f>IF(H30=0,0,IF(BJ30&gt;tabellen!$G$10/12,$G$10/12,BJ30)*(tabellen!$C$10+tabellen!$C$11))</f>
        <v>0</v>
      </c>
      <c r="AF30" s="498">
        <f t="shared" si="3"/>
        <v>0</v>
      </c>
      <c r="AG30" s="502">
        <f>IF(F30="",0,(IF(BJ30&gt;tabellen!$G$13*H30/12,tabellen!$G$13*H30/12,BJ30*tabellen!$C$13)))</f>
        <v>0</v>
      </c>
      <c r="AH30" s="484"/>
      <c r="AI30" s="502">
        <f>IF(F30="",0,IF(K30="j",tabellen!$C$14*BJ30,0))</f>
        <v>0</v>
      </c>
      <c r="AJ30" s="502">
        <f>IF(F30="",0,IF(L30="j",tabellen!$C$15*BJ30,0))</f>
        <v>0</v>
      </c>
      <c r="AK30" s="503">
        <v>0</v>
      </c>
      <c r="AL30" s="484"/>
      <c r="AM30" s="503">
        <v>0</v>
      </c>
      <c r="AN30" s="484"/>
      <c r="AO30" s="499">
        <f t="shared" si="15"/>
        <v>0</v>
      </c>
      <c r="AP30" s="499">
        <f t="shared" si="16"/>
        <v>0</v>
      </c>
      <c r="AQ30" s="484"/>
      <c r="AR30" s="504" t="str">
        <f t="shared" si="4"/>
        <v/>
      </c>
      <c r="AS30" s="504" t="str">
        <f t="shared" si="5"/>
        <v/>
      </c>
      <c r="AT30" s="484"/>
      <c r="AU30" s="453"/>
      <c r="AV30" s="444"/>
      <c r="AW30" s="444"/>
      <c r="AX30" s="505">
        <f t="shared" ca="1" si="17"/>
        <v>120</v>
      </c>
      <c r="AY30" s="505">
        <f t="shared" ca="1" si="18"/>
        <v>1</v>
      </c>
      <c r="AZ30" s="505">
        <f t="shared" ca="1" si="19"/>
        <v>27</v>
      </c>
      <c r="BA30" s="454">
        <f t="shared" si="6"/>
        <v>100</v>
      </c>
      <c r="BB30" s="454">
        <f t="shared" si="7"/>
        <v>0</v>
      </c>
      <c r="BC30" s="480">
        <v>42583</v>
      </c>
      <c r="BD30" s="506">
        <f t="shared" si="25"/>
        <v>0.08</v>
      </c>
      <c r="BE30" s="507">
        <f>tabellen!$D$34</f>
        <v>7.3999999999999996E-2</v>
      </c>
      <c r="BF30" s="505">
        <f t="shared" si="20"/>
        <v>0</v>
      </c>
      <c r="BG30" s="508" t="e">
        <f>IF(V30/H30&lt;tabellen!$E$7,0,(V30-tabellen!$E$7*H30)/12*tabellen!$D$7)</f>
        <v>#DIV/0!</v>
      </c>
      <c r="BH30" s="508" t="e">
        <f>IF(V30/H30&lt;tabellen!$E$8,0,(V30-tabellen!$E$8*H30)/12*tabellen!$D$8)</f>
        <v>#DIV/0!</v>
      </c>
      <c r="BI30" s="509" t="e">
        <f t="shared" si="21"/>
        <v>#DIV/0!</v>
      </c>
      <c r="BJ30" s="510" t="e">
        <f>+W30/12-'[1]wgl tot'!BL30</f>
        <v>#DIV/0!</v>
      </c>
      <c r="BK30" s="510" t="e">
        <f>ROUND(IF('[1]wgl tot'!BM30&gt;[1]tabellen!$H$11,[1]tabellen!$H$11,'[1]wgl tot'!BM30)*[1]tabellen!$C$11,2)</f>
        <v>#DIV/0!</v>
      </c>
      <c r="BL30" s="510" t="e">
        <f>+'[1]wgl tot'!BM30+'[1]wgl tot'!BN30</f>
        <v>#DIV/0!</v>
      </c>
      <c r="BM30" s="511">
        <f t="shared" si="8"/>
        <v>1900</v>
      </c>
      <c r="BN30" s="511">
        <f t="shared" si="9"/>
        <v>1</v>
      </c>
      <c r="BO30" s="505">
        <f t="shared" si="10"/>
        <v>0</v>
      </c>
      <c r="BP30" s="480">
        <f t="shared" si="22"/>
        <v>22462</v>
      </c>
      <c r="BQ30" s="480">
        <f t="shared" ca="1" si="23"/>
        <v>43888.768521180558</v>
      </c>
      <c r="BR30" s="454"/>
      <c r="BS30" s="480"/>
      <c r="BT30" s="454"/>
      <c r="BU30" s="512"/>
      <c r="BV30" s="512"/>
      <c r="BW30" s="512"/>
      <c r="BX30" s="512"/>
      <c r="BY30" s="512"/>
      <c r="BZ30" s="512"/>
      <c r="CA30" s="444"/>
      <c r="CB30" s="444"/>
    </row>
    <row r="31" spans="1:80" s="456" customFormat="1" ht="12" customHeight="1" x14ac:dyDescent="0.2">
      <c r="A31" s="444"/>
      <c r="B31" s="445"/>
      <c r="C31" s="484"/>
      <c r="D31" s="493"/>
      <c r="E31" s="494"/>
      <c r="F31" s="495"/>
      <c r="G31" s="495"/>
      <c r="H31" s="496"/>
      <c r="I31" s="535"/>
      <c r="J31" s="495"/>
      <c r="K31" s="497"/>
      <c r="L31" s="497"/>
      <c r="M31" s="498">
        <f>IF(F31="",0,(VLOOKUP('wgl tot'!F31,saltab2019juni,G31+1,FALSE)))</f>
        <v>0</v>
      </c>
      <c r="N31" s="499">
        <f t="shared" si="0"/>
        <v>0</v>
      </c>
      <c r="O31" s="484"/>
      <c r="P31" s="498">
        <f>ROUND(IF((M31+Q31)*BD31&lt;H31*tabellen!$D$33,H31*tabellen!$D$33,(M31+R31)*BD31),2)</f>
        <v>0</v>
      </c>
      <c r="Q31" s="498">
        <f t="shared" si="1"/>
        <v>0</v>
      </c>
      <c r="R31" s="498">
        <f t="shared" si="11"/>
        <v>0</v>
      </c>
      <c r="S31" s="498">
        <f t="shared" si="2"/>
        <v>0</v>
      </c>
      <c r="T31" s="498">
        <f t="shared" si="24"/>
        <v>0</v>
      </c>
      <c r="U31" s="498">
        <f>ROUND(H31*tabellen!$D$27,2)</f>
        <v>0</v>
      </c>
      <c r="V31" s="500">
        <f t="shared" si="12"/>
        <v>0</v>
      </c>
      <c r="W31" s="499">
        <f t="shared" si="13"/>
        <v>0</v>
      </c>
      <c r="X31" s="484"/>
      <c r="Y31" s="500">
        <f t="shared" si="14"/>
        <v>0</v>
      </c>
      <c r="Z31" s="501">
        <v>0</v>
      </c>
      <c r="AA31" s="484"/>
      <c r="AB31" s="498">
        <f>IF(F31="",0,(IF(V31/H31&lt;tabellen!$E$7,0,(V31-tabellen!$E$7*H31)/12)*tabellen!$C$7))</f>
        <v>0</v>
      </c>
      <c r="AC31" s="498">
        <f>IF(F31="",0,(IF(V31/H31&lt;tabellen!$E$7,0,(V31-tabellen!$E$7*H31)/12)*tabellen!$C$8))</f>
        <v>0</v>
      </c>
      <c r="AD31" s="498">
        <f>V31/12*tabellen!$C$9</f>
        <v>0</v>
      </c>
      <c r="AE31" s="498">
        <f>IF(H31=0,0,IF(BJ31&gt;tabellen!$G$10/12,$G$10/12,BJ31)*(tabellen!$C$10+tabellen!$C$11))</f>
        <v>0</v>
      </c>
      <c r="AF31" s="498">
        <f t="shared" si="3"/>
        <v>0</v>
      </c>
      <c r="AG31" s="502">
        <f>IF(F31="",0,(IF(BJ31&gt;tabellen!$G$13*H31/12,tabellen!$G$13*H31/12,BJ31*tabellen!$C$13)))</f>
        <v>0</v>
      </c>
      <c r="AH31" s="484"/>
      <c r="AI31" s="502">
        <f>IF(F31="",0,IF(K31="j",tabellen!$C$14*BJ31,0))</f>
        <v>0</v>
      </c>
      <c r="AJ31" s="502">
        <f>IF(F31="",0,IF(L31="j",tabellen!$C$15*BJ31,0))</f>
        <v>0</v>
      </c>
      <c r="AK31" s="503">
        <v>0</v>
      </c>
      <c r="AL31" s="484"/>
      <c r="AM31" s="503">
        <v>0</v>
      </c>
      <c r="AN31" s="484"/>
      <c r="AO31" s="499">
        <f t="shared" si="15"/>
        <v>0</v>
      </c>
      <c r="AP31" s="499">
        <f t="shared" si="16"/>
        <v>0</v>
      </c>
      <c r="AQ31" s="484"/>
      <c r="AR31" s="504" t="str">
        <f t="shared" si="4"/>
        <v/>
      </c>
      <c r="AS31" s="504" t="str">
        <f t="shared" si="5"/>
        <v/>
      </c>
      <c r="AT31" s="484"/>
      <c r="AU31" s="453"/>
      <c r="AV31" s="444"/>
      <c r="AW31" s="444"/>
      <c r="AX31" s="505">
        <f t="shared" ca="1" si="17"/>
        <v>120</v>
      </c>
      <c r="AY31" s="505">
        <f t="shared" ca="1" si="18"/>
        <v>1</v>
      </c>
      <c r="AZ31" s="505">
        <f t="shared" ca="1" si="19"/>
        <v>27</v>
      </c>
      <c r="BA31" s="454">
        <f t="shared" si="6"/>
        <v>100</v>
      </c>
      <c r="BB31" s="454">
        <f t="shared" si="7"/>
        <v>0</v>
      </c>
      <c r="BC31" s="480">
        <v>42583</v>
      </c>
      <c r="BD31" s="506">
        <f t="shared" si="25"/>
        <v>0.08</v>
      </c>
      <c r="BE31" s="507">
        <f>tabellen!$D$34</f>
        <v>7.3999999999999996E-2</v>
      </c>
      <c r="BF31" s="505">
        <f t="shared" si="20"/>
        <v>0</v>
      </c>
      <c r="BG31" s="508" t="e">
        <f>IF(V31/H31&lt;tabellen!$E$7,0,(V31-tabellen!$E$7*H31)/12*tabellen!$D$7)</f>
        <v>#DIV/0!</v>
      </c>
      <c r="BH31" s="508" t="e">
        <f>IF(V31/H31&lt;tabellen!$E$8,0,(V31-tabellen!$E$8*H31)/12*tabellen!$D$8)</f>
        <v>#DIV/0!</v>
      </c>
      <c r="BI31" s="509" t="e">
        <f t="shared" si="21"/>
        <v>#DIV/0!</v>
      </c>
      <c r="BJ31" s="510" t="e">
        <f>+W31/12-'[1]wgl tot'!BL31</f>
        <v>#DIV/0!</v>
      </c>
      <c r="BK31" s="510" t="e">
        <f>ROUND(IF('[1]wgl tot'!BM31&gt;[1]tabellen!$H$11,[1]tabellen!$H$11,'[1]wgl tot'!BM31)*[1]tabellen!$C$11,2)</f>
        <v>#DIV/0!</v>
      </c>
      <c r="BL31" s="510" t="e">
        <f>+'[1]wgl tot'!BM31+'[1]wgl tot'!BN31</f>
        <v>#DIV/0!</v>
      </c>
      <c r="BM31" s="511">
        <f t="shared" si="8"/>
        <v>1900</v>
      </c>
      <c r="BN31" s="511">
        <f t="shared" si="9"/>
        <v>1</v>
      </c>
      <c r="BO31" s="505">
        <f t="shared" si="10"/>
        <v>0</v>
      </c>
      <c r="BP31" s="480">
        <f t="shared" si="22"/>
        <v>22462</v>
      </c>
      <c r="BQ31" s="480">
        <f t="shared" ca="1" si="23"/>
        <v>43888.768521180558</v>
      </c>
      <c r="BR31" s="454"/>
      <c r="BS31" s="480"/>
      <c r="BT31" s="454"/>
      <c r="BU31" s="512"/>
      <c r="BV31" s="512"/>
      <c r="BW31" s="512"/>
      <c r="BX31" s="512"/>
      <c r="BY31" s="512"/>
      <c r="BZ31" s="512"/>
      <c r="CA31" s="444"/>
      <c r="CB31" s="444"/>
    </row>
    <row r="32" spans="1:80" s="456" customFormat="1" ht="12" customHeight="1" x14ac:dyDescent="0.2">
      <c r="A32" s="444"/>
      <c r="B32" s="445"/>
      <c r="C32" s="484"/>
      <c r="D32" s="493"/>
      <c r="E32" s="494"/>
      <c r="F32" s="495"/>
      <c r="G32" s="495"/>
      <c r="H32" s="496"/>
      <c r="I32" s="535"/>
      <c r="J32" s="495"/>
      <c r="K32" s="497"/>
      <c r="L32" s="497"/>
      <c r="M32" s="498">
        <f>IF(F32="",0,(VLOOKUP('wgl tot'!F32,saltab2019juni,G32+1,FALSE)))</f>
        <v>0</v>
      </c>
      <c r="N32" s="499">
        <f t="shared" si="0"/>
        <v>0</v>
      </c>
      <c r="O32" s="484"/>
      <c r="P32" s="498">
        <f>ROUND(IF((M32+Q32)*BD32&lt;H32*tabellen!$D$33,H32*tabellen!$D$33,(M32+R32)*BD32),2)</f>
        <v>0</v>
      </c>
      <c r="Q32" s="498">
        <f t="shared" si="1"/>
        <v>0</v>
      </c>
      <c r="R32" s="498">
        <f t="shared" si="11"/>
        <v>0</v>
      </c>
      <c r="S32" s="498">
        <f t="shared" si="2"/>
        <v>0</v>
      </c>
      <c r="T32" s="498">
        <f t="shared" si="24"/>
        <v>0</v>
      </c>
      <c r="U32" s="498">
        <f>ROUND(H32*tabellen!$D$27,2)</f>
        <v>0</v>
      </c>
      <c r="V32" s="500">
        <f t="shared" si="12"/>
        <v>0</v>
      </c>
      <c r="W32" s="499">
        <f t="shared" si="13"/>
        <v>0</v>
      </c>
      <c r="X32" s="484"/>
      <c r="Y32" s="500">
        <f t="shared" si="14"/>
        <v>0</v>
      </c>
      <c r="Z32" s="501">
        <v>0</v>
      </c>
      <c r="AA32" s="484"/>
      <c r="AB32" s="498">
        <f>IF(F32="",0,(IF(V32/H32&lt;tabellen!$E$7,0,(V32-tabellen!$E$7*H32)/12)*tabellen!$C$7))</f>
        <v>0</v>
      </c>
      <c r="AC32" s="498">
        <f>IF(F32="",0,(IF(V32/H32&lt;tabellen!$E$7,0,(V32-tabellen!$E$7*H32)/12)*tabellen!$C$8))</f>
        <v>0</v>
      </c>
      <c r="AD32" s="498">
        <f>V32/12*tabellen!$C$9</f>
        <v>0</v>
      </c>
      <c r="AE32" s="498">
        <f>IF(H32=0,0,IF(BJ32&gt;tabellen!$G$10/12,$G$10/12,BJ32)*(tabellen!$C$10+tabellen!$C$11))</f>
        <v>0</v>
      </c>
      <c r="AF32" s="498">
        <f t="shared" si="3"/>
        <v>0</v>
      </c>
      <c r="AG32" s="502">
        <f>IF(F32="",0,(IF(BJ32&gt;tabellen!$G$13*H32/12,tabellen!$G$13*H32/12,BJ32*tabellen!$C$13)))</f>
        <v>0</v>
      </c>
      <c r="AH32" s="484"/>
      <c r="AI32" s="502">
        <f>IF(F32="",0,IF(K32="j",tabellen!$C$14*BJ32,0))</f>
        <v>0</v>
      </c>
      <c r="AJ32" s="502">
        <f>IF(F32="",0,IF(L32="j",tabellen!$C$15*BJ32,0))</f>
        <v>0</v>
      </c>
      <c r="AK32" s="503">
        <v>0</v>
      </c>
      <c r="AL32" s="484"/>
      <c r="AM32" s="503">
        <v>0</v>
      </c>
      <c r="AN32" s="484"/>
      <c r="AO32" s="499">
        <f t="shared" si="15"/>
        <v>0</v>
      </c>
      <c r="AP32" s="499">
        <f t="shared" si="16"/>
        <v>0</v>
      </c>
      <c r="AQ32" s="484"/>
      <c r="AR32" s="504" t="str">
        <f t="shared" si="4"/>
        <v/>
      </c>
      <c r="AS32" s="504" t="str">
        <f t="shared" si="5"/>
        <v/>
      </c>
      <c r="AT32" s="484"/>
      <c r="AU32" s="453"/>
      <c r="AV32" s="444"/>
      <c r="AW32" s="444"/>
      <c r="AX32" s="505">
        <f t="shared" ca="1" si="17"/>
        <v>120</v>
      </c>
      <c r="AY32" s="505">
        <f t="shared" ca="1" si="18"/>
        <v>1</v>
      </c>
      <c r="AZ32" s="505">
        <f t="shared" ca="1" si="19"/>
        <v>27</v>
      </c>
      <c r="BA32" s="454">
        <f t="shared" si="6"/>
        <v>100</v>
      </c>
      <c r="BB32" s="454">
        <f t="shared" si="7"/>
        <v>0</v>
      </c>
      <c r="BC32" s="480">
        <v>42583</v>
      </c>
      <c r="BD32" s="506">
        <f t="shared" si="25"/>
        <v>0.08</v>
      </c>
      <c r="BE32" s="507">
        <f>tabellen!$D$34</f>
        <v>7.3999999999999996E-2</v>
      </c>
      <c r="BF32" s="505">
        <f t="shared" si="20"/>
        <v>0</v>
      </c>
      <c r="BG32" s="508" t="e">
        <f>IF(V32/H32&lt;tabellen!$E$7,0,(V32-tabellen!$E$7*H32)/12*tabellen!$D$7)</f>
        <v>#DIV/0!</v>
      </c>
      <c r="BH32" s="508" t="e">
        <f>IF(V32/H32&lt;tabellen!$E$8,0,(V32-tabellen!$E$8*H32)/12*tabellen!$D$8)</f>
        <v>#DIV/0!</v>
      </c>
      <c r="BI32" s="509" t="e">
        <f t="shared" si="21"/>
        <v>#DIV/0!</v>
      </c>
      <c r="BJ32" s="510" t="e">
        <f>+W32/12-'[1]wgl tot'!BL32</f>
        <v>#DIV/0!</v>
      </c>
      <c r="BK32" s="510" t="e">
        <f>ROUND(IF('[1]wgl tot'!BM32&gt;[1]tabellen!$H$11,[1]tabellen!$H$11,'[1]wgl tot'!BM32)*[1]tabellen!$C$11,2)</f>
        <v>#DIV/0!</v>
      </c>
      <c r="BL32" s="510" t="e">
        <f>+'[1]wgl tot'!BM32+'[1]wgl tot'!BN32</f>
        <v>#DIV/0!</v>
      </c>
      <c r="BM32" s="511">
        <f t="shared" si="8"/>
        <v>1900</v>
      </c>
      <c r="BN32" s="511">
        <f t="shared" si="9"/>
        <v>1</v>
      </c>
      <c r="BO32" s="505">
        <f t="shared" si="10"/>
        <v>0</v>
      </c>
      <c r="BP32" s="480">
        <f t="shared" si="22"/>
        <v>22462</v>
      </c>
      <c r="BQ32" s="480">
        <f t="shared" ca="1" si="23"/>
        <v>43888.768521180558</v>
      </c>
      <c r="BR32" s="454"/>
      <c r="BS32" s="480"/>
      <c r="BT32" s="454"/>
      <c r="BU32" s="512"/>
      <c r="BV32" s="512"/>
      <c r="BW32" s="512"/>
      <c r="BX32" s="512"/>
      <c r="BY32" s="512"/>
      <c r="BZ32" s="512"/>
      <c r="CA32" s="444"/>
      <c r="CB32" s="444"/>
    </row>
    <row r="33" spans="1:80" s="456" customFormat="1" ht="12" customHeight="1" x14ac:dyDescent="0.2">
      <c r="A33" s="444"/>
      <c r="B33" s="445"/>
      <c r="C33" s="484"/>
      <c r="D33" s="493"/>
      <c r="E33" s="494"/>
      <c r="F33" s="495"/>
      <c r="G33" s="495"/>
      <c r="H33" s="496"/>
      <c r="I33" s="535"/>
      <c r="J33" s="495"/>
      <c r="K33" s="497"/>
      <c r="L33" s="497"/>
      <c r="M33" s="498">
        <f>IF(F33="",0,(VLOOKUP('wgl tot'!F33,saltab2019juni,G33+1,FALSE)))</f>
        <v>0</v>
      </c>
      <c r="N33" s="499">
        <f t="shared" si="0"/>
        <v>0</v>
      </c>
      <c r="O33" s="484"/>
      <c r="P33" s="498">
        <f>ROUND(IF((M33+Q33)*BD33&lt;H33*tabellen!$D$33,H33*tabellen!$D$33,(M33+R33)*BD33),2)</f>
        <v>0</v>
      </c>
      <c r="Q33" s="498">
        <f t="shared" si="1"/>
        <v>0</v>
      </c>
      <c r="R33" s="498">
        <f t="shared" si="11"/>
        <v>0</v>
      </c>
      <c r="S33" s="498">
        <f t="shared" si="2"/>
        <v>0</v>
      </c>
      <c r="T33" s="498">
        <f t="shared" si="24"/>
        <v>0</v>
      </c>
      <c r="U33" s="498">
        <f>ROUND(H33*tabellen!$D$27,2)</f>
        <v>0</v>
      </c>
      <c r="V33" s="500">
        <f t="shared" si="12"/>
        <v>0</v>
      </c>
      <c r="W33" s="499">
        <f t="shared" si="13"/>
        <v>0</v>
      </c>
      <c r="X33" s="484"/>
      <c r="Y33" s="500">
        <f t="shared" si="14"/>
        <v>0</v>
      </c>
      <c r="Z33" s="501">
        <v>0</v>
      </c>
      <c r="AA33" s="484"/>
      <c r="AB33" s="498">
        <f>IF(F33="",0,(IF(V33/H33&lt;tabellen!$E$7,0,(V33-tabellen!$E$7*H33)/12)*tabellen!$C$7))</f>
        <v>0</v>
      </c>
      <c r="AC33" s="498">
        <f>IF(F33="",0,(IF(V33/H33&lt;tabellen!$E$7,0,(V33-tabellen!$E$7*H33)/12)*tabellen!$C$8))</f>
        <v>0</v>
      </c>
      <c r="AD33" s="498">
        <f>V33/12*tabellen!$C$9</f>
        <v>0</v>
      </c>
      <c r="AE33" s="498">
        <f>IF(H33=0,0,IF(BJ33&gt;tabellen!$G$10/12,$G$10/12,BJ33)*(tabellen!$C$10+tabellen!$C$11))</f>
        <v>0</v>
      </c>
      <c r="AF33" s="498">
        <f t="shared" si="3"/>
        <v>0</v>
      </c>
      <c r="AG33" s="502">
        <f>IF(F33="",0,(IF(BJ33&gt;tabellen!$G$13*H33/12,tabellen!$G$13*H33/12,BJ33*tabellen!$C$13)))</f>
        <v>0</v>
      </c>
      <c r="AH33" s="484"/>
      <c r="AI33" s="502">
        <f>IF(F33="",0,IF(K33="j",tabellen!$C$14*BJ33,0))</f>
        <v>0</v>
      </c>
      <c r="AJ33" s="502">
        <f>IF(F33="",0,IF(L33="j",tabellen!$C$15*BJ33,0))</f>
        <v>0</v>
      </c>
      <c r="AK33" s="503">
        <v>0</v>
      </c>
      <c r="AL33" s="484"/>
      <c r="AM33" s="503">
        <v>0</v>
      </c>
      <c r="AN33" s="484"/>
      <c r="AO33" s="499">
        <f t="shared" si="15"/>
        <v>0</v>
      </c>
      <c r="AP33" s="499">
        <f t="shared" si="16"/>
        <v>0</v>
      </c>
      <c r="AQ33" s="484"/>
      <c r="AR33" s="504" t="str">
        <f t="shared" si="4"/>
        <v/>
      </c>
      <c r="AS33" s="504" t="str">
        <f t="shared" si="5"/>
        <v/>
      </c>
      <c r="AT33" s="484"/>
      <c r="AU33" s="453"/>
      <c r="AV33" s="444"/>
      <c r="AW33" s="444"/>
      <c r="AX33" s="505">
        <f t="shared" ca="1" si="17"/>
        <v>120</v>
      </c>
      <c r="AY33" s="505">
        <f t="shared" ca="1" si="18"/>
        <v>1</v>
      </c>
      <c r="AZ33" s="505">
        <f t="shared" ca="1" si="19"/>
        <v>27</v>
      </c>
      <c r="BA33" s="454">
        <f t="shared" si="6"/>
        <v>100</v>
      </c>
      <c r="BB33" s="454">
        <f t="shared" si="7"/>
        <v>0</v>
      </c>
      <c r="BC33" s="480">
        <v>42583</v>
      </c>
      <c r="BD33" s="506">
        <f t="shared" si="25"/>
        <v>0.08</v>
      </c>
      <c r="BE33" s="507">
        <f>tabellen!$D$34</f>
        <v>7.3999999999999996E-2</v>
      </c>
      <c r="BF33" s="505">
        <f t="shared" si="20"/>
        <v>0</v>
      </c>
      <c r="BG33" s="508" t="e">
        <f>IF(V33/H33&lt;tabellen!$E$7,0,(V33-tabellen!$E$7*H33)/12*tabellen!$D$7)</f>
        <v>#DIV/0!</v>
      </c>
      <c r="BH33" s="508" t="e">
        <f>IF(V33/H33&lt;tabellen!$E$8,0,(V33-tabellen!$E$8*H33)/12*tabellen!$D$8)</f>
        <v>#DIV/0!</v>
      </c>
      <c r="BI33" s="509" t="e">
        <f t="shared" si="21"/>
        <v>#DIV/0!</v>
      </c>
      <c r="BJ33" s="510" t="e">
        <f>+W33/12-'[1]wgl tot'!BL33</f>
        <v>#DIV/0!</v>
      </c>
      <c r="BK33" s="510" t="e">
        <f>ROUND(IF('[1]wgl tot'!BM33&gt;[1]tabellen!$H$11,[1]tabellen!$H$11,'[1]wgl tot'!BM33)*[1]tabellen!$C$11,2)</f>
        <v>#DIV/0!</v>
      </c>
      <c r="BL33" s="510" t="e">
        <f>+'[1]wgl tot'!BM33+'[1]wgl tot'!BN33</f>
        <v>#DIV/0!</v>
      </c>
      <c r="BM33" s="511">
        <f t="shared" si="8"/>
        <v>1900</v>
      </c>
      <c r="BN33" s="511">
        <f t="shared" si="9"/>
        <v>1</v>
      </c>
      <c r="BO33" s="505">
        <f t="shared" si="10"/>
        <v>0</v>
      </c>
      <c r="BP33" s="480">
        <f t="shared" si="22"/>
        <v>22462</v>
      </c>
      <c r="BQ33" s="480">
        <f t="shared" ca="1" si="23"/>
        <v>43888.768521180558</v>
      </c>
      <c r="BR33" s="454"/>
      <c r="BS33" s="480"/>
      <c r="BT33" s="454"/>
      <c r="BU33" s="512"/>
      <c r="BV33" s="512"/>
      <c r="BW33" s="512"/>
      <c r="BX33" s="512"/>
      <c r="BY33" s="512"/>
      <c r="BZ33" s="512"/>
      <c r="CA33" s="444"/>
      <c r="CB33" s="444"/>
    </row>
    <row r="34" spans="1:80" s="456" customFormat="1" ht="12" customHeight="1" x14ac:dyDescent="0.2">
      <c r="A34" s="444"/>
      <c r="B34" s="445"/>
      <c r="C34" s="484"/>
      <c r="D34" s="493"/>
      <c r="E34" s="494"/>
      <c r="F34" s="495"/>
      <c r="G34" s="495"/>
      <c r="H34" s="496"/>
      <c r="I34" s="535"/>
      <c r="J34" s="495"/>
      <c r="K34" s="497"/>
      <c r="L34" s="497"/>
      <c r="M34" s="498">
        <f>IF(F34="",0,(VLOOKUP('wgl tot'!F34,saltab2019juni,G34+1,FALSE)))</f>
        <v>0</v>
      </c>
      <c r="N34" s="499">
        <f t="shared" si="0"/>
        <v>0</v>
      </c>
      <c r="O34" s="484"/>
      <c r="P34" s="498">
        <f>ROUND(IF((M34+Q34)*BD34&lt;H34*tabellen!$D$33,H34*tabellen!$D$33,(M34+R34)*BD34),2)</f>
        <v>0</v>
      </c>
      <c r="Q34" s="498">
        <f t="shared" si="1"/>
        <v>0</v>
      </c>
      <c r="R34" s="498">
        <f t="shared" si="11"/>
        <v>0</v>
      </c>
      <c r="S34" s="498">
        <f t="shared" si="2"/>
        <v>0</v>
      </c>
      <c r="T34" s="498">
        <f t="shared" si="24"/>
        <v>0</v>
      </c>
      <c r="U34" s="498">
        <f>ROUND(H34*tabellen!$D$27,2)</f>
        <v>0</v>
      </c>
      <c r="V34" s="500">
        <f t="shared" si="12"/>
        <v>0</v>
      </c>
      <c r="W34" s="499">
        <f t="shared" si="13"/>
        <v>0</v>
      </c>
      <c r="X34" s="484"/>
      <c r="Y34" s="500">
        <f t="shared" si="14"/>
        <v>0</v>
      </c>
      <c r="Z34" s="501">
        <v>0</v>
      </c>
      <c r="AA34" s="484"/>
      <c r="AB34" s="498">
        <f>IF(F34="",0,(IF(V34/H34&lt;tabellen!$E$7,0,(V34-tabellen!$E$7*H34)/12)*tabellen!$C$7))</f>
        <v>0</v>
      </c>
      <c r="AC34" s="498">
        <f>IF(F34="",0,(IF(V34/H34&lt;tabellen!$E$7,0,(V34-tabellen!$E$7*H34)/12)*tabellen!$C$8))</f>
        <v>0</v>
      </c>
      <c r="AD34" s="498">
        <f>V34/12*tabellen!$C$9</f>
        <v>0</v>
      </c>
      <c r="AE34" s="498">
        <f>IF(H34=0,0,IF(BJ34&gt;tabellen!$G$10/12,$G$10/12,BJ34)*(tabellen!$C$10+tabellen!$C$11))</f>
        <v>0</v>
      </c>
      <c r="AF34" s="498">
        <f t="shared" si="3"/>
        <v>0</v>
      </c>
      <c r="AG34" s="502">
        <f>IF(F34="",0,(IF(BJ34&gt;tabellen!$G$13*H34/12,tabellen!$G$13*H34/12,BJ34*tabellen!$C$13)))</f>
        <v>0</v>
      </c>
      <c r="AH34" s="484"/>
      <c r="AI34" s="502">
        <f>IF(F34="",0,IF(K34="j",tabellen!$C$14*BJ34,0))</f>
        <v>0</v>
      </c>
      <c r="AJ34" s="502">
        <f>IF(F34="",0,IF(L34="j",tabellen!$C$15*BJ34,0))</f>
        <v>0</v>
      </c>
      <c r="AK34" s="503">
        <v>0</v>
      </c>
      <c r="AL34" s="484"/>
      <c r="AM34" s="503">
        <v>0</v>
      </c>
      <c r="AN34" s="484"/>
      <c r="AO34" s="499">
        <f t="shared" si="15"/>
        <v>0</v>
      </c>
      <c r="AP34" s="499">
        <f t="shared" si="16"/>
        <v>0</v>
      </c>
      <c r="AQ34" s="484"/>
      <c r="AR34" s="504" t="str">
        <f t="shared" si="4"/>
        <v/>
      </c>
      <c r="AS34" s="504" t="str">
        <f t="shared" si="5"/>
        <v/>
      </c>
      <c r="AT34" s="484"/>
      <c r="AU34" s="453"/>
      <c r="AV34" s="444"/>
      <c r="AW34" s="444"/>
      <c r="AX34" s="505">
        <f t="shared" ca="1" si="17"/>
        <v>120</v>
      </c>
      <c r="AY34" s="505">
        <f t="shared" ca="1" si="18"/>
        <v>1</v>
      </c>
      <c r="AZ34" s="505">
        <f t="shared" ca="1" si="19"/>
        <v>27</v>
      </c>
      <c r="BA34" s="454">
        <f t="shared" si="6"/>
        <v>100</v>
      </c>
      <c r="BB34" s="454">
        <f t="shared" si="7"/>
        <v>0</v>
      </c>
      <c r="BC34" s="480">
        <v>42583</v>
      </c>
      <c r="BD34" s="506">
        <f t="shared" si="25"/>
        <v>0.08</v>
      </c>
      <c r="BE34" s="507">
        <f>tabellen!$D$34</f>
        <v>7.3999999999999996E-2</v>
      </c>
      <c r="BF34" s="505">
        <f t="shared" si="20"/>
        <v>0</v>
      </c>
      <c r="BG34" s="508" t="e">
        <f>IF(V34/H34&lt;tabellen!$E$7,0,(V34-tabellen!$E$7*H34)/12*tabellen!$D$7)</f>
        <v>#DIV/0!</v>
      </c>
      <c r="BH34" s="508" t="e">
        <f>IF(V34/H34&lt;tabellen!$E$8,0,(V34-tabellen!$E$8*H34)/12*tabellen!$D$8)</f>
        <v>#DIV/0!</v>
      </c>
      <c r="BI34" s="509" t="e">
        <f t="shared" si="21"/>
        <v>#DIV/0!</v>
      </c>
      <c r="BJ34" s="510" t="e">
        <f>+W34/12-'[1]wgl tot'!BL34</f>
        <v>#DIV/0!</v>
      </c>
      <c r="BK34" s="510" t="e">
        <f>ROUND(IF('[1]wgl tot'!BM34&gt;[1]tabellen!$H$11,[1]tabellen!$H$11,'[1]wgl tot'!BM34)*[1]tabellen!$C$11,2)</f>
        <v>#DIV/0!</v>
      </c>
      <c r="BL34" s="510" t="e">
        <f>+'[1]wgl tot'!BM34+'[1]wgl tot'!BN34</f>
        <v>#DIV/0!</v>
      </c>
      <c r="BM34" s="511">
        <f t="shared" si="8"/>
        <v>1900</v>
      </c>
      <c r="BN34" s="511">
        <f t="shared" si="9"/>
        <v>1</v>
      </c>
      <c r="BO34" s="505">
        <f t="shared" si="10"/>
        <v>0</v>
      </c>
      <c r="BP34" s="480">
        <f t="shared" si="22"/>
        <v>22462</v>
      </c>
      <c r="BQ34" s="480">
        <f t="shared" ca="1" si="23"/>
        <v>43888.768521180558</v>
      </c>
      <c r="BR34" s="454"/>
      <c r="BS34" s="480"/>
      <c r="BT34" s="454"/>
      <c r="BU34" s="512"/>
      <c r="BV34" s="512"/>
      <c r="BW34" s="512"/>
      <c r="BX34" s="512"/>
      <c r="BY34" s="512"/>
      <c r="BZ34" s="512"/>
      <c r="CA34" s="444"/>
      <c r="CB34" s="444"/>
    </row>
    <row r="35" spans="1:80" s="456" customFormat="1" ht="12" customHeight="1" x14ac:dyDescent="0.2">
      <c r="A35" s="444"/>
      <c r="B35" s="445"/>
      <c r="C35" s="484"/>
      <c r="D35" s="493"/>
      <c r="E35" s="494"/>
      <c r="F35" s="495"/>
      <c r="G35" s="495"/>
      <c r="H35" s="496"/>
      <c r="I35" s="535"/>
      <c r="J35" s="495"/>
      <c r="K35" s="497"/>
      <c r="L35" s="497"/>
      <c r="M35" s="498">
        <f>IF(F35="",0,(VLOOKUP('wgl tot'!F35,saltab2019juni,G35+1,FALSE)))</f>
        <v>0</v>
      </c>
      <c r="N35" s="499">
        <f t="shared" si="0"/>
        <v>0</v>
      </c>
      <c r="O35" s="484"/>
      <c r="P35" s="498">
        <f>ROUND(IF((M35+Q35)*BD35&lt;H35*tabellen!$D$33,H35*tabellen!$D$33,(M35+R35)*BD35),2)</f>
        <v>0</v>
      </c>
      <c r="Q35" s="498">
        <f t="shared" si="1"/>
        <v>0</v>
      </c>
      <c r="R35" s="498">
        <f t="shared" si="11"/>
        <v>0</v>
      </c>
      <c r="S35" s="498">
        <f t="shared" si="2"/>
        <v>0</v>
      </c>
      <c r="T35" s="498">
        <f t="shared" si="24"/>
        <v>0</v>
      </c>
      <c r="U35" s="498">
        <f>ROUND(H35*tabellen!$D$27,2)</f>
        <v>0</v>
      </c>
      <c r="V35" s="500">
        <f t="shared" si="12"/>
        <v>0</v>
      </c>
      <c r="W35" s="499">
        <f t="shared" si="13"/>
        <v>0</v>
      </c>
      <c r="X35" s="484"/>
      <c r="Y35" s="500">
        <f t="shared" si="14"/>
        <v>0</v>
      </c>
      <c r="Z35" s="501">
        <v>0</v>
      </c>
      <c r="AA35" s="484"/>
      <c r="AB35" s="498">
        <f>IF(F35="",0,(IF(V35/H35&lt;tabellen!$E$7,0,(V35-tabellen!$E$7*H35)/12)*tabellen!$C$7))</f>
        <v>0</v>
      </c>
      <c r="AC35" s="498">
        <f>IF(F35="",0,(IF(V35/H35&lt;tabellen!$E$7,0,(V35-tabellen!$E$7*H35)/12)*tabellen!$C$8))</f>
        <v>0</v>
      </c>
      <c r="AD35" s="498">
        <f>V35/12*tabellen!$C$9</f>
        <v>0</v>
      </c>
      <c r="AE35" s="498">
        <f>IF(H35=0,0,IF(BJ35&gt;tabellen!$G$10/12,$G$10/12,BJ35)*(tabellen!$C$10+tabellen!$C$11))</f>
        <v>0</v>
      </c>
      <c r="AF35" s="498">
        <f t="shared" si="3"/>
        <v>0</v>
      </c>
      <c r="AG35" s="502">
        <f>IF(F35="",0,(IF(BJ35&gt;tabellen!$G$13*H35/12,tabellen!$G$13*H35/12,BJ35*tabellen!$C$13)))</f>
        <v>0</v>
      </c>
      <c r="AH35" s="484"/>
      <c r="AI35" s="502">
        <f>IF(F35="",0,IF(K35="j",tabellen!$C$14*BJ35,0))</f>
        <v>0</v>
      </c>
      <c r="AJ35" s="502">
        <f>IF(F35="",0,IF(L35="j",tabellen!$C$15*BJ35,0))</f>
        <v>0</v>
      </c>
      <c r="AK35" s="503">
        <v>0</v>
      </c>
      <c r="AL35" s="484"/>
      <c r="AM35" s="503">
        <v>0</v>
      </c>
      <c r="AN35" s="484"/>
      <c r="AO35" s="499">
        <f t="shared" si="15"/>
        <v>0</v>
      </c>
      <c r="AP35" s="499">
        <f t="shared" si="16"/>
        <v>0</v>
      </c>
      <c r="AQ35" s="484"/>
      <c r="AR35" s="504" t="str">
        <f t="shared" si="4"/>
        <v/>
      </c>
      <c r="AS35" s="504" t="str">
        <f t="shared" si="5"/>
        <v/>
      </c>
      <c r="AT35" s="484"/>
      <c r="AU35" s="453"/>
      <c r="AV35" s="444"/>
      <c r="AW35" s="444"/>
      <c r="AX35" s="505">
        <f t="shared" ca="1" si="17"/>
        <v>120</v>
      </c>
      <c r="AY35" s="505">
        <f t="shared" ca="1" si="18"/>
        <v>1</v>
      </c>
      <c r="AZ35" s="505">
        <f t="shared" ca="1" si="19"/>
        <v>27</v>
      </c>
      <c r="BA35" s="454">
        <f t="shared" si="6"/>
        <v>100</v>
      </c>
      <c r="BB35" s="454">
        <f t="shared" si="7"/>
        <v>0</v>
      </c>
      <c r="BC35" s="480">
        <v>42583</v>
      </c>
      <c r="BD35" s="506">
        <f t="shared" si="25"/>
        <v>0.08</v>
      </c>
      <c r="BE35" s="507">
        <f>tabellen!$D$34</f>
        <v>7.3999999999999996E-2</v>
      </c>
      <c r="BF35" s="505">
        <f t="shared" si="20"/>
        <v>0</v>
      </c>
      <c r="BG35" s="508" t="e">
        <f>IF(V35/H35&lt;tabellen!$E$7,0,(V35-tabellen!$E$7*H35)/12*tabellen!$D$7)</f>
        <v>#DIV/0!</v>
      </c>
      <c r="BH35" s="508" t="e">
        <f>IF(V35/H35&lt;tabellen!$E$8,0,(V35-tabellen!$E$8*H35)/12*tabellen!$D$8)</f>
        <v>#DIV/0!</v>
      </c>
      <c r="BI35" s="509" t="e">
        <f t="shared" si="21"/>
        <v>#DIV/0!</v>
      </c>
      <c r="BJ35" s="510" t="e">
        <f>+W35/12-'[1]wgl tot'!BL35</f>
        <v>#DIV/0!</v>
      </c>
      <c r="BK35" s="510" t="e">
        <f>ROUND(IF('[1]wgl tot'!BM35&gt;[1]tabellen!$H$11,[1]tabellen!$H$11,'[1]wgl tot'!BM35)*[1]tabellen!$C$11,2)</f>
        <v>#DIV/0!</v>
      </c>
      <c r="BL35" s="510" t="e">
        <f>+'[1]wgl tot'!BM35+'[1]wgl tot'!BN35</f>
        <v>#DIV/0!</v>
      </c>
      <c r="BM35" s="511">
        <f t="shared" si="8"/>
        <v>1900</v>
      </c>
      <c r="BN35" s="511">
        <f t="shared" si="9"/>
        <v>1</v>
      </c>
      <c r="BO35" s="505">
        <f t="shared" si="10"/>
        <v>0</v>
      </c>
      <c r="BP35" s="480">
        <f t="shared" si="22"/>
        <v>22462</v>
      </c>
      <c r="BQ35" s="480">
        <f t="shared" ca="1" si="23"/>
        <v>43888.768521180558</v>
      </c>
      <c r="BR35" s="454"/>
      <c r="BS35" s="480"/>
      <c r="BT35" s="454"/>
      <c r="BU35" s="512"/>
      <c r="BV35" s="512"/>
      <c r="BW35" s="512"/>
      <c r="BX35" s="512"/>
      <c r="BY35" s="512"/>
      <c r="BZ35" s="512"/>
      <c r="CA35" s="444"/>
      <c r="CB35" s="444"/>
    </row>
    <row r="36" spans="1:80" s="456" customFormat="1" ht="12" customHeight="1" x14ac:dyDescent="0.2">
      <c r="A36" s="444"/>
      <c r="B36" s="445"/>
      <c r="C36" s="484"/>
      <c r="D36" s="493"/>
      <c r="E36" s="494"/>
      <c r="F36" s="495"/>
      <c r="G36" s="495"/>
      <c r="H36" s="496"/>
      <c r="I36" s="535"/>
      <c r="J36" s="495"/>
      <c r="K36" s="497"/>
      <c r="L36" s="497"/>
      <c r="M36" s="498">
        <f>IF(F36="",0,(VLOOKUP('wgl tot'!F36,saltab2019juni,G36+1,FALSE)))</f>
        <v>0</v>
      </c>
      <c r="N36" s="499">
        <f t="shared" si="0"/>
        <v>0</v>
      </c>
      <c r="O36" s="484"/>
      <c r="P36" s="498">
        <f>ROUND(IF((M36+Q36)*BD36&lt;H36*tabellen!$D$33,H36*tabellen!$D$33,(M36+R36)*BD36),2)</f>
        <v>0</v>
      </c>
      <c r="Q36" s="498">
        <f t="shared" si="1"/>
        <v>0</v>
      </c>
      <c r="R36" s="498">
        <f t="shared" si="11"/>
        <v>0</v>
      </c>
      <c r="S36" s="498">
        <f t="shared" si="2"/>
        <v>0</v>
      </c>
      <c r="T36" s="498">
        <f t="shared" si="24"/>
        <v>0</v>
      </c>
      <c r="U36" s="498">
        <f>ROUND(H36*tabellen!$D$27,2)</f>
        <v>0</v>
      </c>
      <c r="V36" s="500">
        <f t="shared" si="12"/>
        <v>0</v>
      </c>
      <c r="W36" s="499">
        <f t="shared" si="13"/>
        <v>0</v>
      </c>
      <c r="X36" s="484"/>
      <c r="Y36" s="500">
        <f t="shared" si="14"/>
        <v>0</v>
      </c>
      <c r="Z36" s="501">
        <v>0</v>
      </c>
      <c r="AA36" s="484"/>
      <c r="AB36" s="498">
        <f>IF(F36="",0,(IF(V36/H36&lt;tabellen!$E$7,0,(V36-tabellen!$E$7*H36)/12)*tabellen!$C$7))</f>
        <v>0</v>
      </c>
      <c r="AC36" s="498">
        <f>IF(F36="",0,(IF(V36/H36&lt;tabellen!$E$7,0,(V36-tabellen!$E$7*H36)/12)*tabellen!$C$8))</f>
        <v>0</v>
      </c>
      <c r="AD36" s="498">
        <f>V36/12*tabellen!$C$9</f>
        <v>0</v>
      </c>
      <c r="AE36" s="498">
        <f>IF(H36=0,0,IF(BJ36&gt;tabellen!$G$10/12,$G$10/12,BJ36)*(tabellen!$C$10+tabellen!$C$11))</f>
        <v>0</v>
      </c>
      <c r="AF36" s="498">
        <f t="shared" si="3"/>
        <v>0</v>
      </c>
      <c r="AG36" s="502">
        <f>IF(F36="",0,(IF(BJ36&gt;tabellen!$G$13*H36/12,tabellen!$G$13*H36/12,BJ36*tabellen!$C$13)))</f>
        <v>0</v>
      </c>
      <c r="AH36" s="484"/>
      <c r="AI36" s="502">
        <f>IF(F36="",0,IF(K36="j",tabellen!$C$14*BJ36,0))</f>
        <v>0</v>
      </c>
      <c r="AJ36" s="502">
        <f>IF(F36="",0,IF(L36="j",tabellen!$C$15*BJ36,0))</f>
        <v>0</v>
      </c>
      <c r="AK36" s="503">
        <v>0</v>
      </c>
      <c r="AL36" s="484"/>
      <c r="AM36" s="503">
        <v>0</v>
      </c>
      <c r="AN36" s="484"/>
      <c r="AO36" s="499">
        <f t="shared" si="15"/>
        <v>0</v>
      </c>
      <c r="AP36" s="499">
        <f t="shared" si="16"/>
        <v>0</v>
      </c>
      <c r="AQ36" s="484"/>
      <c r="AR36" s="504" t="str">
        <f t="shared" si="4"/>
        <v/>
      </c>
      <c r="AS36" s="504" t="str">
        <f t="shared" si="5"/>
        <v/>
      </c>
      <c r="AT36" s="484"/>
      <c r="AU36" s="453"/>
      <c r="AV36" s="444"/>
      <c r="AW36" s="444"/>
      <c r="AX36" s="505">
        <f t="shared" ca="1" si="17"/>
        <v>120</v>
      </c>
      <c r="AY36" s="505">
        <f t="shared" ca="1" si="18"/>
        <v>1</v>
      </c>
      <c r="AZ36" s="505">
        <f t="shared" ca="1" si="19"/>
        <v>27</v>
      </c>
      <c r="BA36" s="454">
        <f t="shared" si="6"/>
        <v>100</v>
      </c>
      <c r="BB36" s="454">
        <f t="shared" si="7"/>
        <v>0</v>
      </c>
      <c r="BC36" s="480">
        <v>42583</v>
      </c>
      <c r="BD36" s="506">
        <f t="shared" si="25"/>
        <v>0.08</v>
      </c>
      <c r="BE36" s="507">
        <f>tabellen!$D$34</f>
        <v>7.3999999999999996E-2</v>
      </c>
      <c r="BF36" s="505">
        <f t="shared" si="20"/>
        <v>0</v>
      </c>
      <c r="BG36" s="508" t="e">
        <f>IF(V36/H36&lt;tabellen!$E$7,0,(V36-tabellen!$E$7*H36)/12*tabellen!$D$7)</f>
        <v>#DIV/0!</v>
      </c>
      <c r="BH36" s="508" t="e">
        <f>IF(V36/H36&lt;tabellen!$E$8,0,(V36-tabellen!$E$8*H36)/12*tabellen!$D$8)</f>
        <v>#DIV/0!</v>
      </c>
      <c r="BI36" s="509" t="e">
        <f t="shared" si="21"/>
        <v>#DIV/0!</v>
      </c>
      <c r="BJ36" s="510" t="e">
        <f>+W36/12-'[1]wgl tot'!BL36</f>
        <v>#DIV/0!</v>
      </c>
      <c r="BK36" s="510" t="e">
        <f>ROUND(IF('[1]wgl tot'!BM36&gt;[1]tabellen!$H$11,[1]tabellen!$H$11,'[1]wgl tot'!BM36)*[1]tabellen!$C$11,2)</f>
        <v>#DIV/0!</v>
      </c>
      <c r="BL36" s="510" t="e">
        <f>+'[1]wgl tot'!BM36+'[1]wgl tot'!BN36</f>
        <v>#DIV/0!</v>
      </c>
      <c r="BM36" s="511">
        <f t="shared" si="8"/>
        <v>1900</v>
      </c>
      <c r="BN36" s="511">
        <f t="shared" si="9"/>
        <v>1</v>
      </c>
      <c r="BO36" s="505">
        <f t="shared" si="10"/>
        <v>0</v>
      </c>
      <c r="BP36" s="480">
        <f t="shared" si="22"/>
        <v>22462</v>
      </c>
      <c r="BQ36" s="480">
        <f t="shared" ca="1" si="23"/>
        <v>43888.768521180558</v>
      </c>
      <c r="BR36" s="454"/>
      <c r="BS36" s="480"/>
      <c r="BT36" s="454"/>
      <c r="BU36" s="512"/>
      <c r="BV36" s="512"/>
      <c r="BW36" s="512"/>
      <c r="BX36" s="512"/>
      <c r="BY36" s="512"/>
      <c r="BZ36" s="512"/>
      <c r="CA36" s="444"/>
      <c r="CB36" s="444"/>
    </row>
    <row r="37" spans="1:80" s="456" customFormat="1" ht="12" customHeight="1" x14ac:dyDescent="0.2">
      <c r="A37" s="444"/>
      <c r="B37" s="445"/>
      <c r="C37" s="484"/>
      <c r="D37" s="493"/>
      <c r="E37" s="494"/>
      <c r="F37" s="495"/>
      <c r="G37" s="495"/>
      <c r="H37" s="496"/>
      <c r="I37" s="535"/>
      <c r="J37" s="495"/>
      <c r="K37" s="497"/>
      <c r="L37" s="497"/>
      <c r="M37" s="498">
        <f>IF(F37="",0,(VLOOKUP('wgl tot'!F37,saltab2019juni,G37+1,FALSE)))</f>
        <v>0</v>
      </c>
      <c r="N37" s="499">
        <f t="shared" si="0"/>
        <v>0</v>
      </c>
      <c r="O37" s="484"/>
      <c r="P37" s="498">
        <f>ROUND(IF((M37+Q37)*BD37&lt;H37*tabellen!$D$33,H37*tabellen!$D$33,(M37+R37)*BD37),2)</f>
        <v>0</v>
      </c>
      <c r="Q37" s="498">
        <f t="shared" si="1"/>
        <v>0</v>
      </c>
      <c r="R37" s="498">
        <f t="shared" si="11"/>
        <v>0</v>
      </c>
      <c r="S37" s="498">
        <f t="shared" si="2"/>
        <v>0</v>
      </c>
      <c r="T37" s="498">
        <f t="shared" si="24"/>
        <v>0</v>
      </c>
      <c r="U37" s="498">
        <f>ROUND(H37*tabellen!$D$27,2)</f>
        <v>0</v>
      </c>
      <c r="V37" s="500">
        <f t="shared" si="12"/>
        <v>0</v>
      </c>
      <c r="W37" s="499">
        <f t="shared" si="13"/>
        <v>0</v>
      </c>
      <c r="X37" s="484"/>
      <c r="Y37" s="500">
        <f t="shared" si="14"/>
        <v>0</v>
      </c>
      <c r="Z37" s="501">
        <v>0</v>
      </c>
      <c r="AA37" s="484"/>
      <c r="AB37" s="498">
        <f>IF(F37="",0,(IF(V37/H37&lt;tabellen!$E$7,0,(V37-tabellen!$E$7*H37)/12)*tabellen!$C$7))</f>
        <v>0</v>
      </c>
      <c r="AC37" s="498">
        <f>IF(F37="",0,(IF(V37/H37&lt;tabellen!$E$7,0,(V37-tabellen!$E$7*H37)/12)*tabellen!$C$8))</f>
        <v>0</v>
      </c>
      <c r="AD37" s="498">
        <f>V37/12*tabellen!$C$9</f>
        <v>0</v>
      </c>
      <c r="AE37" s="498">
        <f>IF(H37=0,0,IF(BJ37&gt;tabellen!$G$10/12,$G$10/12,BJ37)*(tabellen!$C$10+tabellen!$C$11))</f>
        <v>0</v>
      </c>
      <c r="AF37" s="498">
        <f t="shared" si="3"/>
        <v>0</v>
      </c>
      <c r="AG37" s="502">
        <f>IF(F37="",0,(IF(BJ37&gt;tabellen!$G$13*H37/12,tabellen!$G$13*H37/12,BJ37*tabellen!$C$13)))</f>
        <v>0</v>
      </c>
      <c r="AH37" s="484"/>
      <c r="AI37" s="502">
        <f>IF(F37="",0,IF(K37="j",tabellen!$C$14*BJ37,0))</f>
        <v>0</v>
      </c>
      <c r="AJ37" s="502">
        <f>IF(F37="",0,IF(L37="j",tabellen!$C$15*BJ37,0))</f>
        <v>0</v>
      </c>
      <c r="AK37" s="503">
        <v>0</v>
      </c>
      <c r="AL37" s="484"/>
      <c r="AM37" s="503">
        <v>0</v>
      </c>
      <c r="AN37" s="484"/>
      <c r="AO37" s="499">
        <f t="shared" si="15"/>
        <v>0</v>
      </c>
      <c r="AP37" s="499">
        <f t="shared" si="16"/>
        <v>0</v>
      </c>
      <c r="AQ37" s="484"/>
      <c r="AR37" s="504" t="str">
        <f t="shared" si="4"/>
        <v/>
      </c>
      <c r="AS37" s="504" t="str">
        <f t="shared" si="5"/>
        <v/>
      </c>
      <c r="AT37" s="484"/>
      <c r="AU37" s="453"/>
      <c r="AV37" s="444"/>
      <c r="AW37" s="444"/>
      <c r="AX37" s="505">
        <f t="shared" ca="1" si="17"/>
        <v>120</v>
      </c>
      <c r="AY37" s="505">
        <f t="shared" ca="1" si="18"/>
        <v>1</v>
      </c>
      <c r="AZ37" s="505">
        <f t="shared" ca="1" si="19"/>
        <v>27</v>
      </c>
      <c r="BA37" s="454">
        <f t="shared" si="6"/>
        <v>100</v>
      </c>
      <c r="BB37" s="454">
        <f t="shared" si="7"/>
        <v>0</v>
      </c>
      <c r="BC37" s="480">
        <v>42583</v>
      </c>
      <c r="BD37" s="506">
        <f t="shared" si="25"/>
        <v>0.08</v>
      </c>
      <c r="BE37" s="507">
        <f>tabellen!$D$34</f>
        <v>7.3999999999999996E-2</v>
      </c>
      <c r="BF37" s="505">
        <f t="shared" si="20"/>
        <v>0</v>
      </c>
      <c r="BG37" s="508" t="e">
        <f>IF(V37/H37&lt;tabellen!$E$7,0,(V37-tabellen!$E$7*H37)/12*tabellen!$D$7)</f>
        <v>#DIV/0!</v>
      </c>
      <c r="BH37" s="508" t="e">
        <f>IF(V37/H37&lt;tabellen!$E$8,0,(V37-tabellen!$E$8*H37)/12*tabellen!$D$8)</f>
        <v>#DIV/0!</v>
      </c>
      <c r="BI37" s="509" t="e">
        <f t="shared" si="21"/>
        <v>#DIV/0!</v>
      </c>
      <c r="BJ37" s="510" t="e">
        <f>+W37/12-'[1]wgl tot'!BL37</f>
        <v>#DIV/0!</v>
      </c>
      <c r="BK37" s="510" t="e">
        <f>ROUND(IF('[1]wgl tot'!BM37&gt;[1]tabellen!$H$11,[1]tabellen!$H$11,'[1]wgl tot'!BM37)*[1]tabellen!$C$11,2)</f>
        <v>#DIV/0!</v>
      </c>
      <c r="BL37" s="510" t="e">
        <f>+'[1]wgl tot'!BM37+'[1]wgl tot'!BN37</f>
        <v>#DIV/0!</v>
      </c>
      <c r="BM37" s="511">
        <f t="shared" si="8"/>
        <v>1900</v>
      </c>
      <c r="BN37" s="511">
        <f t="shared" si="9"/>
        <v>1</v>
      </c>
      <c r="BO37" s="505">
        <f t="shared" si="10"/>
        <v>0</v>
      </c>
      <c r="BP37" s="480">
        <f t="shared" si="22"/>
        <v>22462</v>
      </c>
      <c r="BQ37" s="480">
        <f t="shared" ca="1" si="23"/>
        <v>43888.768521180558</v>
      </c>
      <c r="BR37" s="454"/>
      <c r="BS37" s="480"/>
      <c r="BT37" s="454"/>
      <c r="BU37" s="512"/>
      <c r="BV37" s="512"/>
      <c r="BW37" s="512"/>
      <c r="BX37" s="512"/>
      <c r="BY37" s="512"/>
      <c r="BZ37" s="512"/>
      <c r="CA37" s="444"/>
      <c r="CB37" s="444"/>
    </row>
    <row r="38" spans="1:80" s="456" customFormat="1" ht="12" customHeight="1" x14ac:dyDescent="0.2">
      <c r="A38" s="444"/>
      <c r="B38" s="445"/>
      <c r="C38" s="484"/>
      <c r="D38" s="493"/>
      <c r="E38" s="494"/>
      <c r="F38" s="495"/>
      <c r="G38" s="495"/>
      <c r="H38" s="496"/>
      <c r="I38" s="535"/>
      <c r="J38" s="495"/>
      <c r="K38" s="497"/>
      <c r="L38" s="497"/>
      <c r="M38" s="498">
        <f>IF(F38="",0,(VLOOKUP('wgl tot'!F38,saltab2019juni,G38+1,FALSE)))</f>
        <v>0</v>
      </c>
      <c r="N38" s="499">
        <f t="shared" si="0"/>
        <v>0</v>
      </c>
      <c r="O38" s="484"/>
      <c r="P38" s="498">
        <f>ROUND(IF((M38+Q38)*BD38&lt;H38*tabellen!$D$33,H38*tabellen!$D$33,(M38+R38)*BD38),2)</f>
        <v>0</v>
      </c>
      <c r="Q38" s="498">
        <f t="shared" si="1"/>
        <v>0</v>
      </c>
      <c r="R38" s="498">
        <f t="shared" si="11"/>
        <v>0</v>
      </c>
      <c r="S38" s="498">
        <f t="shared" si="2"/>
        <v>0</v>
      </c>
      <c r="T38" s="498">
        <f t="shared" si="24"/>
        <v>0</v>
      </c>
      <c r="U38" s="498">
        <f>ROUND(H38*tabellen!$D$27,2)</f>
        <v>0</v>
      </c>
      <c r="V38" s="500">
        <f t="shared" si="12"/>
        <v>0</v>
      </c>
      <c r="W38" s="499">
        <f t="shared" si="13"/>
        <v>0</v>
      </c>
      <c r="X38" s="484"/>
      <c r="Y38" s="500">
        <f t="shared" si="14"/>
        <v>0</v>
      </c>
      <c r="Z38" s="501">
        <v>0</v>
      </c>
      <c r="AA38" s="484"/>
      <c r="AB38" s="498">
        <f>IF(F38="",0,(IF(V38/H38&lt;tabellen!$E$7,0,(V38-tabellen!$E$7*H38)/12)*tabellen!$C$7))</f>
        <v>0</v>
      </c>
      <c r="AC38" s="498">
        <f>IF(F38="",0,(IF(V38/H38&lt;tabellen!$E$7,0,(V38-tabellen!$E$7*H38)/12)*tabellen!$C$8))</f>
        <v>0</v>
      </c>
      <c r="AD38" s="498">
        <f>V38/12*tabellen!$C$9</f>
        <v>0</v>
      </c>
      <c r="AE38" s="498">
        <f>IF(H38=0,0,IF(BJ38&gt;tabellen!$G$10/12,$G$10/12,BJ38)*(tabellen!$C$10+tabellen!$C$11))</f>
        <v>0</v>
      </c>
      <c r="AF38" s="498">
        <f t="shared" si="3"/>
        <v>0</v>
      </c>
      <c r="AG38" s="502">
        <f>IF(F38="",0,(IF(BJ38&gt;tabellen!$G$13*H38/12,tabellen!$G$13*H38/12,BJ38*tabellen!$C$13)))</f>
        <v>0</v>
      </c>
      <c r="AH38" s="484"/>
      <c r="AI38" s="502">
        <f>IF(F38="",0,IF(K38="j",tabellen!$C$14*BJ38,0))</f>
        <v>0</v>
      </c>
      <c r="AJ38" s="502">
        <f>IF(F38="",0,IF(L38="j",tabellen!$C$15*BJ38,0))</f>
        <v>0</v>
      </c>
      <c r="AK38" s="503">
        <v>0</v>
      </c>
      <c r="AL38" s="484"/>
      <c r="AM38" s="503">
        <v>0</v>
      </c>
      <c r="AN38" s="484"/>
      <c r="AO38" s="499">
        <f t="shared" si="15"/>
        <v>0</v>
      </c>
      <c r="AP38" s="499">
        <f t="shared" si="16"/>
        <v>0</v>
      </c>
      <c r="AQ38" s="484"/>
      <c r="AR38" s="504" t="str">
        <f t="shared" si="4"/>
        <v/>
      </c>
      <c r="AS38" s="504" t="str">
        <f t="shared" si="5"/>
        <v/>
      </c>
      <c r="AT38" s="484"/>
      <c r="AU38" s="453"/>
      <c r="AV38" s="444"/>
      <c r="AW38" s="444"/>
      <c r="AX38" s="505">
        <f t="shared" ca="1" si="17"/>
        <v>120</v>
      </c>
      <c r="AY38" s="505">
        <f t="shared" ca="1" si="18"/>
        <v>1</v>
      </c>
      <c r="AZ38" s="505">
        <f t="shared" ca="1" si="19"/>
        <v>27</v>
      </c>
      <c r="BA38" s="454">
        <f t="shared" si="6"/>
        <v>100</v>
      </c>
      <c r="BB38" s="454">
        <f t="shared" si="7"/>
        <v>0</v>
      </c>
      <c r="BC38" s="480">
        <v>42583</v>
      </c>
      <c r="BD38" s="506">
        <f t="shared" si="25"/>
        <v>0.08</v>
      </c>
      <c r="BE38" s="507">
        <f>tabellen!$D$34</f>
        <v>7.3999999999999996E-2</v>
      </c>
      <c r="BF38" s="505">
        <f t="shared" si="20"/>
        <v>0</v>
      </c>
      <c r="BG38" s="508" t="e">
        <f>IF(V38/H38&lt;tabellen!$E$7,0,(V38-tabellen!$E$7*H38)/12*tabellen!$D$7)</f>
        <v>#DIV/0!</v>
      </c>
      <c r="BH38" s="508" t="e">
        <f>IF(V38/H38&lt;tabellen!$E$8,0,(V38-tabellen!$E$8*H38)/12*tabellen!$D$8)</f>
        <v>#DIV/0!</v>
      </c>
      <c r="BI38" s="509" t="e">
        <f t="shared" si="21"/>
        <v>#DIV/0!</v>
      </c>
      <c r="BJ38" s="510" t="e">
        <f>+W38/12-'[1]wgl tot'!BL38</f>
        <v>#DIV/0!</v>
      </c>
      <c r="BK38" s="510" t="e">
        <f>ROUND(IF('[1]wgl tot'!BM38&gt;[1]tabellen!$H$11,[1]tabellen!$H$11,'[1]wgl tot'!BM38)*[1]tabellen!$C$11,2)</f>
        <v>#DIV/0!</v>
      </c>
      <c r="BL38" s="510" t="e">
        <f>+'[1]wgl tot'!BM38+'[1]wgl tot'!BN38</f>
        <v>#DIV/0!</v>
      </c>
      <c r="BM38" s="511">
        <f t="shared" si="8"/>
        <v>1900</v>
      </c>
      <c r="BN38" s="511">
        <f t="shared" si="9"/>
        <v>1</v>
      </c>
      <c r="BO38" s="505">
        <f t="shared" si="10"/>
        <v>0</v>
      </c>
      <c r="BP38" s="480">
        <f t="shared" si="22"/>
        <v>22462</v>
      </c>
      <c r="BQ38" s="480">
        <f t="shared" ca="1" si="23"/>
        <v>43888.768521180558</v>
      </c>
      <c r="BR38" s="454"/>
      <c r="BS38" s="480"/>
      <c r="BT38" s="454"/>
      <c r="BU38" s="512"/>
      <c r="BV38" s="512"/>
      <c r="BW38" s="512"/>
      <c r="BX38" s="512"/>
      <c r="BY38" s="512"/>
      <c r="BZ38" s="512"/>
      <c r="CA38" s="444"/>
      <c r="CB38" s="444"/>
    </row>
    <row r="39" spans="1:80" s="456" customFormat="1" ht="12" customHeight="1" x14ac:dyDescent="0.2">
      <c r="A39" s="444"/>
      <c r="B39" s="445"/>
      <c r="C39" s="484"/>
      <c r="D39" s="493"/>
      <c r="E39" s="494"/>
      <c r="F39" s="495"/>
      <c r="G39" s="495"/>
      <c r="H39" s="496"/>
      <c r="I39" s="535"/>
      <c r="J39" s="495"/>
      <c r="K39" s="497"/>
      <c r="L39" s="497"/>
      <c r="M39" s="498">
        <f>IF(F39="",0,(VLOOKUP('wgl tot'!F39,saltab2019juni,G39+1,FALSE)))</f>
        <v>0</v>
      </c>
      <c r="N39" s="499">
        <f t="shared" si="0"/>
        <v>0</v>
      </c>
      <c r="O39" s="484"/>
      <c r="P39" s="498">
        <f>ROUND(IF((M39+Q39)*BD39&lt;H39*tabellen!$D$33,H39*tabellen!$D$33,(M39+R39)*BD39),2)</f>
        <v>0</v>
      </c>
      <c r="Q39" s="498">
        <f t="shared" si="1"/>
        <v>0</v>
      </c>
      <c r="R39" s="498">
        <f t="shared" si="11"/>
        <v>0</v>
      </c>
      <c r="S39" s="498">
        <f t="shared" si="2"/>
        <v>0</v>
      </c>
      <c r="T39" s="498">
        <f t="shared" si="24"/>
        <v>0</v>
      </c>
      <c r="U39" s="498">
        <f>ROUND(H39*tabellen!$D$27,2)</f>
        <v>0</v>
      </c>
      <c r="V39" s="500">
        <f t="shared" si="12"/>
        <v>0</v>
      </c>
      <c r="W39" s="499">
        <f t="shared" si="13"/>
        <v>0</v>
      </c>
      <c r="X39" s="484"/>
      <c r="Y39" s="500">
        <f t="shared" si="14"/>
        <v>0</v>
      </c>
      <c r="Z39" s="501">
        <v>0</v>
      </c>
      <c r="AA39" s="484"/>
      <c r="AB39" s="498">
        <f>IF(F39="",0,(IF(V39/H39&lt;tabellen!$E$7,0,(V39-tabellen!$E$7*H39)/12)*tabellen!$C$7))</f>
        <v>0</v>
      </c>
      <c r="AC39" s="498">
        <f>IF(F39="",0,(IF(V39/H39&lt;tabellen!$E$7,0,(V39-tabellen!$E$7*H39)/12)*tabellen!$C$8))</f>
        <v>0</v>
      </c>
      <c r="AD39" s="498">
        <f>V39/12*tabellen!$C$9</f>
        <v>0</v>
      </c>
      <c r="AE39" s="498">
        <f>IF(H39=0,0,IF(BJ39&gt;tabellen!$G$10/12,$G$10/12,BJ39)*(tabellen!$C$10+tabellen!$C$11))</f>
        <v>0</v>
      </c>
      <c r="AF39" s="498">
        <f t="shared" si="3"/>
        <v>0</v>
      </c>
      <c r="AG39" s="502">
        <f>IF(F39="",0,(IF(BJ39&gt;tabellen!$G$13*H39/12,tabellen!$G$13*H39/12,BJ39*tabellen!$C$13)))</f>
        <v>0</v>
      </c>
      <c r="AH39" s="484"/>
      <c r="AI39" s="502">
        <f>IF(F39="",0,IF(K39="j",tabellen!$C$14*BJ39,0))</f>
        <v>0</v>
      </c>
      <c r="AJ39" s="502">
        <f>IF(F39="",0,IF(L39="j",tabellen!$C$15*BJ39,0))</f>
        <v>0</v>
      </c>
      <c r="AK39" s="503">
        <v>0</v>
      </c>
      <c r="AL39" s="484"/>
      <c r="AM39" s="503">
        <v>0</v>
      </c>
      <c r="AN39" s="484"/>
      <c r="AO39" s="499">
        <f t="shared" si="15"/>
        <v>0</v>
      </c>
      <c r="AP39" s="499">
        <f t="shared" si="16"/>
        <v>0</v>
      </c>
      <c r="AQ39" s="484"/>
      <c r="AR39" s="504" t="str">
        <f t="shared" si="4"/>
        <v/>
      </c>
      <c r="AS39" s="504" t="str">
        <f t="shared" si="5"/>
        <v/>
      </c>
      <c r="AT39" s="484"/>
      <c r="AU39" s="453"/>
      <c r="AV39" s="444"/>
      <c r="AW39" s="444"/>
      <c r="AX39" s="505">
        <f t="shared" ca="1" si="17"/>
        <v>120</v>
      </c>
      <c r="AY39" s="505">
        <f t="shared" ca="1" si="18"/>
        <v>1</v>
      </c>
      <c r="AZ39" s="505">
        <f t="shared" ca="1" si="19"/>
        <v>27</v>
      </c>
      <c r="BA39" s="454">
        <f t="shared" si="6"/>
        <v>100</v>
      </c>
      <c r="BB39" s="454">
        <f t="shared" si="7"/>
        <v>0</v>
      </c>
      <c r="BC39" s="480">
        <v>42583</v>
      </c>
      <c r="BD39" s="506">
        <f t="shared" si="25"/>
        <v>0.08</v>
      </c>
      <c r="BE39" s="507">
        <f>tabellen!$D$34</f>
        <v>7.3999999999999996E-2</v>
      </c>
      <c r="BF39" s="505">
        <f t="shared" si="20"/>
        <v>0</v>
      </c>
      <c r="BG39" s="508" t="e">
        <f>IF(V39/H39&lt;tabellen!$E$7,0,(V39-tabellen!$E$7*H39)/12*tabellen!$D$7)</f>
        <v>#DIV/0!</v>
      </c>
      <c r="BH39" s="508" t="e">
        <f>IF(V39/H39&lt;tabellen!$E$8,0,(V39-tabellen!$E$8*H39)/12*tabellen!$D$8)</f>
        <v>#DIV/0!</v>
      </c>
      <c r="BI39" s="509" t="e">
        <f t="shared" si="21"/>
        <v>#DIV/0!</v>
      </c>
      <c r="BJ39" s="510" t="e">
        <f>+W39/12-'[1]wgl tot'!BL39</f>
        <v>#DIV/0!</v>
      </c>
      <c r="BK39" s="510" t="e">
        <f>ROUND(IF('[1]wgl tot'!BM39&gt;[1]tabellen!$H$11,[1]tabellen!$H$11,'[1]wgl tot'!BM39)*[1]tabellen!$C$11,2)</f>
        <v>#DIV/0!</v>
      </c>
      <c r="BL39" s="510" t="e">
        <f>+'[1]wgl tot'!BM39+'[1]wgl tot'!BN39</f>
        <v>#DIV/0!</v>
      </c>
      <c r="BM39" s="511">
        <f t="shared" si="8"/>
        <v>1900</v>
      </c>
      <c r="BN39" s="511">
        <f t="shared" si="9"/>
        <v>1</v>
      </c>
      <c r="BO39" s="505">
        <f t="shared" si="10"/>
        <v>0</v>
      </c>
      <c r="BP39" s="480">
        <f t="shared" si="22"/>
        <v>22462</v>
      </c>
      <c r="BQ39" s="480">
        <f t="shared" ca="1" si="23"/>
        <v>43888.768521180558</v>
      </c>
      <c r="BR39" s="454"/>
      <c r="BS39" s="480"/>
      <c r="BT39" s="454"/>
      <c r="BU39" s="512"/>
      <c r="BV39" s="512"/>
      <c r="BW39" s="512"/>
      <c r="BX39" s="512"/>
      <c r="BY39" s="512"/>
      <c r="BZ39" s="512"/>
      <c r="CA39" s="444"/>
      <c r="CB39" s="444"/>
    </row>
    <row r="40" spans="1:80" s="456" customFormat="1" ht="12" customHeight="1" x14ac:dyDescent="0.2">
      <c r="A40" s="444"/>
      <c r="B40" s="445"/>
      <c r="C40" s="484"/>
      <c r="D40" s="493"/>
      <c r="E40" s="494"/>
      <c r="F40" s="495"/>
      <c r="G40" s="495"/>
      <c r="H40" s="496"/>
      <c r="I40" s="535"/>
      <c r="J40" s="495"/>
      <c r="K40" s="497"/>
      <c r="L40" s="497"/>
      <c r="M40" s="498">
        <f>IF(F40="",0,(VLOOKUP('wgl tot'!F40,saltab2019juni,G40+1,FALSE)))</f>
        <v>0</v>
      </c>
      <c r="N40" s="499">
        <f t="shared" si="0"/>
        <v>0</v>
      </c>
      <c r="O40" s="484"/>
      <c r="P40" s="498">
        <f>ROUND(IF((M40+Q40)*BD40&lt;H40*tabellen!$D$33,H40*tabellen!$D$33,(M40+R40)*BD40),2)</f>
        <v>0</v>
      </c>
      <c r="Q40" s="498">
        <f t="shared" si="1"/>
        <v>0</v>
      </c>
      <c r="R40" s="498">
        <f t="shared" si="11"/>
        <v>0</v>
      </c>
      <c r="S40" s="498">
        <f t="shared" si="2"/>
        <v>0</v>
      </c>
      <c r="T40" s="498">
        <f t="shared" si="24"/>
        <v>0</v>
      </c>
      <c r="U40" s="498">
        <f>ROUND(H40*tabellen!$D$27,2)</f>
        <v>0</v>
      </c>
      <c r="V40" s="500">
        <f t="shared" si="12"/>
        <v>0</v>
      </c>
      <c r="W40" s="499">
        <f t="shared" si="13"/>
        <v>0</v>
      </c>
      <c r="X40" s="484"/>
      <c r="Y40" s="500">
        <f t="shared" si="14"/>
        <v>0</v>
      </c>
      <c r="Z40" s="501">
        <v>0</v>
      </c>
      <c r="AA40" s="484"/>
      <c r="AB40" s="498">
        <f>IF(F40="",0,(IF(V40/H40&lt;tabellen!$E$7,0,(V40-tabellen!$E$7*H40)/12)*tabellen!$C$7))</f>
        <v>0</v>
      </c>
      <c r="AC40" s="498">
        <f>IF(F40="",0,(IF(V40/H40&lt;tabellen!$E$7,0,(V40-tabellen!$E$7*H40)/12)*tabellen!$C$8))</f>
        <v>0</v>
      </c>
      <c r="AD40" s="498">
        <f>V40/12*tabellen!$C$9</f>
        <v>0</v>
      </c>
      <c r="AE40" s="498">
        <f>IF(H40=0,0,IF(BJ40&gt;tabellen!$G$10/12,$G$10/12,BJ40)*(tabellen!$C$10+tabellen!$C$11))</f>
        <v>0</v>
      </c>
      <c r="AF40" s="498">
        <f t="shared" si="3"/>
        <v>0</v>
      </c>
      <c r="AG40" s="502">
        <f>IF(F40="",0,(IF(BJ40&gt;tabellen!$G$13*H40/12,tabellen!$G$13*H40/12,BJ40*tabellen!$C$13)))</f>
        <v>0</v>
      </c>
      <c r="AH40" s="484"/>
      <c r="AI40" s="502">
        <f>IF(F40="",0,IF(K40="j",tabellen!$C$14*BJ40,0))</f>
        <v>0</v>
      </c>
      <c r="AJ40" s="502">
        <f>IF(F40="",0,IF(L40="j",tabellen!$C$15*BJ40,0))</f>
        <v>0</v>
      </c>
      <c r="AK40" s="503">
        <v>0</v>
      </c>
      <c r="AL40" s="484"/>
      <c r="AM40" s="503">
        <v>0</v>
      </c>
      <c r="AN40" s="484"/>
      <c r="AO40" s="499">
        <f t="shared" si="15"/>
        <v>0</v>
      </c>
      <c r="AP40" s="499">
        <f t="shared" si="16"/>
        <v>0</v>
      </c>
      <c r="AQ40" s="484"/>
      <c r="AR40" s="504" t="str">
        <f t="shared" si="4"/>
        <v/>
      </c>
      <c r="AS40" s="504" t="str">
        <f t="shared" si="5"/>
        <v/>
      </c>
      <c r="AT40" s="484"/>
      <c r="AU40" s="453"/>
      <c r="AV40" s="444"/>
      <c r="AW40" s="444"/>
      <c r="AX40" s="505">
        <f t="shared" ca="1" si="17"/>
        <v>120</v>
      </c>
      <c r="AY40" s="505">
        <f t="shared" ca="1" si="18"/>
        <v>1</v>
      </c>
      <c r="AZ40" s="505">
        <f t="shared" ca="1" si="19"/>
        <v>27</v>
      </c>
      <c r="BA40" s="454">
        <f t="shared" si="6"/>
        <v>100</v>
      </c>
      <c r="BB40" s="454">
        <f t="shared" si="7"/>
        <v>0</v>
      </c>
      <c r="BC40" s="480">
        <v>42583</v>
      </c>
      <c r="BD40" s="506">
        <f t="shared" si="25"/>
        <v>0.08</v>
      </c>
      <c r="BE40" s="507">
        <f>tabellen!$D$34</f>
        <v>7.3999999999999996E-2</v>
      </c>
      <c r="BF40" s="505">
        <f t="shared" si="20"/>
        <v>0</v>
      </c>
      <c r="BG40" s="508" t="e">
        <f>IF(V40/H40&lt;tabellen!$E$7,0,(V40-tabellen!$E$7*H40)/12*tabellen!$D$7)</f>
        <v>#DIV/0!</v>
      </c>
      <c r="BH40" s="508" t="e">
        <f>IF(V40/H40&lt;tabellen!$E$8,0,(V40-tabellen!$E$8*H40)/12*tabellen!$D$8)</f>
        <v>#DIV/0!</v>
      </c>
      <c r="BI40" s="509" t="e">
        <f t="shared" si="21"/>
        <v>#DIV/0!</v>
      </c>
      <c r="BJ40" s="510" t="e">
        <f>+W40/12-'[1]wgl tot'!BL40</f>
        <v>#DIV/0!</v>
      </c>
      <c r="BK40" s="510" t="e">
        <f>ROUND(IF('[1]wgl tot'!BM40&gt;[1]tabellen!$H$11,[1]tabellen!$H$11,'[1]wgl tot'!BM40)*[1]tabellen!$C$11,2)</f>
        <v>#DIV/0!</v>
      </c>
      <c r="BL40" s="510" t="e">
        <f>+'[1]wgl tot'!BM40+'[1]wgl tot'!BN40</f>
        <v>#DIV/0!</v>
      </c>
      <c r="BM40" s="511">
        <f t="shared" si="8"/>
        <v>1900</v>
      </c>
      <c r="BN40" s="511">
        <f t="shared" si="9"/>
        <v>1</v>
      </c>
      <c r="BO40" s="505">
        <f t="shared" si="10"/>
        <v>0</v>
      </c>
      <c r="BP40" s="480">
        <f t="shared" si="22"/>
        <v>22462</v>
      </c>
      <c r="BQ40" s="480">
        <f t="shared" ca="1" si="23"/>
        <v>43888.768521180558</v>
      </c>
      <c r="BR40" s="454"/>
      <c r="BS40" s="480"/>
      <c r="BT40" s="454"/>
      <c r="BU40" s="512"/>
      <c r="BV40" s="512"/>
      <c r="BW40" s="512"/>
      <c r="BX40" s="512"/>
      <c r="BY40" s="512"/>
      <c r="BZ40" s="512"/>
      <c r="CA40" s="444"/>
      <c r="CB40" s="444"/>
    </row>
    <row r="41" spans="1:80" s="456" customFormat="1" ht="12" customHeight="1" x14ac:dyDescent="0.2">
      <c r="A41" s="444"/>
      <c r="B41" s="445"/>
      <c r="C41" s="484"/>
      <c r="D41" s="493"/>
      <c r="E41" s="494"/>
      <c r="F41" s="495"/>
      <c r="G41" s="495"/>
      <c r="H41" s="496"/>
      <c r="I41" s="535"/>
      <c r="J41" s="495"/>
      <c r="K41" s="497"/>
      <c r="L41" s="497"/>
      <c r="M41" s="498">
        <f>IF(F41="",0,(VLOOKUP('wgl tot'!F41,saltab2019juni,G41+1,FALSE)))</f>
        <v>0</v>
      </c>
      <c r="N41" s="499">
        <f t="shared" si="0"/>
        <v>0</v>
      </c>
      <c r="O41" s="484"/>
      <c r="P41" s="498">
        <f>ROUND(IF((M41+Q41)*BD41&lt;H41*tabellen!$D$33,H41*tabellen!$D$33,(M41+R41)*BD41),2)</f>
        <v>0</v>
      </c>
      <c r="Q41" s="498">
        <f t="shared" si="1"/>
        <v>0</v>
      </c>
      <c r="R41" s="498">
        <f t="shared" si="11"/>
        <v>0</v>
      </c>
      <c r="S41" s="498">
        <f t="shared" si="2"/>
        <v>0</v>
      </c>
      <c r="T41" s="498">
        <f t="shared" si="24"/>
        <v>0</v>
      </c>
      <c r="U41" s="498">
        <f>ROUND(H41*tabellen!$D$27,2)</f>
        <v>0</v>
      </c>
      <c r="V41" s="500">
        <f t="shared" si="12"/>
        <v>0</v>
      </c>
      <c r="W41" s="499">
        <f t="shared" si="13"/>
        <v>0</v>
      </c>
      <c r="X41" s="484"/>
      <c r="Y41" s="500">
        <f t="shared" si="14"/>
        <v>0</v>
      </c>
      <c r="Z41" s="501">
        <v>0</v>
      </c>
      <c r="AA41" s="484"/>
      <c r="AB41" s="498">
        <f>IF(F41="",0,(IF(V41/H41&lt;tabellen!$E$7,0,(V41-tabellen!$E$7*H41)/12)*tabellen!$C$7))</f>
        <v>0</v>
      </c>
      <c r="AC41" s="498">
        <f>IF(F41="",0,(IF(V41/H41&lt;tabellen!$E$7,0,(V41-tabellen!$E$7*H41)/12)*tabellen!$C$8))</f>
        <v>0</v>
      </c>
      <c r="AD41" s="498">
        <f>V41/12*tabellen!$C$9</f>
        <v>0</v>
      </c>
      <c r="AE41" s="498">
        <f>IF(H41=0,0,IF(BJ41&gt;tabellen!$G$10/12,$G$10/12,BJ41)*(tabellen!$C$10+tabellen!$C$11))</f>
        <v>0</v>
      </c>
      <c r="AF41" s="498">
        <f t="shared" si="3"/>
        <v>0</v>
      </c>
      <c r="AG41" s="502">
        <f>IF(F41="",0,(IF(BJ41&gt;tabellen!$G$13*H41/12,tabellen!$G$13*H41/12,BJ41*tabellen!$C$13)))</f>
        <v>0</v>
      </c>
      <c r="AH41" s="484"/>
      <c r="AI41" s="502">
        <f>IF(F41="",0,IF(K41="j",tabellen!$C$14*BJ41,0))</f>
        <v>0</v>
      </c>
      <c r="AJ41" s="502">
        <f>IF(F41="",0,IF(L41="j",tabellen!$C$15*BJ41,0))</f>
        <v>0</v>
      </c>
      <c r="AK41" s="503">
        <v>0</v>
      </c>
      <c r="AL41" s="484"/>
      <c r="AM41" s="503">
        <v>0</v>
      </c>
      <c r="AN41" s="484"/>
      <c r="AO41" s="499">
        <f t="shared" si="15"/>
        <v>0</v>
      </c>
      <c r="AP41" s="499">
        <f t="shared" si="16"/>
        <v>0</v>
      </c>
      <c r="AQ41" s="484"/>
      <c r="AR41" s="504" t="str">
        <f t="shared" si="4"/>
        <v/>
      </c>
      <c r="AS41" s="504" t="str">
        <f t="shared" si="5"/>
        <v/>
      </c>
      <c r="AT41" s="484"/>
      <c r="AU41" s="453"/>
      <c r="AV41" s="444"/>
      <c r="AW41" s="444"/>
      <c r="AX41" s="505">
        <f t="shared" ca="1" si="17"/>
        <v>120</v>
      </c>
      <c r="AY41" s="505">
        <f t="shared" ca="1" si="18"/>
        <v>1</v>
      </c>
      <c r="AZ41" s="505">
        <f t="shared" ca="1" si="19"/>
        <v>27</v>
      </c>
      <c r="BA41" s="454">
        <f t="shared" si="6"/>
        <v>100</v>
      </c>
      <c r="BB41" s="454">
        <f t="shared" si="7"/>
        <v>0</v>
      </c>
      <c r="BC41" s="480">
        <v>42583</v>
      </c>
      <c r="BD41" s="506">
        <f t="shared" si="25"/>
        <v>0.08</v>
      </c>
      <c r="BE41" s="507">
        <f>tabellen!$D$34</f>
        <v>7.3999999999999996E-2</v>
      </c>
      <c r="BF41" s="505">
        <f t="shared" si="20"/>
        <v>0</v>
      </c>
      <c r="BG41" s="508" t="e">
        <f>IF(V41/H41&lt;tabellen!$E$7,0,(V41-tabellen!$E$7*H41)/12*tabellen!$D$7)</f>
        <v>#DIV/0!</v>
      </c>
      <c r="BH41" s="508" t="e">
        <f>IF(V41/H41&lt;tabellen!$E$8,0,(V41-tabellen!$E$8*H41)/12*tabellen!$D$8)</f>
        <v>#DIV/0!</v>
      </c>
      <c r="BI41" s="509" t="e">
        <f t="shared" si="21"/>
        <v>#DIV/0!</v>
      </c>
      <c r="BJ41" s="510" t="e">
        <f>+W41/12-'[1]wgl tot'!BL41</f>
        <v>#DIV/0!</v>
      </c>
      <c r="BK41" s="510" t="e">
        <f>ROUND(IF('[1]wgl tot'!BM41&gt;[1]tabellen!$H$11,[1]tabellen!$H$11,'[1]wgl tot'!BM41)*[1]tabellen!$C$11,2)</f>
        <v>#DIV/0!</v>
      </c>
      <c r="BL41" s="510" t="e">
        <f>+'[1]wgl tot'!BM41+'[1]wgl tot'!BN41</f>
        <v>#DIV/0!</v>
      </c>
      <c r="BM41" s="511">
        <f t="shared" si="8"/>
        <v>1900</v>
      </c>
      <c r="BN41" s="511">
        <f t="shared" si="9"/>
        <v>1</v>
      </c>
      <c r="BO41" s="505">
        <f t="shared" si="10"/>
        <v>0</v>
      </c>
      <c r="BP41" s="480">
        <f t="shared" si="22"/>
        <v>22462</v>
      </c>
      <c r="BQ41" s="480">
        <f t="shared" ca="1" si="23"/>
        <v>43888.768521180558</v>
      </c>
      <c r="BR41" s="454"/>
      <c r="BS41" s="480"/>
      <c r="BT41" s="454"/>
      <c r="BU41" s="512"/>
      <c r="BV41" s="512"/>
      <c r="BW41" s="512"/>
      <c r="BX41" s="512"/>
      <c r="BY41" s="512"/>
      <c r="BZ41" s="512"/>
      <c r="CA41" s="444"/>
      <c r="CB41" s="444"/>
    </row>
    <row r="42" spans="1:80" s="456" customFormat="1" ht="12" customHeight="1" x14ac:dyDescent="0.2">
      <c r="A42" s="444"/>
      <c r="B42" s="445"/>
      <c r="C42" s="484"/>
      <c r="D42" s="493"/>
      <c r="E42" s="494"/>
      <c r="F42" s="495"/>
      <c r="G42" s="495"/>
      <c r="H42" s="496"/>
      <c r="I42" s="535"/>
      <c r="J42" s="495"/>
      <c r="K42" s="497"/>
      <c r="L42" s="497"/>
      <c r="M42" s="498">
        <f>IF(F42="",0,(VLOOKUP('wgl tot'!F42,saltab2019juni,G42+1,FALSE)))</f>
        <v>0</v>
      </c>
      <c r="N42" s="499">
        <f t="shared" si="0"/>
        <v>0</v>
      </c>
      <c r="O42" s="484"/>
      <c r="P42" s="498">
        <f>ROUND(IF((M42+Q42)*BD42&lt;H42*tabellen!$D$33,H42*tabellen!$D$33,(M42+R42)*BD42),2)</f>
        <v>0</v>
      </c>
      <c r="Q42" s="498">
        <f t="shared" si="1"/>
        <v>0</v>
      </c>
      <c r="R42" s="498">
        <f t="shared" si="11"/>
        <v>0</v>
      </c>
      <c r="S42" s="498">
        <f t="shared" si="2"/>
        <v>0</v>
      </c>
      <c r="T42" s="498">
        <f t="shared" si="24"/>
        <v>0</v>
      </c>
      <c r="U42" s="498">
        <f>ROUND(H42*tabellen!$D$27,2)</f>
        <v>0</v>
      </c>
      <c r="V42" s="500">
        <f t="shared" si="12"/>
        <v>0</v>
      </c>
      <c r="W42" s="499">
        <f t="shared" si="13"/>
        <v>0</v>
      </c>
      <c r="X42" s="484"/>
      <c r="Y42" s="500">
        <f t="shared" si="14"/>
        <v>0</v>
      </c>
      <c r="Z42" s="501">
        <v>0</v>
      </c>
      <c r="AA42" s="484"/>
      <c r="AB42" s="498">
        <f>IF(F42="",0,(IF(V42/H42&lt;tabellen!$E$7,0,(V42-tabellen!$E$7*H42)/12)*tabellen!$C$7))</f>
        <v>0</v>
      </c>
      <c r="AC42" s="498">
        <f>IF(F42="",0,(IF(V42/H42&lt;tabellen!$E$7,0,(V42-tabellen!$E$7*H42)/12)*tabellen!$C$8))</f>
        <v>0</v>
      </c>
      <c r="AD42" s="498">
        <f>V42/12*tabellen!$C$9</f>
        <v>0</v>
      </c>
      <c r="AE42" s="498">
        <f>IF(H42=0,0,IF(BJ42&gt;tabellen!$G$10/12,$G$10/12,BJ42)*(tabellen!$C$10+tabellen!$C$11))</f>
        <v>0</v>
      </c>
      <c r="AF42" s="498">
        <f t="shared" si="3"/>
        <v>0</v>
      </c>
      <c r="AG42" s="502">
        <f>IF(F42="",0,(IF(BJ42&gt;tabellen!$G$13*H42/12,tabellen!$G$13*H42/12,BJ42*tabellen!$C$13)))</f>
        <v>0</v>
      </c>
      <c r="AH42" s="484"/>
      <c r="AI42" s="502">
        <f>IF(F42="",0,IF(K42="j",tabellen!$C$14*BJ42,0))</f>
        <v>0</v>
      </c>
      <c r="AJ42" s="502">
        <f>IF(F42="",0,IF(L42="j",tabellen!$C$15*BJ42,0))</f>
        <v>0</v>
      </c>
      <c r="AK42" s="503">
        <v>0</v>
      </c>
      <c r="AL42" s="484"/>
      <c r="AM42" s="503">
        <v>0</v>
      </c>
      <c r="AN42" s="484"/>
      <c r="AO42" s="499">
        <f t="shared" si="15"/>
        <v>0</v>
      </c>
      <c r="AP42" s="499">
        <f t="shared" si="16"/>
        <v>0</v>
      </c>
      <c r="AQ42" s="484"/>
      <c r="AR42" s="504" t="str">
        <f t="shared" si="4"/>
        <v/>
      </c>
      <c r="AS42" s="504" t="str">
        <f t="shared" si="5"/>
        <v/>
      </c>
      <c r="AT42" s="484"/>
      <c r="AU42" s="453"/>
      <c r="AV42" s="444"/>
      <c r="AW42" s="444"/>
      <c r="AX42" s="505">
        <f t="shared" ca="1" si="17"/>
        <v>120</v>
      </c>
      <c r="AY42" s="505">
        <f t="shared" ca="1" si="18"/>
        <v>1</v>
      </c>
      <c r="AZ42" s="505">
        <f t="shared" ca="1" si="19"/>
        <v>27</v>
      </c>
      <c r="BA42" s="454">
        <f t="shared" si="6"/>
        <v>100</v>
      </c>
      <c r="BB42" s="454">
        <f t="shared" si="7"/>
        <v>0</v>
      </c>
      <c r="BC42" s="480">
        <v>42583</v>
      </c>
      <c r="BD42" s="506">
        <f t="shared" si="25"/>
        <v>0.08</v>
      </c>
      <c r="BE42" s="507">
        <f>tabellen!$D$34</f>
        <v>7.3999999999999996E-2</v>
      </c>
      <c r="BF42" s="505">
        <f t="shared" si="20"/>
        <v>0</v>
      </c>
      <c r="BG42" s="508" t="e">
        <f>IF(V42/H42&lt;tabellen!$E$7,0,(V42-tabellen!$E$7*H42)/12*tabellen!$D$7)</f>
        <v>#DIV/0!</v>
      </c>
      <c r="BH42" s="508" t="e">
        <f>IF(V42/H42&lt;tabellen!$E$8,0,(V42-tabellen!$E$8*H42)/12*tabellen!$D$8)</f>
        <v>#DIV/0!</v>
      </c>
      <c r="BI42" s="509" t="e">
        <f t="shared" si="21"/>
        <v>#DIV/0!</v>
      </c>
      <c r="BJ42" s="510" t="e">
        <f>+W42/12-'[1]wgl tot'!BL42</f>
        <v>#DIV/0!</v>
      </c>
      <c r="BK42" s="510" t="e">
        <f>ROUND(IF('[1]wgl tot'!BM42&gt;[1]tabellen!$H$11,[1]tabellen!$H$11,'[1]wgl tot'!BM42)*[1]tabellen!$C$11,2)</f>
        <v>#DIV/0!</v>
      </c>
      <c r="BL42" s="510" t="e">
        <f>+'[1]wgl tot'!BM42+'[1]wgl tot'!BN42</f>
        <v>#DIV/0!</v>
      </c>
      <c r="BM42" s="511">
        <f t="shared" si="8"/>
        <v>1900</v>
      </c>
      <c r="BN42" s="511">
        <f t="shared" si="9"/>
        <v>1</v>
      </c>
      <c r="BO42" s="505">
        <f t="shared" si="10"/>
        <v>0</v>
      </c>
      <c r="BP42" s="480">
        <f t="shared" si="22"/>
        <v>22462</v>
      </c>
      <c r="BQ42" s="480">
        <f t="shared" ca="1" si="23"/>
        <v>43888.768521180558</v>
      </c>
      <c r="BR42" s="454"/>
      <c r="BS42" s="480"/>
      <c r="BT42" s="454"/>
      <c r="BU42" s="512"/>
      <c r="BV42" s="512"/>
      <c r="BW42" s="512"/>
      <c r="BX42" s="512"/>
      <c r="BY42" s="512"/>
      <c r="BZ42" s="512"/>
      <c r="CA42" s="444"/>
      <c r="CB42" s="444"/>
    </row>
    <row r="43" spans="1:80" s="456" customFormat="1" ht="12" customHeight="1" x14ac:dyDescent="0.2">
      <c r="A43" s="444"/>
      <c r="B43" s="445"/>
      <c r="C43" s="484"/>
      <c r="D43" s="493"/>
      <c r="E43" s="494"/>
      <c r="F43" s="495"/>
      <c r="G43" s="495"/>
      <c r="H43" s="496"/>
      <c r="I43" s="535"/>
      <c r="J43" s="495"/>
      <c r="K43" s="497"/>
      <c r="L43" s="497"/>
      <c r="M43" s="498">
        <f>IF(F43="",0,(VLOOKUP('wgl tot'!F43,saltab2019juni,G43+1,FALSE)))</f>
        <v>0</v>
      </c>
      <c r="N43" s="499">
        <f t="shared" si="0"/>
        <v>0</v>
      </c>
      <c r="O43" s="484"/>
      <c r="P43" s="498">
        <f>ROUND(IF((M43+Q43)*BD43&lt;H43*tabellen!$D$33,H43*tabellen!$D$33,(M43+R43)*BD43),2)</f>
        <v>0</v>
      </c>
      <c r="Q43" s="498">
        <f t="shared" si="1"/>
        <v>0</v>
      </c>
      <c r="R43" s="498">
        <f t="shared" si="11"/>
        <v>0</v>
      </c>
      <c r="S43" s="498">
        <f t="shared" si="2"/>
        <v>0</v>
      </c>
      <c r="T43" s="498">
        <f t="shared" si="24"/>
        <v>0</v>
      </c>
      <c r="U43" s="498">
        <f>ROUND(H43*tabellen!$D$27,2)</f>
        <v>0</v>
      </c>
      <c r="V43" s="500">
        <f t="shared" si="12"/>
        <v>0</v>
      </c>
      <c r="W43" s="499">
        <f t="shared" si="13"/>
        <v>0</v>
      </c>
      <c r="X43" s="484"/>
      <c r="Y43" s="500">
        <f t="shared" si="14"/>
        <v>0</v>
      </c>
      <c r="Z43" s="501">
        <v>0</v>
      </c>
      <c r="AA43" s="484"/>
      <c r="AB43" s="498">
        <f>IF(F43="",0,(IF(V43/H43&lt;tabellen!$E$7,0,(V43-tabellen!$E$7*H43)/12)*tabellen!$C$7))</f>
        <v>0</v>
      </c>
      <c r="AC43" s="498">
        <f>IF(F43="",0,(IF(V43/H43&lt;tabellen!$E$7,0,(V43-tabellen!$E$7*H43)/12)*tabellen!$C$8))</f>
        <v>0</v>
      </c>
      <c r="AD43" s="498">
        <f>V43/12*tabellen!$C$9</f>
        <v>0</v>
      </c>
      <c r="AE43" s="498">
        <f>IF(H43=0,0,IF(BJ43&gt;tabellen!$G$10/12,$G$10/12,BJ43)*(tabellen!$C$10+tabellen!$C$11))</f>
        <v>0</v>
      </c>
      <c r="AF43" s="498">
        <f t="shared" si="3"/>
        <v>0</v>
      </c>
      <c r="AG43" s="502">
        <f>IF(F43="",0,(IF(BJ43&gt;tabellen!$G$13*H43/12,tabellen!$G$13*H43/12,BJ43*tabellen!$C$13)))</f>
        <v>0</v>
      </c>
      <c r="AH43" s="484"/>
      <c r="AI43" s="502">
        <f>IF(F43="",0,IF(K43="j",tabellen!$C$14*BJ43,0))</f>
        <v>0</v>
      </c>
      <c r="AJ43" s="502">
        <f>IF(F43="",0,IF(L43="j",tabellen!$C$15*BJ43,0))</f>
        <v>0</v>
      </c>
      <c r="AK43" s="503">
        <v>0</v>
      </c>
      <c r="AL43" s="484"/>
      <c r="AM43" s="503">
        <v>0</v>
      </c>
      <c r="AN43" s="484"/>
      <c r="AO43" s="499">
        <f t="shared" si="15"/>
        <v>0</v>
      </c>
      <c r="AP43" s="499">
        <f t="shared" si="16"/>
        <v>0</v>
      </c>
      <c r="AQ43" s="484"/>
      <c r="AR43" s="504" t="str">
        <f t="shared" si="4"/>
        <v/>
      </c>
      <c r="AS43" s="504" t="str">
        <f t="shared" si="5"/>
        <v/>
      </c>
      <c r="AT43" s="484"/>
      <c r="AU43" s="453"/>
      <c r="AV43" s="444"/>
      <c r="AW43" s="444"/>
      <c r="AX43" s="505">
        <f t="shared" ca="1" si="17"/>
        <v>120</v>
      </c>
      <c r="AY43" s="505">
        <f t="shared" ca="1" si="18"/>
        <v>1</v>
      </c>
      <c r="AZ43" s="505">
        <f t="shared" ca="1" si="19"/>
        <v>27</v>
      </c>
      <c r="BA43" s="454">
        <f t="shared" si="6"/>
        <v>100</v>
      </c>
      <c r="BB43" s="454">
        <f t="shared" si="7"/>
        <v>0</v>
      </c>
      <c r="BC43" s="480">
        <v>42583</v>
      </c>
      <c r="BD43" s="506">
        <f t="shared" si="25"/>
        <v>0.08</v>
      </c>
      <c r="BE43" s="507">
        <f>tabellen!$D$34</f>
        <v>7.3999999999999996E-2</v>
      </c>
      <c r="BF43" s="505">
        <f t="shared" si="20"/>
        <v>0</v>
      </c>
      <c r="BG43" s="508" t="e">
        <f>IF(V43/H43&lt;tabellen!$E$7,0,(V43-tabellen!$E$7*H43)/12*tabellen!$D$7)</f>
        <v>#DIV/0!</v>
      </c>
      <c r="BH43" s="508" t="e">
        <f>IF(V43/H43&lt;tabellen!$E$8,0,(V43-tabellen!$E$8*H43)/12*tabellen!$D$8)</f>
        <v>#DIV/0!</v>
      </c>
      <c r="BI43" s="509" t="e">
        <f t="shared" si="21"/>
        <v>#DIV/0!</v>
      </c>
      <c r="BJ43" s="510" t="e">
        <f>+W43/12-'[1]wgl tot'!BL43</f>
        <v>#DIV/0!</v>
      </c>
      <c r="BK43" s="510" t="e">
        <f>ROUND(IF('[1]wgl tot'!BM43&gt;[1]tabellen!$H$11,[1]tabellen!$H$11,'[1]wgl tot'!BM43)*[1]tabellen!$C$11,2)</f>
        <v>#DIV/0!</v>
      </c>
      <c r="BL43" s="510" t="e">
        <f>+'[1]wgl tot'!BM43+'[1]wgl tot'!BN43</f>
        <v>#DIV/0!</v>
      </c>
      <c r="BM43" s="511">
        <f t="shared" si="8"/>
        <v>1900</v>
      </c>
      <c r="BN43" s="511">
        <f t="shared" si="9"/>
        <v>1</v>
      </c>
      <c r="BO43" s="505">
        <f t="shared" si="10"/>
        <v>0</v>
      </c>
      <c r="BP43" s="480">
        <f t="shared" si="22"/>
        <v>22462</v>
      </c>
      <c r="BQ43" s="480">
        <f t="shared" ca="1" si="23"/>
        <v>43888.768521180558</v>
      </c>
      <c r="BR43" s="454"/>
      <c r="BS43" s="480"/>
      <c r="BT43" s="454"/>
      <c r="BU43" s="512"/>
      <c r="BV43" s="512"/>
      <c r="BW43" s="512"/>
      <c r="BX43" s="512"/>
      <c r="BY43" s="512"/>
      <c r="BZ43" s="512"/>
      <c r="CA43" s="444"/>
      <c r="CB43" s="444"/>
    </row>
    <row r="44" spans="1:80" s="456" customFormat="1" ht="12" customHeight="1" x14ac:dyDescent="0.2">
      <c r="A44" s="444"/>
      <c r="B44" s="445"/>
      <c r="C44" s="484"/>
      <c r="D44" s="493"/>
      <c r="E44" s="494"/>
      <c r="F44" s="495"/>
      <c r="G44" s="495"/>
      <c r="H44" s="496"/>
      <c r="I44" s="535"/>
      <c r="J44" s="495"/>
      <c r="K44" s="497"/>
      <c r="L44" s="497"/>
      <c r="M44" s="498">
        <f>IF(F44="",0,(VLOOKUP('wgl tot'!F44,saltab2019juni,G44+1,FALSE)))</f>
        <v>0</v>
      </c>
      <c r="N44" s="499">
        <f t="shared" si="0"/>
        <v>0</v>
      </c>
      <c r="O44" s="484"/>
      <c r="P44" s="498">
        <f>ROUND(IF((M44+Q44)*BD44&lt;H44*tabellen!$D$33,H44*tabellen!$D$33,(M44+R44)*BD44),2)</f>
        <v>0</v>
      </c>
      <c r="Q44" s="498">
        <f t="shared" ref="Q44:Q75" si="26">ROUND(+(M44+R44)*BE44,2)</f>
        <v>0</v>
      </c>
      <c r="R44" s="498">
        <f t="shared" ref="R44:R75" si="27">ROUND(IF(J44="j",VLOOKUP(BB44,uitlooptoeslag,2,FALSE))*IF(H44&gt;1,1,H44),2)</f>
        <v>0</v>
      </c>
      <c r="S44" s="498">
        <f t="shared" ref="S44:S75" si="28">VLOOKUP(BF44,eindejaarsuitkering_OOP,2,TRUE)*H44/12</f>
        <v>0</v>
      </c>
      <c r="T44" s="498">
        <f t="shared" si="24"/>
        <v>0</v>
      </c>
      <c r="U44" s="498">
        <f>ROUND(H44*tabellen!$D$27,2)</f>
        <v>0</v>
      </c>
      <c r="V44" s="500">
        <f t="shared" si="12"/>
        <v>0</v>
      </c>
      <c r="W44" s="499">
        <f t="shared" si="13"/>
        <v>0</v>
      </c>
      <c r="X44" s="484"/>
      <c r="Y44" s="500">
        <f t="shared" si="14"/>
        <v>0</v>
      </c>
      <c r="Z44" s="501">
        <v>0</v>
      </c>
      <c r="AA44" s="484"/>
      <c r="AB44" s="498">
        <f>IF(F44="",0,(IF(V44/H44&lt;tabellen!$E$7,0,(V44-tabellen!$E$7*H44)/12)*tabellen!$C$7))</f>
        <v>0</v>
      </c>
      <c r="AC44" s="498">
        <f>IF(F44="",0,(IF(V44/H44&lt;tabellen!$E$7,0,(V44-tabellen!$E$7*H44)/12)*tabellen!$C$8))</f>
        <v>0</v>
      </c>
      <c r="AD44" s="498">
        <f>V44/12*tabellen!$C$9</f>
        <v>0</v>
      </c>
      <c r="AE44" s="498">
        <f>IF(H44=0,0,IF(BJ44&gt;tabellen!$G$10/12,$G$10/12,BJ44)*(tabellen!$C$10+tabellen!$C$11))</f>
        <v>0</v>
      </c>
      <c r="AF44" s="498">
        <f t="shared" ref="AF44:AF75" si="29">IF(F44="",0,BK44)</f>
        <v>0</v>
      </c>
      <c r="AG44" s="502">
        <f>IF(F44="",0,(IF(BJ44&gt;tabellen!$G$13*H44/12,tabellen!$G$13*H44/12,BJ44*tabellen!$C$13)))</f>
        <v>0</v>
      </c>
      <c r="AH44" s="484"/>
      <c r="AI44" s="502">
        <f>IF(F44="",0,IF(K44="j",tabellen!$C$14*BJ44,0))</f>
        <v>0</v>
      </c>
      <c r="AJ44" s="502">
        <f>IF(F44="",0,IF(L44="j",tabellen!$C$15*BJ44,0))</f>
        <v>0</v>
      </c>
      <c r="AK44" s="503">
        <v>0</v>
      </c>
      <c r="AL44" s="484"/>
      <c r="AM44" s="503">
        <v>0</v>
      </c>
      <c r="AN44" s="484"/>
      <c r="AO44" s="499">
        <f t="shared" si="15"/>
        <v>0</v>
      </c>
      <c r="AP44" s="499">
        <f t="shared" si="16"/>
        <v>0</v>
      </c>
      <c r="AQ44" s="484"/>
      <c r="AR44" s="504" t="str">
        <f t="shared" ref="AR44:AR75" si="30">IF(AO44=0,"",(AO44/N44-1))</f>
        <v/>
      </c>
      <c r="AS44" s="504" t="str">
        <f t="shared" si="5"/>
        <v/>
      </c>
      <c r="AT44" s="484"/>
      <c r="AU44" s="453"/>
      <c r="AV44" s="444"/>
      <c r="AW44" s="444"/>
      <c r="AX44" s="505">
        <f t="shared" ca="1" si="17"/>
        <v>120</v>
      </c>
      <c r="AY44" s="505">
        <f t="shared" ca="1" si="18"/>
        <v>1</v>
      </c>
      <c r="AZ44" s="505">
        <f t="shared" ca="1" si="19"/>
        <v>27</v>
      </c>
      <c r="BA44" s="454">
        <f t="shared" ref="BA44:BA75" si="31">IF(AND(F44&gt;0,F44&lt;18),0,100)</f>
        <v>100</v>
      </c>
      <c r="BB44" s="454">
        <f t="shared" ref="BB44:BB75" si="32">F44</f>
        <v>0</v>
      </c>
      <c r="BC44" s="480">
        <v>42583</v>
      </c>
      <c r="BD44" s="506">
        <f t="shared" si="25"/>
        <v>0.08</v>
      </c>
      <c r="BE44" s="507">
        <f>tabellen!$D$34</f>
        <v>7.3999999999999996E-2</v>
      </c>
      <c r="BF44" s="505">
        <f t="shared" si="20"/>
        <v>0</v>
      </c>
      <c r="BG44" s="508" t="e">
        <f>IF(V44/H44&lt;tabellen!$E$7,0,(V44-tabellen!$E$7*H44)/12*tabellen!$D$7)</f>
        <v>#DIV/0!</v>
      </c>
      <c r="BH44" s="508" t="e">
        <f>IF(V44/H44&lt;tabellen!$E$8,0,(V44-tabellen!$E$8*H44)/12*tabellen!$D$8)</f>
        <v>#DIV/0!</v>
      </c>
      <c r="BI44" s="509" t="e">
        <f t="shared" si="21"/>
        <v>#DIV/0!</v>
      </c>
      <c r="BJ44" s="510" t="e">
        <f>+W44/12-'[1]wgl tot'!BL44</f>
        <v>#DIV/0!</v>
      </c>
      <c r="BK44" s="510" t="e">
        <f>ROUND(IF('[1]wgl tot'!BM44&gt;[1]tabellen!$H$11,[1]tabellen!$H$11,'[1]wgl tot'!BM44)*[1]tabellen!$C$11,2)</f>
        <v>#DIV/0!</v>
      </c>
      <c r="BL44" s="510" t="e">
        <f>+'[1]wgl tot'!BM44+'[1]wgl tot'!BN44</f>
        <v>#DIV/0!</v>
      </c>
      <c r="BM44" s="511">
        <f t="shared" ref="BM44:BM75" si="33">YEAR(E44)</f>
        <v>1900</v>
      </c>
      <c r="BN44" s="511">
        <f t="shared" ref="BN44:BN75" si="34">MONTH(E44)</f>
        <v>1</v>
      </c>
      <c r="BO44" s="505">
        <f t="shared" ref="BO44:BO75" si="35">DAY(E44)</f>
        <v>0</v>
      </c>
      <c r="BP44" s="480">
        <f t="shared" si="22"/>
        <v>22462</v>
      </c>
      <c r="BQ44" s="480">
        <f t="shared" ca="1" si="23"/>
        <v>43888.768521180558</v>
      </c>
      <c r="BR44" s="454"/>
      <c r="BS44" s="480"/>
      <c r="BT44" s="454"/>
      <c r="BU44" s="512"/>
      <c r="BV44" s="512"/>
      <c r="BW44" s="512"/>
      <c r="BX44" s="512"/>
      <c r="BY44" s="512"/>
      <c r="BZ44" s="512"/>
      <c r="CA44" s="444"/>
      <c r="CB44" s="444"/>
    </row>
    <row r="45" spans="1:80" s="456" customFormat="1" ht="12" customHeight="1" x14ac:dyDescent="0.2">
      <c r="A45" s="444"/>
      <c r="B45" s="445"/>
      <c r="C45" s="484"/>
      <c r="D45" s="493"/>
      <c r="E45" s="494"/>
      <c r="F45" s="495"/>
      <c r="G45" s="495"/>
      <c r="H45" s="496"/>
      <c r="I45" s="535"/>
      <c r="J45" s="495"/>
      <c r="K45" s="497"/>
      <c r="L45" s="497"/>
      <c r="M45" s="498">
        <f>IF(F45="",0,(VLOOKUP('wgl tot'!F45,saltab2019juni,G45+1,FALSE)))</f>
        <v>0</v>
      </c>
      <c r="N45" s="499">
        <f t="shared" si="0"/>
        <v>0</v>
      </c>
      <c r="O45" s="484"/>
      <c r="P45" s="498">
        <f>ROUND(IF((M45+Q45)*BD45&lt;H45*tabellen!$D$33,H45*tabellen!$D$33,(M45+R45)*BD45),2)</f>
        <v>0</v>
      </c>
      <c r="Q45" s="498">
        <f t="shared" si="26"/>
        <v>0</v>
      </c>
      <c r="R45" s="498">
        <f t="shared" si="27"/>
        <v>0</v>
      </c>
      <c r="S45" s="498">
        <f t="shared" si="28"/>
        <v>0</v>
      </c>
      <c r="T45" s="498">
        <f t="shared" si="24"/>
        <v>0</v>
      </c>
      <c r="U45" s="498">
        <f>ROUND(H45*tabellen!$D$27,2)</f>
        <v>0</v>
      </c>
      <c r="V45" s="500">
        <f t="shared" si="12"/>
        <v>0</v>
      </c>
      <c r="W45" s="499">
        <f t="shared" si="13"/>
        <v>0</v>
      </c>
      <c r="X45" s="484"/>
      <c r="Y45" s="500">
        <f t="shared" si="14"/>
        <v>0</v>
      </c>
      <c r="Z45" s="501">
        <v>0</v>
      </c>
      <c r="AA45" s="484"/>
      <c r="AB45" s="498">
        <f>IF(F45="",0,(IF(V45/H45&lt;tabellen!$E$7,0,(V45-tabellen!$E$7*H45)/12)*tabellen!$C$7))</f>
        <v>0</v>
      </c>
      <c r="AC45" s="498">
        <f>IF(F45="",0,(IF(V45/H45&lt;tabellen!$E$7,0,(V45-tabellen!$E$7*H45)/12)*tabellen!$C$8))</f>
        <v>0</v>
      </c>
      <c r="AD45" s="498">
        <f>V45/12*tabellen!$C$9</f>
        <v>0</v>
      </c>
      <c r="AE45" s="498">
        <f>IF(H45=0,0,IF(BJ45&gt;tabellen!$G$10/12,$G$10/12,BJ45)*(tabellen!$C$10+tabellen!$C$11))</f>
        <v>0</v>
      </c>
      <c r="AF45" s="498">
        <f t="shared" si="29"/>
        <v>0</v>
      </c>
      <c r="AG45" s="502">
        <f>IF(F45="",0,(IF(BJ45&gt;tabellen!$G$13*H45/12,tabellen!$G$13*H45/12,BJ45*tabellen!$C$13)))</f>
        <v>0</v>
      </c>
      <c r="AH45" s="484"/>
      <c r="AI45" s="502">
        <f>IF(F45="",0,IF(K45="j",tabellen!$C$14*BJ45,0))</f>
        <v>0</v>
      </c>
      <c r="AJ45" s="502">
        <f>IF(F45="",0,IF(L45="j",tabellen!$C$15*BJ45,0))</f>
        <v>0</v>
      </c>
      <c r="AK45" s="503">
        <v>0</v>
      </c>
      <c r="AL45" s="484"/>
      <c r="AM45" s="503">
        <v>0</v>
      </c>
      <c r="AN45" s="484"/>
      <c r="AO45" s="499">
        <f t="shared" si="15"/>
        <v>0</v>
      </c>
      <c r="AP45" s="499">
        <f t="shared" si="16"/>
        <v>0</v>
      </c>
      <c r="AQ45" s="484"/>
      <c r="AR45" s="504" t="str">
        <f t="shared" si="30"/>
        <v/>
      </c>
      <c r="AS45" s="504" t="str">
        <f t="shared" si="5"/>
        <v/>
      </c>
      <c r="AT45" s="484"/>
      <c r="AU45" s="453"/>
      <c r="AV45" s="444"/>
      <c r="AW45" s="444"/>
      <c r="AX45" s="505">
        <f t="shared" ca="1" si="17"/>
        <v>120</v>
      </c>
      <c r="AY45" s="505">
        <f t="shared" ca="1" si="18"/>
        <v>1</v>
      </c>
      <c r="AZ45" s="505">
        <f t="shared" ca="1" si="19"/>
        <v>27</v>
      </c>
      <c r="BA45" s="454">
        <f t="shared" si="31"/>
        <v>100</v>
      </c>
      <c r="BB45" s="454">
        <f t="shared" si="32"/>
        <v>0</v>
      </c>
      <c r="BC45" s="480">
        <v>42583</v>
      </c>
      <c r="BD45" s="506">
        <f t="shared" si="25"/>
        <v>0.08</v>
      </c>
      <c r="BE45" s="507">
        <f>tabellen!$D$34</f>
        <v>7.3999999999999996E-2</v>
      </c>
      <c r="BF45" s="505">
        <f t="shared" si="20"/>
        <v>0</v>
      </c>
      <c r="BG45" s="508" t="e">
        <f>IF(V45/H45&lt;tabellen!$E$7,0,(V45-tabellen!$E$7*H45)/12*tabellen!$D$7)</f>
        <v>#DIV/0!</v>
      </c>
      <c r="BH45" s="508" t="e">
        <f>IF(V45/H45&lt;tabellen!$E$8,0,(V45-tabellen!$E$8*H45)/12*tabellen!$D$8)</f>
        <v>#DIV/0!</v>
      </c>
      <c r="BI45" s="509" t="e">
        <f t="shared" si="21"/>
        <v>#DIV/0!</v>
      </c>
      <c r="BJ45" s="510" t="e">
        <f>+W45/12-'[1]wgl tot'!BL45</f>
        <v>#DIV/0!</v>
      </c>
      <c r="BK45" s="510" t="e">
        <f>ROUND(IF('[1]wgl tot'!BM45&gt;[1]tabellen!$H$11,[1]tabellen!$H$11,'[1]wgl tot'!BM45)*[1]tabellen!$C$11,2)</f>
        <v>#DIV/0!</v>
      </c>
      <c r="BL45" s="510" t="e">
        <f>+'[1]wgl tot'!BM45+'[1]wgl tot'!BN45</f>
        <v>#DIV/0!</v>
      </c>
      <c r="BM45" s="511">
        <f t="shared" si="33"/>
        <v>1900</v>
      </c>
      <c r="BN45" s="511">
        <f t="shared" si="34"/>
        <v>1</v>
      </c>
      <c r="BO45" s="505">
        <f t="shared" si="35"/>
        <v>0</v>
      </c>
      <c r="BP45" s="480">
        <f t="shared" si="22"/>
        <v>22462</v>
      </c>
      <c r="BQ45" s="480">
        <f t="shared" ca="1" si="23"/>
        <v>43888.768521180558</v>
      </c>
      <c r="BR45" s="454"/>
      <c r="BS45" s="480"/>
      <c r="BT45" s="454"/>
      <c r="BU45" s="512"/>
      <c r="BV45" s="512"/>
      <c r="BW45" s="512"/>
      <c r="BX45" s="512"/>
      <c r="BY45" s="512"/>
      <c r="BZ45" s="512"/>
      <c r="CA45" s="444"/>
      <c r="CB45" s="444"/>
    </row>
    <row r="46" spans="1:80" s="456" customFormat="1" ht="12" customHeight="1" x14ac:dyDescent="0.2">
      <c r="A46" s="444"/>
      <c r="B46" s="445"/>
      <c r="C46" s="484"/>
      <c r="D46" s="493"/>
      <c r="E46" s="494"/>
      <c r="F46" s="495"/>
      <c r="G46" s="495"/>
      <c r="H46" s="496"/>
      <c r="I46" s="535"/>
      <c r="J46" s="495"/>
      <c r="K46" s="497"/>
      <c r="L46" s="497"/>
      <c r="M46" s="498">
        <f>IF(F46="",0,(VLOOKUP('wgl tot'!F46,saltab2019juni,G46+1,FALSE)))</f>
        <v>0</v>
      </c>
      <c r="N46" s="499">
        <f t="shared" si="0"/>
        <v>0</v>
      </c>
      <c r="O46" s="484"/>
      <c r="P46" s="498">
        <f>ROUND(IF((M46+Q46)*BD46&lt;H46*tabellen!$D$33,H46*tabellen!$D$33,(M46+R46)*BD46),2)</f>
        <v>0</v>
      </c>
      <c r="Q46" s="498">
        <f t="shared" si="26"/>
        <v>0</v>
      </c>
      <c r="R46" s="498">
        <f t="shared" si="27"/>
        <v>0</v>
      </c>
      <c r="S46" s="498">
        <f t="shared" si="28"/>
        <v>0</v>
      </c>
      <c r="T46" s="498">
        <f t="shared" ref="T46:T77" si="36">ROUND(IF(I46="",0,VLOOKUP(I46,bindingstoelage,3,FALSE))*IF(H46&gt;1,1,H46),I46)</f>
        <v>0</v>
      </c>
      <c r="U46" s="498">
        <f>ROUND(H46*tabellen!$D$27,2)</f>
        <v>0</v>
      </c>
      <c r="V46" s="500">
        <f t="shared" si="12"/>
        <v>0</v>
      </c>
      <c r="W46" s="499">
        <f t="shared" si="13"/>
        <v>0</v>
      </c>
      <c r="X46" s="484"/>
      <c r="Y46" s="500">
        <f t="shared" si="14"/>
        <v>0</v>
      </c>
      <c r="Z46" s="501">
        <v>0</v>
      </c>
      <c r="AA46" s="484"/>
      <c r="AB46" s="498">
        <f>IF(F46="",0,(IF(V46/H46&lt;tabellen!$E$7,0,(V46-tabellen!$E$7*H46)/12)*tabellen!$C$7))</f>
        <v>0</v>
      </c>
      <c r="AC46" s="498">
        <f>IF(F46="",0,(IF(V46/H46&lt;tabellen!$E$7,0,(V46-tabellen!$E$7*H46)/12)*tabellen!$C$8))</f>
        <v>0</v>
      </c>
      <c r="AD46" s="498">
        <f>V46/12*tabellen!$C$9</f>
        <v>0</v>
      </c>
      <c r="AE46" s="498">
        <f>IF(H46=0,0,IF(BJ46&gt;tabellen!$G$10/12,$G$10/12,BJ46)*(tabellen!$C$10+tabellen!$C$11))</f>
        <v>0</v>
      </c>
      <c r="AF46" s="498">
        <f t="shared" si="29"/>
        <v>0</v>
      </c>
      <c r="AG46" s="502">
        <f>IF(F46="",0,(IF(BJ46&gt;tabellen!$G$13*H46/12,tabellen!$G$13*H46/12,BJ46*tabellen!$C$13)))</f>
        <v>0</v>
      </c>
      <c r="AH46" s="484"/>
      <c r="AI46" s="502">
        <f>IF(F46="",0,IF(K46="j",tabellen!$C$14*BJ46,0))</f>
        <v>0</v>
      </c>
      <c r="AJ46" s="502">
        <f>IF(F46="",0,IF(L46="j",tabellen!$C$15*BJ46,0))</f>
        <v>0</v>
      </c>
      <c r="AK46" s="503">
        <v>0</v>
      </c>
      <c r="AL46" s="484"/>
      <c r="AM46" s="503">
        <v>0</v>
      </c>
      <c r="AN46" s="484"/>
      <c r="AO46" s="499">
        <f t="shared" si="15"/>
        <v>0</v>
      </c>
      <c r="AP46" s="499">
        <f t="shared" si="16"/>
        <v>0</v>
      </c>
      <c r="AQ46" s="484"/>
      <c r="AR46" s="504" t="str">
        <f t="shared" si="30"/>
        <v/>
      </c>
      <c r="AS46" s="504" t="str">
        <f t="shared" si="5"/>
        <v/>
      </c>
      <c r="AT46" s="484"/>
      <c r="AU46" s="453"/>
      <c r="AV46" s="444"/>
      <c r="AW46" s="444"/>
      <c r="AX46" s="505">
        <f t="shared" ca="1" si="17"/>
        <v>120</v>
      </c>
      <c r="AY46" s="505">
        <f t="shared" ca="1" si="18"/>
        <v>1</v>
      </c>
      <c r="AZ46" s="505">
        <f t="shared" ca="1" si="19"/>
        <v>27</v>
      </c>
      <c r="BA46" s="454">
        <f t="shared" si="31"/>
        <v>100</v>
      </c>
      <c r="BB46" s="454">
        <f t="shared" si="32"/>
        <v>0</v>
      </c>
      <c r="BC46" s="480">
        <v>42583</v>
      </c>
      <c r="BD46" s="506">
        <f t="shared" si="25"/>
        <v>0.08</v>
      </c>
      <c r="BE46" s="507">
        <f>tabellen!$D$34</f>
        <v>7.3999999999999996E-2</v>
      </c>
      <c r="BF46" s="505">
        <f t="shared" si="20"/>
        <v>0</v>
      </c>
      <c r="BG46" s="508" t="e">
        <f>IF(V46/H46&lt;tabellen!$E$7,0,(V46-tabellen!$E$7*H46)/12*tabellen!$D$7)</f>
        <v>#DIV/0!</v>
      </c>
      <c r="BH46" s="508" t="e">
        <f>IF(V46/H46&lt;tabellen!$E$8,0,(V46-tabellen!$E$8*H46)/12*tabellen!$D$8)</f>
        <v>#DIV/0!</v>
      </c>
      <c r="BI46" s="509" t="e">
        <f t="shared" si="21"/>
        <v>#DIV/0!</v>
      </c>
      <c r="BJ46" s="510" t="e">
        <f>+W46/12-'[1]wgl tot'!BL46</f>
        <v>#DIV/0!</v>
      </c>
      <c r="BK46" s="510" t="e">
        <f>ROUND(IF('[1]wgl tot'!BM46&gt;[1]tabellen!$H$11,[1]tabellen!$H$11,'[1]wgl tot'!BM46)*[1]tabellen!$C$11,2)</f>
        <v>#DIV/0!</v>
      </c>
      <c r="BL46" s="510" t="e">
        <f>+'[1]wgl tot'!BM46+'[1]wgl tot'!BN46</f>
        <v>#DIV/0!</v>
      </c>
      <c r="BM46" s="511">
        <f t="shared" si="33"/>
        <v>1900</v>
      </c>
      <c r="BN46" s="511">
        <f t="shared" si="34"/>
        <v>1</v>
      </c>
      <c r="BO46" s="505">
        <f t="shared" si="35"/>
        <v>0</v>
      </c>
      <c r="BP46" s="480">
        <f t="shared" si="22"/>
        <v>22462</v>
      </c>
      <c r="BQ46" s="480">
        <f t="shared" ca="1" si="23"/>
        <v>43888.768521180558</v>
      </c>
      <c r="BR46" s="454"/>
      <c r="BS46" s="480"/>
      <c r="BT46" s="454"/>
      <c r="BU46" s="512"/>
      <c r="BV46" s="512"/>
      <c r="BW46" s="512"/>
      <c r="BX46" s="512"/>
      <c r="BY46" s="512"/>
      <c r="BZ46" s="512"/>
      <c r="CA46" s="444"/>
      <c r="CB46" s="444"/>
    </row>
    <row r="47" spans="1:80" s="456" customFormat="1" ht="12" customHeight="1" x14ac:dyDescent="0.2">
      <c r="A47" s="444"/>
      <c r="B47" s="445"/>
      <c r="C47" s="484"/>
      <c r="D47" s="493"/>
      <c r="E47" s="494"/>
      <c r="F47" s="495"/>
      <c r="G47" s="495"/>
      <c r="H47" s="496"/>
      <c r="I47" s="535"/>
      <c r="J47" s="495"/>
      <c r="K47" s="497"/>
      <c r="L47" s="497"/>
      <c r="M47" s="498">
        <f>IF(F47="",0,(VLOOKUP('wgl tot'!F47,saltab2019juni,G47+1,FALSE)))</f>
        <v>0</v>
      </c>
      <c r="N47" s="499">
        <f t="shared" si="0"/>
        <v>0</v>
      </c>
      <c r="O47" s="484"/>
      <c r="P47" s="498">
        <f>ROUND(IF((M47+Q47)*BD47&lt;H47*tabellen!$D$33,H47*tabellen!$D$33,(M47+R47)*BD47),2)</f>
        <v>0</v>
      </c>
      <c r="Q47" s="498">
        <f t="shared" si="26"/>
        <v>0</v>
      </c>
      <c r="R47" s="498">
        <f t="shared" si="27"/>
        <v>0</v>
      </c>
      <c r="S47" s="498">
        <f t="shared" si="28"/>
        <v>0</v>
      </c>
      <c r="T47" s="498">
        <f t="shared" si="36"/>
        <v>0</v>
      </c>
      <c r="U47" s="498">
        <f>ROUND(H47*tabellen!$D$27,2)</f>
        <v>0</v>
      </c>
      <c r="V47" s="500">
        <f t="shared" si="12"/>
        <v>0</v>
      </c>
      <c r="W47" s="499">
        <f t="shared" si="13"/>
        <v>0</v>
      </c>
      <c r="X47" s="484"/>
      <c r="Y47" s="500">
        <f t="shared" si="14"/>
        <v>0</v>
      </c>
      <c r="Z47" s="501">
        <v>0</v>
      </c>
      <c r="AA47" s="484"/>
      <c r="AB47" s="498">
        <f>IF(F47="",0,(IF(V47/H47&lt;tabellen!$E$7,0,(V47-tabellen!$E$7*H47)/12)*tabellen!$C$7))</f>
        <v>0</v>
      </c>
      <c r="AC47" s="498">
        <f>IF(F47="",0,(IF(V47/H47&lt;tabellen!$E$7,0,(V47-tabellen!$E$7*H47)/12)*tabellen!$C$8))</f>
        <v>0</v>
      </c>
      <c r="AD47" s="498">
        <f>V47/12*tabellen!$C$9</f>
        <v>0</v>
      </c>
      <c r="AE47" s="498">
        <f>IF(H47=0,0,IF(BJ47&gt;tabellen!$G$10/12,$G$10/12,BJ47)*(tabellen!$C$10+tabellen!$C$11))</f>
        <v>0</v>
      </c>
      <c r="AF47" s="498">
        <f t="shared" si="29"/>
        <v>0</v>
      </c>
      <c r="AG47" s="502">
        <f>IF(F47="",0,(IF(BJ47&gt;tabellen!$G$13*H47/12,tabellen!$G$13*H47/12,BJ47*tabellen!$C$13)))</f>
        <v>0</v>
      </c>
      <c r="AH47" s="484"/>
      <c r="AI47" s="502">
        <f>IF(F47="",0,IF(K47="j",tabellen!$C$14*BJ47,0))</f>
        <v>0</v>
      </c>
      <c r="AJ47" s="502">
        <f>IF(F47="",0,IF(L47="j",tabellen!$C$15*BJ47,0))</f>
        <v>0</v>
      </c>
      <c r="AK47" s="503">
        <v>0</v>
      </c>
      <c r="AL47" s="484"/>
      <c r="AM47" s="503">
        <v>0</v>
      </c>
      <c r="AN47" s="484"/>
      <c r="AO47" s="499">
        <f t="shared" si="15"/>
        <v>0</v>
      </c>
      <c r="AP47" s="499">
        <f t="shared" si="16"/>
        <v>0</v>
      </c>
      <c r="AQ47" s="484"/>
      <c r="AR47" s="504" t="str">
        <f t="shared" si="30"/>
        <v/>
      </c>
      <c r="AS47" s="504" t="str">
        <f t="shared" si="5"/>
        <v/>
      </c>
      <c r="AT47" s="484"/>
      <c r="AU47" s="453"/>
      <c r="AV47" s="444"/>
      <c r="AW47" s="444"/>
      <c r="AX47" s="505">
        <f t="shared" ca="1" si="17"/>
        <v>120</v>
      </c>
      <c r="AY47" s="505">
        <f t="shared" ca="1" si="18"/>
        <v>1</v>
      </c>
      <c r="AZ47" s="505">
        <f t="shared" ca="1" si="19"/>
        <v>27</v>
      </c>
      <c r="BA47" s="454">
        <f t="shared" si="31"/>
        <v>100</v>
      </c>
      <c r="BB47" s="454">
        <f t="shared" si="32"/>
        <v>0</v>
      </c>
      <c r="BC47" s="480">
        <v>42583</v>
      </c>
      <c r="BD47" s="506">
        <f t="shared" si="25"/>
        <v>0.08</v>
      </c>
      <c r="BE47" s="507">
        <f>tabellen!$D$34</f>
        <v>7.3999999999999996E-2</v>
      </c>
      <c r="BF47" s="505">
        <f t="shared" si="20"/>
        <v>0</v>
      </c>
      <c r="BG47" s="508" t="e">
        <f>IF(V47/H47&lt;tabellen!$E$7,0,(V47-tabellen!$E$7*H47)/12*tabellen!$D$7)</f>
        <v>#DIV/0!</v>
      </c>
      <c r="BH47" s="508" t="e">
        <f>IF(V47/H47&lt;tabellen!$E$8,0,(V47-tabellen!$E$8*H47)/12*tabellen!$D$8)</f>
        <v>#DIV/0!</v>
      </c>
      <c r="BI47" s="509" t="e">
        <f t="shared" si="21"/>
        <v>#DIV/0!</v>
      </c>
      <c r="BJ47" s="510" t="e">
        <f>+W47/12-'[1]wgl tot'!BL47</f>
        <v>#DIV/0!</v>
      </c>
      <c r="BK47" s="510" t="e">
        <f>ROUND(IF('[1]wgl tot'!BM47&gt;[1]tabellen!$H$11,[1]tabellen!$H$11,'[1]wgl tot'!BM47)*[1]tabellen!$C$11,2)</f>
        <v>#DIV/0!</v>
      </c>
      <c r="BL47" s="510" t="e">
        <f>+'[1]wgl tot'!BM47+'[1]wgl tot'!BN47</f>
        <v>#DIV/0!</v>
      </c>
      <c r="BM47" s="511">
        <f t="shared" si="33"/>
        <v>1900</v>
      </c>
      <c r="BN47" s="511">
        <f t="shared" si="34"/>
        <v>1</v>
      </c>
      <c r="BO47" s="505">
        <f t="shared" si="35"/>
        <v>0</v>
      </c>
      <c r="BP47" s="480">
        <f t="shared" si="22"/>
        <v>22462</v>
      </c>
      <c r="BQ47" s="480">
        <f t="shared" ca="1" si="23"/>
        <v>43888.768521180558</v>
      </c>
      <c r="BR47" s="454"/>
      <c r="BS47" s="480"/>
      <c r="BT47" s="454"/>
      <c r="BU47" s="512"/>
      <c r="BV47" s="512"/>
      <c r="BW47" s="512"/>
      <c r="BX47" s="512"/>
      <c r="BY47" s="512"/>
      <c r="BZ47" s="512"/>
      <c r="CA47" s="444"/>
      <c r="CB47" s="444"/>
    </row>
    <row r="48" spans="1:80" s="456" customFormat="1" ht="12" customHeight="1" x14ac:dyDescent="0.2">
      <c r="A48" s="444"/>
      <c r="B48" s="445"/>
      <c r="C48" s="484"/>
      <c r="D48" s="493"/>
      <c r="E48" s="494"/>
      <c r="F48" s="495"/>
      <c r="G48" s="495"/>
      <c r="H48" s="496"/>
      <c r="I48" s="535"/>
      <c r="J48" s="495"/>
      <c r="K48" s="497"/>
      <c r="L48" s="497"/>
      <c r="M48" s="498">
        <f>IF(F48="",0,(VLOOKUP('wgl tot'!F48,saltab2019juni,G48+1,FALSE)))</f>
        <v>0</v>
      </c>
      <c r="N48" s="499">
        <f t="shared" si="0"/>
        <v>0</v>
      </c>
      <c r="O48" s="484"/>
      <c r="P48" s="498">
        <f>ROUND(IF((M48+Q48)*BD48&lt;H48*tabellen!$D$33,H48*tabellen!$D$33,(M48+R48)*BD48),2)</f>
        <v>0</v>
      </c>
      <c r="Q48" s="498">
        <f t="shared" si="26"/>
        <v>0</v>
      </c>
      <c r="R48" s="498">
        <f t="shared" si="27"/>
        <v>0</v>
      </c>
      <c r="S48" s="498">
        <f t="shared" si="28"/>
        <v>0</v>
      </c>
      <c r="T48" s="498">
        <f t="shared" si="36"/>
        <v>0</v>
      </c>
      <c r="U48" s="498">
        <f>ROUND(H48*tabellen!$D$27,2)</f>
        <v>0</v>
      </c>
      <c r="V48" s="500">
        <f t="shared" si="12"/>
        <v>0</v>
      </c>
      <c r="W48" s="499">
        <f t="shared" si="13"/>
        <v>0</v>
      </c>
      <c r="X48" s="484"/>
      <c r="Y48" s="500">
        <f t="shared" si="14"/>
        <v>0</v>
      </c>
      <c r="Z48" s="501">
        <v>0</v>
      </c>
      <c r="AA48" s="484"/>
      <c r="AB48" s="498">
        <f>IF(F48="",0,(IF(V48/H48&lt;tabellen!$E$7,0,(V48-tabellen!$E$7*H48)/12)*tabellen!$C$7))</f>
        <v>0</v>
      </c>
      <c r="AC48" s="498">
        <f>IF(F48="",0,(IF(V48/H48&lt;tabellen!$E$7,0,(V48-tabellen!$E$7*H48)/12)*tabellen!$C$8))</f>
        <v>0</v>
      </c>
      <c r="AD48" s="498">
        <f>V48/12*tabellen!$C$9</f>
        <v>0</v>
      </c>
      <c r="AE48" s="498">
        <f>IF(H48=0,0,IF(BJ48&gt;tabellen!$G$10/12,$G$10/12,BJ48)*(tabellen!$C$10+tabellen!$C$11))</f>
        <v>0</v>
      </c>
      <c r="AF48" s="498">
        <f t="shared" si="29"/>
        <v>0</v>
      </c>
      <c r="AG48" s="502">
        <f>IF(F48="",0,(IF(BJ48&gt;tabellen!$G$13*H48/12,tabellen!$G$13*H48/12,BJ48*tabellen!$C$13)))</f>
        <v>0</v>
      </c>
      <c r="AH48" s="484"/>
      <c r="AI48" s="502">
        <f>IF(F48="",0,IF(K48="j",tabellen!$C$14*BJ48,0))</f>
        <v>0</v>
      </c>
      <c r="AJ48" s="502">
        <f>IF(F48="",0,IF(L48="j",tabellen!$C$15*BJ48,0))</f>
        <v>0</v>
      </c>
      <c r="AK48" s="503">
        <v>0</v>
      </c>
      <c r="AL48" s="484"/>
      <c r="AM48" s="503">
        <v>0</v>
      </c>
      <c r="AN48" s="484"/>
      <c r="AO48" s="499">
        <f t="shared" si="15"/>
        <v>0</v>
      </c>
      <c r="AP48" s="499">
        <f t="shared" si="16"/>
        <v>0</v>
      </c>
      <c r="AQ48" s="484"/>
      <c r="AR48" s="504" t="str">
        <f t="shared" si="30"/>
        <v/>
      </c>
      <c r="AS48" s="504" t="str">
        <f t="shared" si="5"/>
        <v/>
      </c>
      <c r="AT48" s="484"/>
      <c r="AU48" s="453"/>
      <c r="AV48" s="444"/>
      <c r="AW48" s="444"/>
      <c r="AX48" s="505">
        <f t="shared" ca="1" si="17"/>
        <v>120</v>
      </c>
      <c r="AY48" s="505">
        <f t="shared" ca="1" si="18"/>
        <v>1</v>
      </c>
      <c r="AZ48" s="505">
        <f t="shared" ca="1" si="19"/>
        <v>27</v>
      </c>
      <c r="BA48" s="454">
        <f t="shared" si="31"/>
        <v>100</v>
      </c>
      <c r="BB48" s="454">
        <f t="shared" si="32"/>
        <v>0</v>
      </c>
      <c r="BC48" s="480">
        <v>42583</v>
      </c>
      <c r="BD48" s="506">
        <f t="shared" si="25"/>
        <v>0.08</v>
      </c>
      <c r="BE48" s="507">
        <f>tabellen!$D$34</f>
        <v>7.3999999999999996E-2</v>
      </c>
      <c r="BF48" s="505">
        <f t="shared" si="20"/>
        <v>0</v>
      </c>
      <c r="BG48" s="508" t="e">
        <f>IF(V48/H48&lt;tabellen!$E$7,0,(V48-tabellen!$E$7*H48)/12*tabellen!$D$7)</f>
        <v>#DIV/0!</v>
      </c>
      <c r="BH48" s="508" t="e">
        <f>IF(V48/H48&lt;tabellen!$E$8,0,(V48-tabellen!$E$8*H48)/12*tabellen!$D$8)</f>
        <v>#DIV/0!</v>
      </c>
      <c r="BI48" s="509" t="e">
        <f t="shared" si="21"/>
        <v>#DIV/0!</v>
      </c>
      <c r="BJ48" s="510" t="e">
        <f>+W48/12-'[1]wgl tot'!BL48</f>
        <v>#DIV/0!</v>
      </c>
      <c r="BK48" s="510" t="e">
        <f>ROUND(IF('[1]wgl tot'!BM48&gt;[1]tabellen!$H$11,[1]tabellen!$H$11,'[1]wgl tot'!BM48)*[1]tabellen!$C$11,2)</f>
        <v>#DIV/0!</v>
      </c>
      <c r="BL48" s="510" t="e">
        <f>+'[1]wgl tot'!BM48+'[1]wgl tot'!BN48</f>
        <v>#DIV/0!</v>
      </c>
      <c r="BM48" s="511">
        <f t="shared" si="33"/>
        <v>1900</v>
      </c>
      <c r="BN48" s="511">
        <f t="shared" si="34"/>
        <v>1</v>
      </c>
      <c r="BO48" s="505">
        <f t="shared" si="35"/>
        <v>0</v>
      </c>
      <c r="BP48" s="480">
        <f t="shared" si="22"/>
        <v>22462</v>
      </c>
      <c r="BQ48" s="480">
        <f t="shared" ca="1" si="23"/>
        <v>43888.768521180558</v>
      </c>
      <c r="BR48" s="454"/>
      <c r="BS48" s="480"/>
      <c r="BT48" s="454"/>
      <c r="BU48" s="512"/>
      <c r="BV48" s="512"/>
      <c r="BW48" s="512"/>
      <c r="BX48" s="512"/>
      <c r="BY48" s="512"/>
      <c r="BZ48" s="512"/>
      <c r="CA48" s="444"/>
      <c r="CB48" s="444"/>
    </row>
    <row r="49" spans="1:80" s="456" customFormat="1" ht="12" customHeight="1" x14ac:dyDescent="0.2">
      <c r="A49" s="444"/>
      <c r="B49" s="445"/>
      <c r="C49" s="484"/>
      <c r="D49" s="493"/>
      <c r="E49" s="494"/>
      <c r="F49" s="495"/>
      <c r="G49" s="495"/>
      <c r="H49" s="496"/>
      <c r="I49" s="535"/>
      <c r="J49" s="495"/>
      <c r="K49" s="497"/>
      <c r="L49" s="497"/>
      <c r="M49" s="498">
        <f>IF(F49="",0,(VLOOKUP('wgl tot'!F49,saltab2019juni,G49+1,FALSE)))</f>
        <v>0</v>
      </c>
      <c r="N49" s="499">
        <f t="shared" si="0"/>
        <v>0</v>
      </c>
      <c r="O49" s="484"/>
      <c r="P49" s="498">
        <f>ROUND(IF((M49+Q49)*BD49&lt;H49*tabellen!$D$33,H49*tabellen!$D$33,(M49+R49)*BD49),2)</f>
        <v>0</v>
      </c>
      <c r="Q49" s="498">
        <f t="shared" si="26"/>
        <v>0</v>
      </c>
      <c r="R49" s="498">
        <f t="shared" si="27"/>
        <v>0</v>
      </c>
      <c r="S49" s="498">
        <f t="shared" si="28"/>
        <v>0</v>
      </c>
      <c r="T49" s="498">
        <f t="shared" si="36"/>
        <v>0</v>
      </c>
      <c r="U49" s="498">
        <f>ROUND(H49*tabellen!$D$27,2)</f>
        <v>0</v>
      </c>
      <c r="V49" s="500">
        <f t="shared" si="12"/>
        <v>0</v>
      </c>
      <c r="W49" s="499">
        <f t="shared" si="13"/>
        <v>0</v>
      </c>
      <c r="X49" s="484"/>
      <c r="Y49" s="500">
        <f t="shared" si="14"/>
        <v>0</v>
      </c>
      <c r="Z49" s="501">
        <v>0</v>
      </c>
      <c r="AA49" s="484"/>
      <c r="AB49" s="498">
        <f>IF(F49="",0,(IF(V49/H49&lt;tabellen!$E$7,0,(V49-tabellen!$E$7*H49)/12)*tabellen!$C$7))</f>
        <v>0</v>
      </c>
      <c r="AC49" s="498">
        <f>IF(F49="",0,(IF(V49/H49&lt;tabellen!$E$7,0,(V49-tabellen!$E$7*H49)/12)*tabellen!$C$8))</f>
        <v>0</v>
      </c>
      <c r="AD49" s="498">
        <f>V49/12*tabellen!$C$9</f>
        <v>0</v>
      </c>
      <c r="AE49" s="498">
        <f>IF(H49=0,0,IF(BJ49&gt;tabellen!$G$10/12,$G$10/12,BJ49)*(tabellen!$C$10+tabellen!$C$11))</f>
        <v>0</v>
      </c>
      <c r="AF49" s="498">
        <f t="shared" si="29"/>
        <v>0</v>
      </c>
      <c r="AG49" s="502">
        <f>IF(F49="",0,(IF(BJ49&gt;tabellen!$G$13*H49/12,tabellen!$G$13*H49/12,BJ49*tabellen!$C$13)))</f>
        <v>0</v>
      </c>
      <c r="AH49" s="484"/>
      <c r="AI49" s="502">
        <f>IF(F49="",0,IF(K49="j",tabellen!$C$14*BJ49,0))</f>
        <v>0</v>
      </c>
      <c r="AJ49" s="502">
        <f>IF(F49="",0,IF(L49="j",tabellen!$C$15*BJ49,0))</f>
        <v>0</v>
      </c>
      <c r="AK49" s="503">
        <v>0</v>
      </c>
      <c r="AL49" s="484"/>
      <c r="AM49" s="503">
        <v>0</v>
      </c>
      <c r="AN49" s="484"/>
      <c r="AO49" s="499">
        <f t="shared" si="15"/>
        <v>0</v>
      </c>
      <c r="AP49" s="499">
        <f t="shared" si="16"/>
        <v>0</v>
      </c>
      <c r="AQ49" s="484"/>
      <c r="AR49" s="504" t="str">
        <f t="shared" si="30"/>
        <v/>
      </c>
      <c r="AS49" s="504" t="str">
        <f t="shared" si="5"/>
        <v/>
      </c>
      <c r="AT49" s="484"/>
      <c r="AU49" s="453"/>
      <c r="AV49" s="444"/>
      <c r="AW49" s="444"/>
      <c r="AX49" s="505">
        <f t="shared" ca="1" si="17"/>
        <v>120</v>
      </c>
      <c r="AY49" s="505">
        <f t="shared" ca="1" si="18"/>
        <v>1</v>
      </c>
      <c r="AZ49" s="505">
        <f t="shared" ca="1" si="19"/>
        <v>27</v>
      </c>
      <c r="BA49" s="454">
        <f t="shared" si="31"/>
        <v>100</v>
      </c>
      <c r="BB49" s="454">
        <f t="shared" si="32"/>
        <v>0</v>
      </c>
      <c r="BC49" s="480">
        <v>42583</v>
      </c>
      <c r="BD49" s="506">
        <f t="shared" si="25"/>
        <v>0.08</v>
      </c>
      <c r="BE49" s="507">
        <f>tabellen!$D$34</f>
        <v>7.3999999999999996E-2</v>
      </c>
      <c r="BF49" s="505">
        <f t="shared" si="20"/>
        <v>0</v>
      </c>
      <c r="BG49" s="508" t="e">
        <f>IF(V49/H49&lt;tabellen!$E$7,0,(V49-tabellen!$E$7*H49)/12*tabellen!$D$7)</f>
        <v>#DIV/0!</v>
      </c>
      <c r="BH49" s="508" t="e">
        <f>IF(V49/H49&lt;tabellen!$E$8,0,(V49-tabellen!$E$8*H49)/12*tabellen!$D$8)</f>
        <v>#DIV/0!</v>
      </c>
      <c r="BI49" s="509" t="e">
        <f t="shared" si="21"/>
        <v>#DIV/0!</v>
      </c>
      <c r="BJ49" s="510" t="e">
        <f>+W49/12-'[1]wgl tot'!BL49</f>
        <v>#DIV/0!</v>
      </c>
      <c r="BK49" s="510" t="e">
        <f>ROUND(IF('[1]wgl tot'!BM49&gt;[1]tabellen!$H$11,[1]tabellen!$H$11,'[1]wgl tot'!BM49)*[1]tabellen!$C$11,2)</f>
        <v>#DIV/0!</v>
      </c>
      <c r="BL49" s="510" t="e">
        <f>+'[1]wgl tot'!BM49+'[1]wgl tot'!BN49</f>
        <v>#DIV/0!</v>
      </c>
      <c r="BM49" s="511">
        <f t="shared" si="33"/>
        <v>1900</v>
      </c>
      <c r="BN49" s="511">
        <f t="shared" si="34"/>
        <v>1</v>
      </c>
      <c r="BO49" s="505">
        <f t="shared" si="35"/>
        <v>0</v>
      </c>
      <c r="BP49" s="480">
        <f t="shared" si="22"/>
        <v>22462</v>
      </c>
      <c r="BQ49" s="480">
        <f t="shared" ca="1" si="23"/>
        <v>43888.768521180558</v>
      </c>
      <c r="BR49" s="454"/>
      <c r="BS49" s="480"/>
      <c r="BT49" s="454"/>
      <c r="BU49" s="512"/>
      <c r="BV49" s="512"/>
      <c r="BW49" s="512"/>
      <c r="BX49" s="512"/>
      <c r="BY49" s="512"/>
      <c r="BZ49" s="512"/>
      <c r="CA49" s="444"/>
      <c r="CB49" s="444"/>
    </row>
    <row r="50" spans="1:80" s="456" customFormat="1" ht="12" customHeight="1" x14ac:dyDescent="0.2">
      <c r="A50" s="444"/>
      <c r="B50" s="445"/>
      <c r="C50" s="484"/>
      <c r="D50" s="493"/>
      <c r="E50" s="494"/>
      <c r="F50" s="495"/>
      <c r="G50" s="495"/>
      <c r="H50" s="496"/>
      <c r="I50" s="535"/>
      <c r="J50" s="495"/>
      <c r="K50" s="497"/>
      <c r="L50" s="497"/>
      <c r="M50" s="498">
        <f>IF(F50="",0,(VLOOKUP('wgl tot'!F50,saltab2019juni,G50+1,FALSE)))</f>
        <v>0</v>
      </c>
      <c r="N50" s="499">
        <f t="shared" si="0"/>
        <v>0</v>
      </c>
      <c r="O50" s="484"/>
      <c r="P50" s="498">
        <f>ROUND(IF((M50+Q50)*BD50&lt;H50*tabellen!$D$33,H50*tabellen!$D$33,(M50+R50)*BD50),2)</f>
        <v>0</v>
      </c>
      <c r="Q50" s="498">
        <f t="shared" si="26"/>
        <v>0</v>
      </c>
      <c r="R50" s="498">
        <f t="shared" si="27"/>
        <v>0</v>
      </c>
      <c r="S50" s="498">
        <f t="shared" si="28"/>
        <v>0</v>
      </c>
      <c r="T50" s="498">
        <f t="shared" si="36"/>
        <v>0</v>
      </c>
      <c r="U50" s="498">
        <f>ROUND(H50*tabellen!$D$27,2)</f>
        <v>0</v>
      </c>
      <c r="V50" s="500">
        <f t="shared" si="12"/>
        <v>0</v>
      </c>
      <c r="W50" s="499">
        <f t="shared" si="13"/>
        <v>0</v>
      </c>
      <c r="X50" s="484"/>
      <c r="Y50" s="500">
        <f t="shared" si="14"/>
        <v>0</v>
      </c>
      <c r="Z50" s="501">
        <v>0</v>
      </c>
      <c r="AA50" s="484"/>
      <c r="AB50" s="498">
        <f>IF(F50="",0,(IF(V50/H50&lt;tabellen!$E$7,0,(V50-tabellen!$E$7*H50)/12)*tabellen!$C$7))</f>
        <v>0</v>
      </c>
      <c r="AC50" s="498">
        <f>IF(F50="",0,(IF(V50/H50&lt;tabellen!$E$7,0,(V50-tabellen!$E$7*H50)/12)*tabellen!$C$8))</f>
        <v>0</v>
      </c>
      <c r="AD50" s="498">
        <f>V50/12*tabellen!$C$9</f>
        <v>0</v>
      </c>
      <c r="AE50" s="498">
        <f>IF(H50=0,0,IF(BJ50&gt;tabellen!$G$10/12,$G$10/12,BJ50)*(tabellen!$C$10+tabellen!$C$11))</f>
        <v>0</v>
      </c>
      <c r="AF50" s="498">
        <f t="shared" si="29"/>
        <v>0</v>
      </c>
      <c r="AG50" s="502">
        <f>IF(F50="",0,(IF(BJ50&gt;tabellen!$G$13*H50/12,tabellen!$G$13*H50/12,BJ50*tabellen!$C$13)))</f>
        <v>0</v>
      </c>
      <c r="AH50" s="484"/>
      <c r="AI50" s="502">
        <f>IF(F50="",0,IF(K50="j",tabellen!$C$14*BJ50,0))</f>
        <v>0</v>
      </c>
      <c r="AJ50" s="502">
        <f>IF(F50="",0,IF(L50="j",tabellen!$C$15*BJ50,0))</f>
        <v>0</v>
      </c>
      <c r="AK50" s="503">
        <v>0</v>
      </c>
      <c r="AL50" s="484"/>
      <c r="AM50" s="503">
        <v>0</v>
      </c>
      <c r="AN50" s="484"/>
      <c r="AO50" s="499">
        <f t="shared" si="15"/>
        <v>0</v>
      </c>
      <c r="AP50" s="499">
        <f t="shared" si="16"/>
        <v>0</v>
      </c>
      <c r="AQ50" s="484"/>
      <c r="AR50" s="504" t="str">
        <f t="shared" si="30"/>
        <v/>
      </c>
      <c r="AS50" s="504" t="str">
        <f t="shared" si="5"/>
        <v/>
      </c>
      <c r="AT50" s="484"/>
      <c r="AU50" s="453"/>
      <c r="AV50" s="444"/>
      <c r="AW50" s="444"/>
      <c r="AX50" s="505">
        <f t="shared" ca="1" si="17"/>
        <v>120</v>
      </c>
      <c r="AY50" s="505">
        <f t="shared" ca="1" si="18"/>
        <v>1</v>
      </c>
      <c r="AZ50" s="505">
        <f t="shared" ca="1" si="19"/>
        <v>27</v>
      </c>
      <c r="BA50" s="454">
        <f t="shared" si="31"/>
        <v>100</v>
      </c>
      <c r="BB50" s="454">
        <f t="shared" si="32"/>
        <v>0</v>
      </c>
      <c r="BC50" s="480">
        <v>42583</v>
      </c>
      <c r="BD50" s="506">
        <f t="shared" si="25"/>
        <v>0.08</v>
      </c>
      <c r="BE50" s="507">
        <f>tabellen!$D$34</f>
        <v>7.3999999999999996E-2</v>
      </c>
      <c r="BF50" s="505">
        <f t="shared" si="20"/>
        <v>0</v>
      </c>
      <c r="BG50" s="508" t="e">
        <f>IF(V50/H50&lt;tabellen!$E$7,0,(V50-tabellen!$E$7*H50)/12*tabellen!$D$7)</f>
        <v>#DIV/0!</v>
      </c>
      <c r="BH50" s="508" t="e">
        <f>IF(V50/H50&lt;tabellen!$E$8,0,(V50-tabellen!$E$8*H50)/12*tabellen!$D$8)</f>
        <v>#DIV/0!</v>
      </c>
      <c r="BI50" s="509" t="e">
        <f t="shared" si="21"/>
        <v>#DIV/0!</v>
      </c>
      <c r="BJ50" s="510" t="e">
        <f>+W50/12-'[1]wgl tot'!BL50</f>
        <v>#DIV/0!</v>
      </c>
      <c r="BK50" s="510" t="e">
        <f>ROUND(IF('[1]wgl tot'!BM50&gt;[1]tabellen!$H$11,[1]tabellen!$H$11,'[1]wgl tot'!BM50)*[1]tabellen!$C$11,2)</f>
        <v>#DIV/0!</v>
      </c>
      <c r="BL50" s="510" t="e">
        <f>+'[1]wgl tot'!BM50+'[1]wgl tot'!BN50</f>
        <v>#DIV/0!</v>
      </c>
      <c r="BM50" s="511">
        <f t="shared" si="33"/>
        <v>1900</v>
      </c>
      <c r="BN50" s="511">
        <f t="shared" si="34"/>
        <v>1</v>
      </c>
      <c r="BO50" s="505">
        <f t="shared" si="35"/>
        <v>0</v>
      </c>
      <c r="BP50" s="480">
        <f t="shared" si="22"/>
        <v>22462</v>
      </c>
      <c r="BQ50" s="480">
        <f t="shared" ca="1" si="23"/>
        <v>43888.768521180558</v>
      </c>
      <c r="BR50" s="454"/>
      <c r="BS50" s="480"/>
      <c r="BT50" s="454"/>
      <c r="BU50" s="512"/>
      <c r="BV50" s="512"/>
      <c r="BW50" s="512"/>
      <c r="BX50" s="512"/>
      <c r="BY50" s="512"/>
      <c r="BZ50" s="512"/>
      <c r="CA50" s="444"/>
      <c r="CB50" s="444"/>
    </row>
    <row r="51" spans="1:80" s="456" customFormat="1" ht="12" customHeight="1" x14ac:dyDescent="0.2">
      <c r="A51" s="444"/>
      <c r="B51" s="445"/>
      <c r="C51" s="484"/>
      <c r="D51" s="493"/>
      <c r="E51" s="494"/>
      <c r="F51" s="495"/>
      <c r="G51" s="495"/>
      <c r="H51" s="496"/>
      <c r="I51" s="535"/>
      <c r="J51" s="495"/>
      <c r="K51" s="497"/>
      <c r="L51" s="497"/>
      <c r="M51" s="498">
        <f>IF(F51="",0,(VLOOKUP('wgl tot'!F51,saltab2019juni,G51+1,FALSE)))</f>
        <v>0</v>
      </c>
      <c r="N51" s="499">
        <f t="shared" si="0"/>
        <v>0</v>
      </c>
      <c r="O51" s="484"/>
      <c r="P51" s="498">
        <f>ROUND(IF((M51+Q51)*BD51&lt;H51*tabellen!$D$33,H51*tabellen!$D$33,(M51+R51)*BD51),2)</f>
        <v>0</v>
      </c>
      <c r="Q51" s="498">
        <f t="shared" si="26"/>
        <v>0</v>
      </c>
      <c r="R51" s="498">
        <f t="shared" si="27"/>
        <v>0</v>
      </c>
      <c r="S51" s="498">
        <f t="shared" si="28"/>
        <v>0</v>
      </c>
      <c r="T51" s="498">
        <f t="shared" si="36"/>
        <v>0</v>
      </c>
      <c r="U51" s="498">
        <f>ROUND(H51*tabellen!$D$27,2)</f>
        <v>0</v>
      </c>
      <c r="V51" s="500">
        <f t="shared" si="12"/>
        <v>0</v>
      </c>
      <c r="W51" s="499">
        <f t="shared" si="13"/>
        <v>0</v>
      </c>
      <c r="X51" s="484"/>
      <c r="Y51" s="500">
        <f t="shared" si="14"/>
        <v>0</v>
      </c>
      <c r="Z51" s="501">
        <v>0</v>
      </c>
      <c r="AA51" s="484"/>
      <c r="AB51" s="498">
        <f>IF(F51="",0,(IF(V51/H51&lt;tabellen!$E$7,0,(V51-tabellen!$E$7*H51)/12)*tabellen!$C$7))</f>
        <v>0</v>
      </c>
      <c r="AC51" s="498">
        <f>IF(F51="",0,(IF(V51/H51&lt;tabellen!$E$7,0,(V51-tabellen!$E$7*H51)/12)*tabellen!$C$8))</f>
        <v>0</v>
      </c>
      <c r="AD51" s="498">
        <f>V51/12*tabellen!$C$9</f>
        <v>0</v>
      </c>
      <c r="AE51" s="498">
        <f>IF(H51=0,0,IF(BJ51&gt;tabellen!$G$10/12,$G$10/12,BJ51)*(tabellen!$C$10+tabellen!$C$11))</f>
        <v>0</v>
      </c>
      <c r="AF51" s="498">
        <f t="shared" si="29"/>
        <v>0</v>
      </c>
      <c r="AG51" s="502">
        <f>IF(F51="",0,(IF(BJ51&gt;tabellen!$G$13*H51/12,tabellen!$G$13*H51/12,BJ51*tabellen!$C$13)))</f>
        <v>0</v>
      </c>
      <c r="AH51" s="484"/>
      <c r="AI51" s="502">
        <f>IF(F51="",0,IF(K51="j",tabellen!$C$14*BJ51,0))</f>
        <v>0</v>
      </c>
      <c r="AJ51" s="502">
        <f>IF(F51="",0,IF(L51="j",tabellen!$C$15*BJ51,0))</f>
        <v>0</v>
      </c>
      <c r="AK51" s="503">
        <v>0</v>
      </c>
      <c r="AL51" s="484"/>
      <c r="AM51" s="503">
        <v>0</v>
      </c>
      <c r="AN51" s="484"/>
      <c r="AO51" s="499">
        <f t="shared" si="15"/>
        <v>0</v>
      </c>
      <c r="AP51" s="499">
        <f t="shared" si="16"/>
        <v>0</v>
      </c>
      <c r="AQ51" s="484"/>
      <c r="AR51" s="504" t="str">
        <f t="shared" si="30"/>
        <v/>
      </c>
      <c r="AS51" s="504" t="str">
        <f t="shared" si="5"/>
        <v/>
      </c>
      <c r="AT51" s="484"/>
      <c r="AU51" s="453"/>
      <c r="AV51" s="444"/>
      <c r="AW51" s="444"/>
      <c r="AX51" s="505">
        <f t="shared" ca="1" si="17"/>
        <v>120</v>
      </c>
      <c r="AY51" s="505">
        <f t="shared" ca="1" si="18"/>
        <v>1</v>
      </c>
      <c r="AZ51" s="505">
        <f t="shared" ca="1" si="19"/>
        <v>27</v>
      </c>
      <c r="BA51" s="454">
        <f t="shared" si="31"/>
        <v>100</v>
      </c>
      <c r="BB51" s="454">
        <f t="shared" si="32"/>
        <v>0</v>
      </c>
      <c r="BC51" s="480">
        <v>42583</v>
      </c>
      <c r="BD51" s="506">
        <f t="shared" si="25"/>
        <v>0.08</v>
      </c>
      <c r="BE51" s="507">
        <f>tabellen!$D$34</f>
        <v>7.3999999999999996E-2</v>
      </c>
      <c r="BF51" s="505">
        <f t="shared" si="20"/>
        <v>0</v>
      </c>
      <c r="BG51" s="508" t="e">
        <f>IF(V51/H51&lt;tabellen!$E$7,0,(V51-tabellen!$E$7*H51)/12*tabellen!$D$7)</f>
        <v>#DIV/0!</v>
      </c>
      <c r="BH51" s="508" t="e">
        <f>IF(V51/H51&lt;tabellen!$E$8,0,(V51-tabellen!$E$8*H51)/12*tabellen!$D$8)</f>
        <v>#DIV/0!</v>
      </c>
      <c r="BI51" s="509" t="e">
        <f t="shared" si="21"/>
        <v>#DIV/0!</v>
      </c>
      <c r="BJ51" s="510" t="e">
        <f>+W51/12-'[1]wgl tot'!BL51</f>
        <v>#DIV/0!</v>
      </c>
      <c r="BK51" s="510" t="e">
        <f>ROUND(IF('[1]wgl tot'!BM51&gt;[1]tabellen!$H$11,[1]tabellen!$H$11,'[1]wgl tot'!BM51)*[1]tabellen!$C$11,2)</f>
        <v>#DIV/0!</v>
      </c>
      <c r="BL51" s="510" t="e">
        <f>+'[1]wgl tot'!BM51+'[1]wgl tot'!BN51</f>
        <v>#DIV/0!</v>
      </c>
      <c r="BM51" s="511">
        <f t="shared" si="33"/>
        <v>1900</v>
      </c>
      <c r="BN51" s="511">
        <f t="shared" si="34"/>
        <v>1</v>
      </c>
      <c r="BO51" s="505">
        <f t="shared" si="35"/>
        <v>0</v>
      </c>
      <c r="BP51" s="480">
        <f t="shared" si="22"/>
        <v>22462</v>
      </c>
      <c r="BQ51" s="480">
        <f t="shared" ca="1" si="23"/>
        <v>43888.768521180558</v>
      </c>
      <c r="BR51" s="454"/>
      <c r="BS51" s="480"/>
      <c r="BT51" s="454"/>
      <c r="BU51" s="512"/>
      <c r="BV51" s="512"/>
      <c r="BW51" s="512"/>
      <c r="BX51" s="512"/>
      <c r="BY51" s="512"/>
      <c r="BZ51" s="512"/>
      <c r="CA51" s="444"/>
      <c r="CB51" s="444"/>
    </row>
    <row r="52" spans="1:80" s="456" customFormat="1" ht="12" customHeight="1" x14ac:dyDescent="0.2">
      <c r="A52" s="444"/>
      <c r="B52" s="445"/>
      <c r="C52" s="484"/>
      <c r="D52" s="493"/>
      <c r="E52" s="494"/>
      <c r="F52" s="495"/>
      <c r="G52" s="495"/>
      <c r="H52" s="496"/>
      <c r="I52" s="535"/>
      <c r="J52" s="495"/>
      <c r="K52" s="497"/>
      <c r="L52" s="497"/>
      <c r="M52" s="498">
        <f>IF(F52="",0,(VLOOKUP('wgl tot'!F52,saltab2019juni,G52+1,FALSE)))</f>
        <v>0</v>
      </c>
      <c r="N52" s="499">
        <f t="shared" si="0"/>
        <v>0</v>
      </c>
      <c r="O52" s="484"/>
      <c r="P52" s="498">
        <f>ROUND(IF((M52+Q52)*BD52&lt;H52*tabellen!$D$33,H52*tabellen!$D$33,(M52+R52)*BD52),2)</f>
        <v>0</v>
      </c>
      <c r="Q52" s="498">
        <f t="shared" si="26"/>
        <v>0</v>
      </c>
      <c r="R52" s="498">
        <f t="shared" si="27"/>
        <v>0</v>
      </c>
      <c r="S52" s="498">
        <f t="shared" si="28"/>
        <v>0</v>
      </c>
      <c r="T52" s="498">
        <f t="shared" si="36"/>
        <v>0</v>
      </c>
      <c r="U52" s="498">
        <f>ROUND(H52*tabellen!$D$27,2)</f>
        <v>0</v>
      </c>
      <c r="V52" s="500">
        <f t="shared" si="12"/>
        <v>0</v>
      </c>
      <c r="W52" s="499">
        <f t="shared" si="13"/>
        <v>0</v>
      </c>
      <c r="X52" s="484"/>
      <c r="Y52" s="500">
        <f t="shared" si="14"/>
        <v>0</v>
      </c>
      <c r="Z52" s="501">
        <v>0</v>
      </c>
      <c r="AA52" s="484"/>
      <c r="AB52" s="498">
        <f>IF(F52="",0,(IF(V52/H52&lt;tabellen!$E$7,0,(V52-tabellen!$E$7*H52)/12)*tabellen!$C$7))</f>
        <v>0</v>
      </c>
      <c r="AC52" s="498">
        <f>IF(F52="",0,(IF(V52/H52&lt;tabellen!$E$7,0,(V52-tabellen!$E$7*H52)/12)*tabellen!$C$8))</f>
        <v>0</v>
      </c>
      <c r="AD52" s="498">
        <f>V52/12*tabellen!$C$9</f>
        <v>0</v>
      </c>
      <c r="AE52" s="498">
        <f>IF(H52=0,0,IF(BJ52&gt;tabellen!$G$10/12,$G$10/12,BJ52)*(tabellen!$C$10+tabellen!$C$11))</f>
        <v>0</v>
      </c>
      <c r="AF52" s="498">
        <f t="shared" si="29"/>
        <v>0</v>
      </c>
      <c r="AG52" s="502">
        <f>IF(F52="",0,(IF(BJ52&gt;tabellen!$G$13*H52/12,tabellen!$G$13*H52/12,BJ52*tabellen!$C$13)))</f>
        <v>0</v>
      </c>
      <c r="AH52" s="484"/>
      <c r="AI52" s="502">
        <f>IF(F52="",0,IF(K52="j",tabellen!$C$14*BJ52,0))</f>
        <v>0</v>
      </c>
      <c r="AJ52" s="502">
        <f>IF(F52="",0,IF(L52="j",tabellen!$C$15*BJ52,0))</f>
        <v>0</v>
      </c>
      <c r="AK52" s="503">
        <v>0</v>
      </c>
      <c r="AL52" s="484"/>
      <c r="AM52" s="503">
        <v>0</v>
      </c>
      <c r="AN52" s="484"/>
      <c r="AO52" s="499">
        <f t="shared" si="15"/>
        <v>0</v>
      </c>
      <c r="AP52" s="499">
        <f t="shared" si="16"/>
        <v>0</v>
      </c>
      <c r="AQ52" s="484"/>
      <c r="AR52" s="504" t="str">
        <f t="shared" si="30"/>
        <v/>
      </c>
      <c r="AS52" s="504" t="str">
        <f t="shared" si="5"/>
        <v/>
      </c>
      <c r="AT52" s="484"/>
      <c r="AU52" s="453"/>
      <c r="AV52" s="444"/>
      <c r="AW52" s="444"/>
      <c r="AX52" s="505">
        <f t="shared" ca="1" si="17"/>
        <v>120</v>
      </c>
      <c r="AY52" s="505">
        <f t="shared" ca="1" si="18"/>
        <v>1</v>
      </c>
      <c r="AZ52" s="505">
        <f t="shared" ca="1" si="19"/>
        <v>27</v>
      </c>
      <c r="BA52" s="454">
        <f t="shared" si="31"/>
        <v>100</v>
      </c>
      <c r="BB52" s="454">
        <f t="shared" si="32"/>
        <v>0</v>
      </c>
      <c r="BC52" s="480">
        <v>42583</v>
      </c>
      <c r="BD52" s="506">
        <f t="shared" si="25"/>
        <v>0.08</v>
      </c>
      <c r="BE52" s="507">
        <f>tabellen!$D$34</f>
        <v>7.3999999999999996E-2</v>
      </c>
      <c r="BF52" s="505">
        <f t="shared" si="20"/>
        <v>0</v>
      </c>
      <c r="BG52" s="508" t="e">
        <f>IF(V52/H52&lt;tabellen!$E$7,0,(V52-tabellen!$E$7*H52)/12*tabellen!$D$7)</f>
        <v>#DIV/0!</v>
      </c>
      <c r="BH52" s="508" t="e">
        <f>IF(V52/H52&lt;tabellen!$E$8,0,(V52-tabellen!$E$8*H52)/12*tabellen!$D$8)</f>
        <v>#DIV/0!</v>
      </c>
      <c r="BI52" s="509" t="e">
        <f t="shared" si="21"/>
        <v>#DIV/0!</v>
      </c>
      <c r="BJ52" s="510" t="e">
        <f>+W52/12-'[1]wgl tot'!BL52</f>
        <v>#DIV/0!</v>
      </c>
      <c r="BK52" s="510" t="e">
        <f>ROUND(IF('[1]wgl tot'!BM52&gt;[1]tabellen!$H$11,[1]tabellen!$H$11,'[1]wgl tot'!BM52)*[1]tabellen!$C$11,2)</f>
        <v>#DIV/0!</v>
      </c>
      <c r="BL52" s="510" t="e">
        <f>+'[1]wgl tot'!BM52+'[1]wgl tot'!BN52</f>
        <v>#DIV/0!</v>
      </c>
      <c r="BM52" s="511">
        <f t="shared" si="33"/>
        <v>1900</v>
      </c>
      <c r="BN52" s="511">
        <f t="shared" si="34"/>
        <v>1</v>
      </c>
      <c r="BO52" s="505">
        <f t="shared" si="35"/>
        <v>0</v>
      </c>
      <c r="BP52" s="480">
        <f t="shared" si="22"/>
        <v>22462</v>
      </c>
      <c r="BQ52" s="480">
        <f t="shared" ca="1" si="23"/>
        <v>43888.768521180558</v>
      </c>
      <c r="BR52" s="454"/>
      <c r="BS52" s="480"/>
      <c r="BT52" s="454"/>
      <c r="BU52" s="512"/>
      <c r="BV52" s="512"/>
      <c r="BW52" s="512"/>
      <c r="BX52" s="512"/>
      <c r="BY52" s="512"/>
      <c r="BZ52" s="512"/>
      <c r="CA52" s="444"/>
      <c r="CB52" s="444"/>
    </row>
    <row r="53" spans="1:80" s="456" customFormat="1" ht="12" customHeight="1" x14ac:dyDescent="0.2">
      <c r="A53" s="444"/>
      <c r="B53" s="445"/>
      <c r="C53" s="484"/>
      <c r="D53" s="493"/>
      <c r="E53" s="494"/>
      <c r="F53" s="495"/>
      <c r="G53" s="495"/>
      <c r="H53" s="496"/>
      <c r="I53" s="535"/>
      <c r="J53" s="495"/>
      <c r="K53" s="497"/>
      <c r="L53" s="497"/>
      <c r="M53" s="498">
        <f>IF(F53="",0,(VLOOKUP('wgl tot'!F53,saltab2019juni,G53+1,FALSE)))</f>
        <v>0</v>
      </c>
      <c r="N53" s="499">
        <f t="shared" si="0"/>
        <v>0</v>
      </c>
      <c r="O53" s="484"/>
      <c r="P53" s="498">
        <f>ROUND(IF((M53+Q53)*BD53&lt;H53*tabellen!$D$33,H53*tabellen!$D$33,(M53+R53)*BD53),2)</f>
        <v>0</v>
      </c>
      <c r="Q53" s="498">
        <f t="shared" si="26"/>
        <v>0</v>
      </c>
      <c r="R53" s="498">
        <f t="shared" si="27"/>
        <v>0</v>
      </c>
      <c r="S53" s="498">
        <f t="shared" si="28"/>
        <v>0</v>
      </c>
      <c r="T53" s="498">
        <f t="shared" si="36"/>
        <v>0</v>
      </c>
      <c r="U53" s="498">
        <f>ROUND(H53*tabellen!$D$27,2)</f>
        <v>0</v>
      </c>
      <c r="V53" s="500">
        <f t="shared" si="12"/>
        <v>0</v>
      </c>
      <c r="W53" s="499">
        <f t="shared" si="13"/>
        <v>0</v>
      </c>
      <c r="X53" s="484"/>
      <c r="Y53" s="500">
        <f t="shared" si="14"/>
        <v>0</v>
      </c>
      <c r="Z53" s="501">
        <v>0</v>
      </c>
      <c r="AA53" s="484"/>
      <c r="AB53" s="498">
        <f>IF(F53="",0,(IF(V53/H53&lt;tabellen!$E$7,0,(V53-tabellen!$E$7*H53)/12)*tabellen!$C$7))</f>
        <v>0</v>
      </c>
      <c r="AC53" s="498">
        <f>IF(F53="",0,(IF(V53/H53&lt;tabellen!$E$7,0,(V53-tabellen!$E$7*H53)/12)*tabellen!$C$8))</f>
        <v>0</v>
      </c>
      <c r="AD53" s="498">
        <f>V53/12*tabellen!$C$9</f>
        <v>0</v>
      </c>
      <c r="AE53" s="498">
        <f>IF(H53=0,0,IF(BJ53&gt;tabellen!$G$10/12,$G$10/12,BJ53)*(tabellen!$C$10+tabellen!$C$11))</f>
        <v>0</v>
      </c>
      <c r="AF53" s="498">
        <f t="shared" si="29"/>
        <v>0</v>
      </c>
      <c r="AG53" s="502">
        <f>IF(F53="",0,(IF(BJ53&gt;tabellen!$G$13*H53/12,tabellen!$G$13*H53/12,BJ53*tabellen!$C$13)))</f>
        <v>0</v>
      </c>
      <c r="AH53" s="484"/>
      <c r="AI53" s="502">
        <f>IF(F53="",0,IF(K53="j",tabellen!$C$14*BJ53,0))</f>
        <v>0</v>
      </c>
      <c r="AJ53" s="502">
        <f>IF(F53="",0,IF(L53="j",tabellen!$C$15*BJ53,0))</f>
        <v>0</v>
      </c>
      <c r="AK53" s="503">
        <v>0</v>
      </c>
      <c r="AL53" s="484"/>
      <c r="AM53" s="503">
        <v>0</v>
      </c>
      <c r="AN53" s="484"/>
      <c r="AO53" s="499">
        <f t="shared" si="15"/>
        <v>0</v>
      </c>
      <c r="AP53" s="499">
        <f t="shared" si="16"/>
        <v>0</v>
      </c>
      <c r="AQ53" s="484"/>
      <c r="AR53" s="504" t="str">
        <f t="shared" si="30"/>
        <v/>
      </c>
      <c r="AS53" s="504" t="str">
        <f t="shared" si="5"/>
        <v/>
      </c>
      <c r="AT53" s="484"/>
      <c r="AU53" s="453"/>
      <c r="AV53" s="444"/>
      <c r="AW53" s="444"/>
      <c r="AX53" s="505">
        <f t="shared" ca="1" si="17"/>
        <v>120</v>
      </c>
      <c r="AY53" s="505">
        <f t="shared" ca="1" si="18"/>
        <v>1</v>
      </c>
      <c r="AZ53" s="505">
        <f t="shared" ca="1" si="19"/>
        <v>27</v>
      </c>
      <c r="BA53" s="454">
        <f t="shared" si="31"/>
        <v>100</v>
      </c>
      <c r="BB53" s="454">
        <f t="shared" si="32"/>
        <v>0</v>
      </c>
      <c r="BC53" s="480">
        <v>42583</v>
      </c>
      <c r="BD53" s="506">
        <f t="shared" si="25"/>
        <v>0.08</v>
      </c>
      <c r="BE53" s="507">
        <f>tabellen!$D$34</f>
        <v>7.3999999999999996E-2</v>
      </c>
      <c r="BF53" s="505">
        <f t="shared" si="20"/>
        <v>0</v>
      </c>
      <c r="BG53" s="508" t="e">
        <f>IF(V53/H53&lt;tabellen!$E$7,0,(V53-tabellen!$E$7*H53)/12*tabellen!$D$7)</f>
        <v>#DIV/0!</v>
      </c>
      <c r="BH53" s="508" t="e">
        <f>IF(V53/H53&lt;tabellen!$E$8,0,(V53-tabellen!$E$8*H53)/12*tabellen!$D$8)</f>
        <v>#DIV/0!</v>
      </c>
      <c r="BI53" s="509" t="e">
        <f t="shared" si="21"/>
        <v>#DIV/0!</v>
      </c>
      <c r="BJ53" s="510" t="e">
        <f>+W53/12-'[1]wgl tot'!BL53</f>
        <v>#DIV/0!</v>
      </c>
      <c r="BK53" s="510" t="e">
        <f>ROUND(IF('[1]wgl tot'!BM53&gt;[1]tabellen!$H$11,[1]tabellen!$H$11,'[1]wgl tot'!BM53)*[1]tabellen!$C$11,2)</f>
        <v>#DIV/0!</v>
      </c>
      <c r="BL53" s="510" t="e">
        <f>+'[1]wgl tot'!BM53+'[1]wgl tot'!BN53</f>
        <v>#DIV/0!</v>
      </c>
      <c r="BM53" s="511">
        <f t="shared" si="33"/>
        <v>1900</v>
      </c>
      <c r="BN53" s="511">
        <f t="shared" si="34"/>
        <v>1</v>
      </c>
      <c r="BO53" s="505">
        <f t="shared" si="35"/>
        <v>0</v>
      </c>
      <c r="BP53" s="480">
        <f t="shared" si="22"/>
        <v>22462</v>
      </c>
      <c r="BQ53" s="480">
        <f t="shared" ca="1" si="23"/>
        <v>43888.768521180558</v>
      </c>
      <c r="BR53" s="454"/>
      <c r="BS53" s="480"/>
      <c r="BT53" s="454"/>
      <c r="BU53" s="512"/>
      <c r="BV53" s="512"/>
      <c r="BW53" s="512"/>
      <c r="BX53" s="512"/>
      <c r="BY53" s="512"/>
      <c r="BZ53" s="512"/>
      <c r="CA53" s="444"/>
      <c r="CB53" s="444"/>
    </row>
    <row r="54" spans="1:80" s="456" customFormat="1" ht="12" customHeight="1" x14ac:dyDescent="0.2">
      <c r="A54" s="444"/>
      <c r="B54" s="445"/>
      <c r="C54" s="484"/>
      <c r="D54" s="493"/>
      <c r="E54" s="494"/>
      <c r="F54" s="495"/>
      <c r="G54" s="495"/>
      <c r="H54" s="496"/>
      <c r="I54" s="535"/>
      <c r="J54" s="495"/>
      <c r="K54" s="497"/>
      <c r="L54" s="497"/>
      <c r="M54" s="498">
        <f>IF(F54="",0,(VLOOKUP('wgl tot'!F54,saltab2019juni,G54+1,FALSE)))</f>
        <v>0</v>
      </c>
      <c r="N54" s="499">
        <f t="shared" si="0"/>
        <v>0</v>
      </c>
      <c r="O54" s="484"/>
      <c r="P54" s="498">
        <f>ROUND(IF((M54+Q54)*BD54&lt;H54*tabellen!$D$33,H54*tabellen!$D$33,(M54+R54)*BD54),2)</f>
        <v>0</v>
      </c>
      <c r="Q54" s="498">
        <f t="shared" si="26"/>
        <v>0</v>
      </c>
      <c r="R54" s="498">
        <f t="shared" si="27"/>
        <v>0</v>
      </c>
      <c r="S54" s="498">
        <f t="shared" si="28"/>
        <v>0</v>
      </c>
      <c r="T54" s="498">
        <f t="shared" si="36"/>
        <v>0</v>
      </c>
      <c r="U54" s="498">
        <f>ROUND(H54*tabellen!$D$27,2)</f>
        <v>0</v>
      </c>
      <c r="V54" s="500">
        <f t="shared" si="12"/>
        <v>0</v>
      </c>
      <c r="W54" s="499">
        <f t="shared" si="13"/>
        <v>0</v>
      </c>
      <c r="X54" s="484"/>
      <c r="Y54" s="500">
        <f t="shared" si="14"/>
        <v>0</v>
      </c>
      <c r="Z54" s="501">
        <v>0</v>
      </c>
      <c r="AA54" s="484"/>
      <c r="AB54" s="498">
        <f>IF(F54="",0,(IF(V54/H54&lt;tabellen!$E$7,0,(V54-tabellen!$E$7*H54)/12)*tabellen!$C$7))</f>
        <v>0</v>
      </c>
      <c r="AC54" s="498">
        <f>IF(F54="",0,(IF(V54/H54&lt;tabellen!$E$7,0,(V54-tabellen!$E$7*H54)/12)*tabellen!$C$8))</f>
        <v>0</v>
      </c>
      <c r="AD54" s="498">
        <f>V54/12*tabellen!$C$9</f>
        <v>0</v>
      </c>
      <c r="AE54" s="498">
        <f>IF(H54=0,0,IF(BJ54&gt;tabellen!$G$10/12,$G$10/12,BJ54)*(tabellen!$C$10+tabellen!$C$11))</f>
        <v>0</v>
      </c>
      <c r="AF54" s="498">
        <f t="shared" si="29"/>
        <v>0</v>
      </c>
      <c r="AG54" s="502">
        <f>IF(F54="",0,(IF(BJ54&gt;tabellen!$G$13*H54/12,tabellen!$G$13*H54/12,BJ54*tabellen!$C$13)))</f>
        <v>0</v>
      </c>
      <c r="AH54" s="484"/>
      <c r="AI54" s="502">
        <f>IF(F54="",0,IF(K54="j",tabellen!$C$14*BJ54,0))</f>
        <v>0</v>
      </c>
      <c r="AJ54" s="502">
        <f>IF(F54="",0,IF(L54="j",tabellen!$C$15*BJ54,0))</f>
        <v>0</v>
      </c>
      <c r="AK54" s="503">
        <v>0</v>
      </c>
      <c r="AL54" s="484"/>
      <c r="AM54" s="503">
        <v>0</v>
      </c>
      <c r="AN54" s="484"/>
      <c r="AO54" s="499">
        <f t="shared" si="15"/>
        <v>0</v>
      </c>
      <c r="AP54" s="499">
        <f t="shared" si="16"/>
        <v>0</v>
      </c>
      <c r="AQ54" s="484"/>
      <c r="AR54" s="504" t="str">
        <f t="shared" si="30"/>
        <v/>
      </c>
      <c r="AS54" s="504" t="str">
        <f t="shared" si="5"/>
        <v/>
      </c>
      <c r="AT54" s="484"/>
      <c r="AU54" s="453"/>
      <c r="AV54" s="444"/>
      <c r="AW54" s="444"/>
      <c r="AX54" s="505">
        <f t="shared" ca="1" si="17"/>
        <v>120</v>
      </c>
      <c r="AY54" s="505">
        <f t="shared" ca="1" si="18"/>
        <v>1</v>
      </c>
      <c r="AZ54" s="505">
        <f t="shared" ca="1" si="19"/>
        <v>27</v>
      </c>
      <c r="BA54" s="454">
        <f t="shared" si="31"/>
        <v>100</v>
      </c>
      <c r="BB54" s="454">
        <f t="shared" si="32"/>
        <v>0</v>
      </c>
      <c r="BC54" s="480">
        <v>42583</v>
      </c>
      <c r="BD54" s="506">
        <f t="shared" si="25"/>
        <v>0.08</v>
      </c>
      <c r="BE54" s="507">
        <f>tabellen!$D$34</f>
        <v>7.3999999999999996E-2</v>
      </c>
      <c r="BF54" s="505">
        <f t="shared" si="20"/>
        <v>0</v>
      </c>
      <c r="BG54" s="508" t="e">
        <f>IF(V54/H54&lt;tabellen!$E$7,0,(V54-tabellen!$E$7*H54)/12*tabellen!$D$7)</f>
        <v>#DIV/0!</v>
      </c>
      <c r="BH54" s="508" t="e">
        <f>IF(V54/H54&lt;tabellen!$E$8,0,(V54-tabellen!$E$8*H54)/12*tabellen!$D$8)</f>
        <v>#DIV/0!</v>
      </c>
      <c r="BI54" s="509" t="e">
        <f t="shared" si="21"/>
        <v>#DIV/0!</v>
      </c>
      <c r="BJ54" s="510" t="e">
        <f>+W54/12-'[1]wgl tot'!BL54</f>
        <v>#DIV/0!</v>
      </c>
      <c r="BK54" s="510" t="e">
        <f>ROUND(IF('[1]wgl tot'!BM54&gt;[1]tabellen!$H$11,[1]tabellen!$H$11,'[1]wgl tot'!BM54)*[1]tabellen!$C$11,2)</f>
        <v>#DIV/0!</v>
      </c>
      <c r="BL54" s="510" t="e">
        <f>+'[1]wgl tot'!BM54+'[1]wgl tot'!BN54</f>
        <v>#DIV/0!</v>
      </c>
      <c r="BM54" s="511">
        <f t="shared" si="33"/>
        <v>1900</v>
      </c>
      <c r="BN54" s="511">
        <f t="shared" si="34"/>
        <v>1</v>
      </c>
      <c r="BO54" s="505">
        <f t="shared" si="35"/>
        <v>0</v>
      </c>
      <c r="BP54" s="480">
        <f t="shared" si="22"/>
        <v>22462</v>
      </c>
      <c r="BQ54" s="480">
        <f t="shared" ca="1" si="23"/>
        <v>43888.768521180558</v>
      </c>
      <c r="BR54" s="454"/>
      <c r="BS54" s="480"/>
      <c r="BT54" s="454"/>
      <c r="BU54" s="512"/>
      <c r="BV54" s="512"/>
      <c r="BW54" s="512"/>
      <c r="BX54" s="512"/>
      <c r="BY54" s="512"/>
      <c r="BZ54" s="512"/>
      <c r="CA54" s="444"/>
      <c r="CB54" s="444"/>
    </row>
    <row r="55" spans="1:80" s="456" customFormat="1" ht="12" customHeight="1" x14ac:dyDescent="0.2">
      <c r="A55" s="444"/>
      <c r="B55" s="445"/>
      <c r="C55" s="484"/>
      <c r="D55" s="493"/>
      <c r="E55" s="494"/>
      <c r="F55" s="495"/>
      <c r="G55" s="495"/>
      <c r="H55" s="496"/>
      <c r="I55" s="535"/>
      <c r="J55" s="495"/>
      <c r="K55" s="497"/>
      <c r="L55" s="497"/>
      <c r="M55" s="498">
        <f>IF(F55="",0,(VLOOKUP('wgl tot'!F55,saltab2019juni,G55+1,FALSE)))</f>
        <v>0</v>
      </c>
      <c r="N55" s="499">
        <f t="shared" si="0"/>
        <v>0</v>
      </c>
      <c r="O55" s="484"/>
      <c r="P55" s="498">
        <f>ROUND(IF((M55+Q55)*BD55&lt;H55*tabellen!$D$33,H55*tabellen!$D$33,(M55+R55)*BD55),2)</f>
        <v>0</v>
      </c>
      <c r="Q55" s="498">
        <f t="shared" si="26"/>
        <v>0</v>
      </c>
      <c r="R55" s="498">
        <f t="shared" si="27"/>
        <v>0</v>
      </c>
      <c r="S55" s="498">
        <f t="shared" si="28"/>
        <v>0</v>
      </c>
      <c r="T55" s="498">
        <f t="shared" si="36"/>
        <v>0</v>
      </c>
      <c r="U55" s="498">
        <f>ROUND(H55*tabellen!$D$27,2)</f>
        <v>0</v>
      </c>
      <c r="V55" s="500">
        <f t="shared" si="12"/>
        <v>0</v>
      </c>
      <c r="W55" s="499">
        <f t="shared" si="13"/>
        <v>0</v>
      </c>
      <c r="X55" s="484"/>
      <c r="Y55" s="500">
        <f t="shared" si="14"/>
        <v>0</v>
      </c>
      <c r="Z55" s="501">
        <v>0</v>
      </c>
      <c r="AA55" s="484"/>
      <c r="AB55" s="498">
        <f>IF(F55="",0,(IF(V55/H55&lt;tabellen!$E$7,0,(V55-tabellen!$E$7*H55)/12)*tabellen!$C$7))</f>
        <v>0</v>
      </c>
      <c r="AC55" s="498">
        <f>IF(F55="",0,(IF(V55/H55&lt;tabellen!$E$7,0,(V55-tabellen!$E$7*H55)/12)*tabellen!$C$8))</f>
        <v>0</v>
      </c>
      <c r="AD55" s="498">
        <f>V55/12*tabellen!$C$9</f>
        <v>0</v>
      </c>
      <c r="AE55" s="498">
        <f>IF(H55=0,0,IF(BJ55&gt;tabellen!$G$10/12,$G$10/12,BJ55)*(tabellen!$C$10+tabellen!$C$11))</f>
        <v>0</v>
      </c>
      <c r="AF55" s="498">
        <f t="shared" si="29"/>
        <v>0</v>
      </c>
      <c r="AG55" s="502">
        <f>IF(F55="",0,(IF(BJ55&gt;tabellen!$G$13*H55/12,tabellen!$G$13*H55/12,BJ55*tabellen!$C$13)))</f>
        <v>0</v>
      </c>
      <c r="AH55" s="484"/>
      <c r="AI55" s="502">
        <f>IF(F55="",0,IF(K55="j",tabellen!$C$14*BJ55,0))</f>
        <v>0</v>
      </c>
      <c r="AJ55" s="502">
        <f>IF(F55="",0,IF(L55="j",tabellen!$C$15*BJ55,0))</f>
        <v>0</v>
      </c>
      <c r="AK55" s="503">
        <v>0</v>
      </c>
      <c r="AL55" s="484"/>
      <c r="AM55" s="503">
        <v>0</v>
      </c>
      <c r="AN55" s="484"/>
      <c r="AO55" s="499">
        <f t="shared" si="15"/>
        <v>0</v>
      </c>
      <c r="AP55" s="499">
        <f t="shared" si="16"/>
        <v>0</v>
      </c>
      <c r="AQ55" s="484"/>
      <c r="AR55" s="504" t="str">
        <f t="shared" si="30"/>
        <v/>
      </c>
      <c r="AS55" s="504" t="str">
        <f t="shared" si="5"/>
        <v/>
      </c>
      <c r="AT55" s="484"/>
      <c r="AU55" s="453"/>
      <c r="AV55" s="444"/>
      <c r="AW55" s="444"/>
      <c r="AX55" s="505">
        <f t="shared" ca="1" si="17"/>
        <v>120</v>
      </c>
      <c r="AY55" s="505">
        <f t="shared" ca="1" si="18"/>
        <v>1</v>
      </c>
      <c r="AZ55" s="505">
        <f t="shared" ca="1" si="19"/>
        <v>27</v>
      </c>
      <c r="BA55" s="454">
        <f t="shared" si="31"/>
        <v>100</v>
      </c>
      <c r="BB55" s="454">
        <f t="shared" si="32"/>
        <v>0</v>
      </c>
      <c r="BC55" s="480">
        <v>42583</v>
      </c>
      <c r="BD55" s="506">
        <f t="shared" si="25"/>
        <v>0.08</v>
      </c>
      <c r="BE55" s="507">
        <f>tabellen!$D$34</f>
        <v>7.3999999999999996E-2</v>
      </c>
      <c r="BF55" s="505">
        <f t="shared" si="20"/>
        <v>0</v>
      </c>
      <c r="BG55" s="508" t="e">
        <f>IF(V55/H55&lt;tabellen!$E$7,0,(V55-tabellen!$E$7*H55)/12*tabellen!$D$7)</f>
        <v>#DIV/0!</v>
      </c>
      <c r="BH55" s="508" t="e">
        <f>IF(V55/H55&lt;tabellen!$E$8,0,(V55-tabellen!$E$8*H55)/12*tabellen!$D$8)</f>
        <v>#DIV/0!</v>
      </c>
      <c r="BI55" s="509" t="e">
        <f t="shared" si="21"/>
        <v>#DIV/0!</v>
      </c>
      <c r="BJ55" s="510" t="e">
        <f>+W55/12-'[1]wgl tot'!BL55</f>
        <v>#DIV/0!</v>
      </c>
      <c r="BK55" s="510" t="e">
        <f>ROUND(IF('[1]wgl tot'!BM55&gt;[1]tabellen!$H$11,[1]tabellen!$H$11,'[1]wgl tot'!BM55)*[1]tabellen!$C$11,2)</f>
        <v>#DIV/0!</v>
      </c>
      <c r="BL55" s="510" t="e">
        <f>+'[1]wgl tot'!BM55+'[1]wgl tot'!BN55</f>
        <v>#DIV/0!</v>
      </c>
      <c r="BM55" s="511">
        <f t="shared" si="33"/>
        <v>1900</v>
      </c>
      <c r="BN55" s="511">
        <f t="shared" si="34"/>
        <v>1</v>
      </c>
      <c r="BO55" s="505">
        <f t="shared" si="35"/>
        <v>0</v>
      </c>
      <c r="BP55" s="480">
        <f t="shared" si="22"/>
        <v>22462</v>
      </c>
      <c r="BQ55" s="480">
        <f t="shared" ca="1" si="23"/>
        <v>43888.768521180558</v>
      </c>
      <c r="BR55" s="454"/>
      <c r="BS55" s="480"/>
      <c r="BT55" s="454"/>
      <c r="BU55" s="512"/>
      <c r="BV55" s="512"/>
      <c r="BW55" s="512"/>
      <c r="BX55" s="512"/>
      <c r="BY55" s="512"/>
      <c r="BZ55" s="512"/>
      <c r="CA55" s="444"/>
      <c r="CB55" s="444"/>
    </row>
    <row r="56" spans="1:80" s="456" customFormat="1" ht="12" customHeight="1" x14ac:dyDescent="0.2">
      <c r="A56" s="444"/>
      <c r="B56" s="445"/>
      <c r="C56" s="484"/>
      <c r="D56" s="493"/>
      <c r="E56" s="494"/>
      <c r="F56" s="495"/>
      <c r="G56" s="495"/>
      <c r="H56" s="496"/>
      <c r="I56" s="535"/>
      <c r="J56" s="495"/>
      <c r="K56" s="497"/>
      <c r="L56" s="497"/>
      <c r="M56" s="498">
        <f>IF(F56="",0,(VLOOKUP('wgl tot'!F56,saltab2019juni,G56+1,FALSE)))</f>
        <v>0</v>
      </c>
      <c r="N56" s="499">
        <f t="shared" si="0"/>
        <v>0</v>
      </c>
      <c r="O56" s="484"/>
      <c r="P56" s="498">
        <f>ROUND(IF((M56+Q56)*BD56&lt;H56*tabellen!$D$33,H56*tabellen!$D$33,(M56+R56)*BD56),2)</f>
        <v>0</v>
      </c>
      <c r="Q56" s="498">
        <f t="shared" si="26"/>
        <v>0</v>
      </c>
      <c r="R56" s="498">
        <f t="shared" si="27"/>
        <v>0</v>
      </c>
      <c r="S56" s="498">
        <f t="shared" si="28"/>
        <v>0</v>
      </c>
      <c r="T56" s="498">
        <f t="shared" si="36"/>
        <v>0</v>
      </c>
      <c r="U56" s="498">
        <f>ROUND(H56*tabellen!$D$27,2)</f>
        <v>0</v>
      </c>
      <c r="V56" s="500">
        <f t="shared" si="12"/>
        <v>0</v>
      </c>
      <c r="W56" s="499">
        <f t="shared" si="13"/>
        <v>0</v>
      </c>
      <c r="X56" s="484"/>
      <c r="Y56" s="500">
        <f t="shared" si="14"/>
        <v>0</v>
      </c>
      <c r="Z56" s="501">
        <v>0</v>
      </c>
      <c r="AA56" s="484"/>
      <c r="AB56" s="498">
        <f>IF(F56="",0,(IF(V56/H56&lt;tabellen!$E$7,0,(V56-tabellen!$E$7*H56)/12)*tabellen!$C$7))</f>
        <v>0</v>
      </c>
      <c r="AC56" s="498">
        <f>IF(F56="",0,(IF(V56/H56&lt;tabellen!$E$7,0,(V56-tabellen!$E$7*H56)/12)*tabellen!$C$8))</f>
        <v>0</v>
      </c>
      <c r="AD56" s="498">
        <f>V56/12*tabellen!$C$9</f>
        <v>0</v>
      </c>
      <c r="AE56" s="498">
        <f>IF(H56=0,0,IF(BJ56&gt;tabellen!$G$10/12,$G$10/12,BJ56)*(tabellen!$C$10+tabellen!$C$11))</f>
        <v>0</v>
      </c>
      <c r="AF56" s="498">
        <f t="shared" si="29"/>
        <v>0</v>
      </c>
      <c r="AG56" s="502">
        <f>IF(F56="",0,(IF(BJ56&gt;tabellen!$G$13*H56/12,tabellen!$G$13*H56/12,BJ56*tabellen!$C$13)))</f>
        <v>0</v>
      </c>
      <c r="AH56" s="484"/>
      <c r="AI56" s="502">
        <f>IF(F56="",0,IF(K56="j",tabellen!$C$14*BJ56,0))</f>
        <v>0</v>
      </c>
      <c r="AJ56" s="502">
        <f>IF(F56="",0,IF(L56="j",tabellen!$C$15*BJ56,0))</f>
        <v>0</v>
      </c>
      <c r="AK56" s="503">
        <v>0</v>
      </c>
      <c r="AL56" s="484"/>
      <c r="AM56" s="503">
        <v>0</v>
      </c>
      <c r="AN56" s="484"/>
      <c r="AO56" s="499">
        <f t="shared" si="15"/>
        <v>0</v>
      </c>
      <c r="AP56" s="499">
        <f t="shared" si="16"/>
        <v>0</v>
      </c>
      <c r="AQ56" s="484"/>
      <c r="AR56" s="504" t="str">
        <f t="shared" si="30"/>
        <v/>
      </c>
      <c r="AS56" s="504" t="str">
        <f t="shared" si="5"/>
        <v/>
      </c>
      <c r="AT56" s="484"/>
      <c r="AU56" s="453"/>
      <c r="AV56" s="444"/>
      <c r="AW56" s="444"/>
      <c r="AX56" s="505">
        <f t="shared" ca="1" si="17"/>
        <v>120</v>
      </c>
      <c r="AY56" s="505">
        <f t="shared" ca="1" si="18"/>
        <v>1</v>
      </c>
      <c r="AZ56" s="505">
        <f t="shared" ca="1" si="19"/>
        <v>27</v>
      </c>
      <c r="BA56" s="454">
        <f t="shared" si="31"/>
        <v>100</v>
      </c>
      <c r="BB56" s="454">
        <f t="shared" si="32"/>
        <v>0</v>
      </c>
      <c r="BC56" s="480">
        <v>42583</v>
      </c>
      <c r="BD56" s="506">
        <f t="shared" si="25"/>
        <v>0.08</v>
      </c>
      <c r="BE56" s="507">
        <f>tabellen!$D$34</f>
        <v>7.3999999999999996E-2</v>
      </c>
      <c r="BF56" s="505">
        <f t="shared" si="20"/>
        <v>0</v>
      </c>
      <c r="BG56" s="508" t="e">
        <f>IF(V56/H56&lt;tabellen!$E$7,0,(V56-tabellen!$E$7*H56)/12*tabellen!$D$7)</f>
        <v>#DIV/0!</v>
      </c>
      <c r="BH56" s="508" t="e">
        <f>IF(V56/H56&lt;tabellen!$E$8,0,(V56-tabellen!$E$8*H56)/12*tabellen!$D$8)</f>
        <v>#DIV/0!</v>
      </c>
      <c r="BI56" s="509" t="e">
        <f t="shared" si="21"/>
        <v>#DIV/0!</v>
      </c>
      <c r="BJ56" s="510" t="e">
        <f>+W56/12-'[1]wgl tot'!BL56</f>
        <v>#DIV/0!</v>
      </c>
      <c r="BK56" s="510" t="e">
        <f>ROUND(IF('[1]wgl tot'!BM56&gt;[1]tabellen!$H$11,[1]tabellen!$H$11,'[1]wgl tot'!BM56)*[1]tabellen!$C$11,2)</f>
        <v>#DIV/0!</v>
      </c>
      <c r="BL56" s="510" t="e">
        <f>+'[1]wgl tot'!BM56+'[1]wgl tot'!BN56</f>
        <v>#DIV/0!</v>
      </c>
      <c r="BM56" s="511">
        <f t="shared" si="33"/>
        <v>1900</v>
      </c>
      <c r="BN56" s="511">
        <f t="shared" si="34"/>
        <v>1</v>
      </c>
      <c r="BO56" s="505">
        <f t="shared" si="35"/>
        <v>0</v>
      </c>
      <c r="BP56" s="480">
        <f t="shared" si="22"/>
        <v>22462</v>
      </c>
      <c r="BQ56" s="480">
        <f t="shared" ca="1" si="23"/>
        <v>43888.768521180558</v>
      </c>
      <c r="BR56" s="454"/>
      <c r="BS56" s="480"/>
      <c r="BT56" s="454"/>
      <c r="BU56" s="512"/>
      <c r="BV56" s="512"/>
      <c r="BW56" s="512"/>
      <c r="BX56" s="512"/>
      <c r="BY56" s="512"/>
      <c r="BZ56" s="512"/>
      <c r="CA56" s="444"/>
      <c r="CB56" s="444"/>
    </row>
    <row r="57" spans="1:80" s="456" customFormat="1" ht="12" customHeight="1" x14ac:dyDescent="0.2">
      <c r="A57" s="444"/>
      <c r="B57" s="445"/>
      <c r="C57" s="484"/>
      <c r="D57" s="493"/>
      <c r="E57" s="494"/>
      <c r="F57" s="495"/>
      <c r="G57" s="495"/>
      <c r="H57" s="496"/>
      <c r="I57" s="535"/>
      <c r="J57" s="495"/>
      <c r="K57" s="497"/>
      <c r="L57" s="497"/>
      <c r="M57" s="498">
        <f>IF(F57="",0,(VLOOKUP('wgl tot'!F57,saltab2019juni,G57+1,FALSE)))</f>
        <v>0</v>
      </c>
      <c r="N57" s="499">
        <f t="shared" si="0"/>
        <v>0</v>
      </c>
      <c r="O57" s="484"/>
      <c r="P57" s="498">
        <f>ROUND(IF((M57+Q57)*BD57&lt;H57*tabellen!$D$33,H57*tabellen!$D$33,(M57+R57)*BD57),2)</f>
        <v>0</v>
      </c>
      <c r="Q57" s="498">
        <f t="shared" si="26"/>
        <v>0</v>
      </c>
      <c r="R57" s="498">
        <f t="shared" si="27"/>
        <v>0</v>
      </c>
      <c r="S57" s="498">
        <f t="shared" si="28"/>
        <v>0</v>
      </c>
      <c r="T57" s="498">
        <f t="shared" si="36"/>
        <v>0</v>
      </c>
      <c r="U57" s="498">
        <f>ROUND(H57*tabellen!$D$27,2)</f>
        <v>0</v>
      </c>
      <c r="V57" s="500">
        <f t="shared" si="12"/>
        <v>0</v>
      </c>
      <c r="W57" s="499">
        <f t="shared" si="13"/>
        <v>0</v>
      </c>
      <c r="X57" s="484"/>
      <c r="Y57" s="500">
        <f t="shared" si="14"/>
        <v>0</v>
      </c>
      <c r="Z57" s="501">
        <v>0</v>
      </c>
      <c r="AA57" s="484"/>
      <c r="AB57" s="498">
        <f>IF(F57="",0,(IF(V57/H57&lt;tabellen!$E$7,0,(V57-tabellen!$E$7*H57)/12)*tabellen!$C$7))</f>
        <v>0</v>
      </c>
      <c r="AC57" s="498">
        <f>IF(F57="",0,(IF(V57/H57&lt;tabellen!$E$7,0,(V57-tabellen!$E$7*H57)/12)*tabellen!$C$8))</f>
        <v>0</v>
      </c>
      <c r="AD57" s="498">
        <f>V57/12*tabellen!$C$9</f>
        <v>0</v>
      </c>
      <c r="AE57" s="498">
        <f>IF(H57=0,0,IF(BJ57&gt;tabellen!$G$10/12,$G$10/12,BJ57)*(tabellen!$C$10+tabellen!$C$11))</f>
        <v>0</v>
      </c>
      <c r="AF57" s="498">
        <f t="shared" si="29"/>
        <v>0</v>
      </c>
      <c r="AG57" s="502">
        <f>IF(F57="",0,(IF(BJ57&gt;tabellen!$G$13*H57/12,tabellen!$G$13*H57/12,BJ57*tabellen!$C$13)))</f>
        <v>0</v>
      </c>
      <c r="AH57" s="484"/>
      <c r="AI57" s="502">
        <f>IF(F57="",0,IF(K57="j",tabellen!$C$14*BJ57,0))</f>
        <v>0</v>
      </c>
      <c r="AJ57" s="502">
        <f>IF(F57="",0,IF(L57="j",tabellen!$C$15*BJ57,0))</f>
        <v>0</v>
      </c>
      <c r="AK57" s="503">
        <v>0</v>
      </c>
      <c r="AL57" s="484"/>
      <c r="AM57" s="503">
        <v>0</v>
      </c>
      <c r="AN57" s="484"/>
      <c r="AO57" s="499">
        <f t="shared" si="15"/>
        <v>0</v>
      </c>
      <c r="AP57" s="499">
        <f t="shared" si="16"/>
        <v>0</v>
      </c>
      <c r="AQ57" s="484"/>
      <c r="AR57" s="504" t="str">
        <f t="shared" si="30"/>
        <v/>
      </c>
      <c r="AS57" s="504" t="str">
        <f t="shared" si="5"/>
        <v/>
      </c>
      <c r="AT57" s="484"/>
      <c r="AU57" s="453"/>
      <c r="AV57" s="444"/>
      <c r="AW57" s="444"/>
      <c r="AX57" s="505">
        <f t="shared" ca="1" si="17"/>
        <v>120</v>
      </c>
      <c r="AY57" s="505">
        <f t="shared" ca="1" si="18"/>
        <v>1</v>
      </c>
      <c r="AZ57" s="505">
        <f t="shared" ca="1" si="19"/>
        <v>27</v>
      </c>
      <c r="BA57" s="454">
        <f t="shared" si="31"/>
        <v>100</v>
      </c>
      <c r="BB57" s="454">
        <f t="shared" si="32"/>
        <v>0</v>
      </c>
      <c r="BC57" s="480">
        <v>42583</v>
      </c>
      <c r="BD57" s="506">
        <f t="shared" si="25"/>
        <v>0.08</v>
      </c>
      <c r="BE57" s="507">
        <f>tabellen!$D$34</f>
        <v>7.3999999999999996E-2</v>
      </c>
      <c r="BF57" s="505">
        <f t="shared" si="20"/>
        <v>0</v>
      </c>
      <c r="BG57" s="508" t="e">
        <f>IF(V57/H57&lt;tabellen!$E$7,0,(V57-tabellen!$E$7*H57)/12*tabellen!$D$7)</f>
        <v>#DIV/0!</v>
      </c>
      <c r="BH57" s="508" t="e">
        <f>IF(V57/H57&lt;tabellen!$E$8,0,(V57-tabellen!$E$8*H57)/12*tabellen!$D$8)</f>
        <v>#DIV/0!</v>
      </c>
      <c r="BI57" s="509" t="e">
        <f t="shared" si="21"/>
        <v>#DIV/0!</v>
      </c>
      <c r="BJ57" s="510" t="e">
        <f>+W57/12-'[1]wgl tot'!BL57</f>
        <v>#DIV/0!</v>
      </c>
      <c r="BK57" s="510" t="e">
        <f>ROUND(IF('[1]wgl tot'!BM57&gt;[1]tabellen!$H$11,[1]tabellen!$H$11,'[1]wgl tot'!BM57)*[1]tabellen!$C$11,2)</f>
        <v>#DIV/0!</v>
      </c>
      <c r="BL57" s="510" t="e">
        <f>+'[1]wgl tot'!BM57+'[1]wgl tot'!BN57</f>
        <v>#DIV/0!</v>
      </c>
      <c r="BM57" s="511">
        <f t="shared" si="33"/>
        <v>1900</v>
      </c>
      <c r="BN57" s="511">
        <f t="shared" si="34"/>
        <v>1</v>
      </c>
      <c r="BO57" s="505">
        <f t="shared" si="35"/>
        <v>0</v>
      </c>
      <c r="BP57" s="480">
        <f t="shared" si="22"/>
        <v>22462</v>
      </c>
      <c r="BQ57" s="480">
        <f t="shared" ca="1" si="23"/>
        <v>43888.768521180558</v>
      </c>
      <c r="BR57" s="454"/>
      <c r="BS57" s="480"/>
      <c r="BT57" s="454"/>
      <c r="BU57" s="512"/>
      <c r="BV57" s="512"/>
      <c r="BW57" s="512"/>
      <c r="BX57" s="512"/>
      <c r="BY57" s="512"/>
      <c r="BZ57" s="512"/>
      <c r="CA57" s="444"/>
      <c r="CB57" s="444"/>
    </row>
    <row r="58" spans="1:80" s="456" customFormat="1" ht="12" customHeight="1" x14ac:dyDescent="0.2">
      <c r="A58" s="444"/>
      <c r="B58" s="445"/>
      <c r="C58" s="484"/>
      <c r="D58" s="493"/>
      <c r="E58" s="494"/>
      <c r="F58" s="495"/>
      <c r="G58" s="495"/>
      <c r="H58" s="496"/>
      <c r="I58" s="535"/>
      <c r="J58" s="495"/>
      <c r="K58" s="497"/>
      <c r="L58" s="497"/>
      <c r="M58" s="498">
        <f>IF(F58="",0,(VLOOKUP('wgl tot'!F58,saltab2019juni,G58+1,FALSE)))</f>
        <v>0</v>
      </c>
      <c r="N58" s="499">
        <f t="shared" si="0"/>
        <v>0</v>
      </c>
      <c r="O58" s="484"/>
      <c r="P58" s="498">
        <f>ROUND(IF((M58+Q58)*BD58&lt;H58*tabellen!$D$33,H58*tabellen!$D$33,(M58+R58)*BD58),2)</f>
        <v>0</v>
      </c>
      <c r="Q58" s="498">
        <f t="shared" si="26"/>
        <v>0</v>
      </c>
      <c r="R58" s="498">
        <f t="shared" si="27"/>
        <v>0</v>
      </c>
      <c r="S58" s="498">
        <f t="shared" si="28"/>
        <v>0</v>
      </c>
      <c r="T58" s="498">
        <f t="shared" si="36"/>
        <v>0</v>
      </c>
      <c r="U58" s="498">
        <f>ROUND(H58*tabellen!$D$27,2)</f>
        <v>0</v>
      </c>
      <c r="V58" s="500">
        <f t="shared" si="12"/>
        <v>0</v>
      </c>
      <c r="W58" s="499">
        <f t="shared" si="13"/>
        <v>0</v>
      </c>
      <c r="X58" s="484"/>
      <c r="Y58" s="500">
        <f t="shared" si="14"/>
        <v>0</v>
      </c>
      <c r="Z58" s="501">
        <v>0</v>
      </c>
      <c r="AA58" s="484"/>
      <c r="AB58" s="498">
        <f>IF(F58="",0,(IF(V58/H58&lt;tabellen!$E$7,0,(V58-tabellen!$E$7*H58)/12)*tabellen!$C$7))</f>
        <v>0</v>
      </c>
      <c r="AC58" s="498">
        <f>IF(F58="",0,(IF(V58/H58&lt;tabellen!$E$7,0,(V58-tabellen!$E$7*H58)/12)*tabellen!$C$8))</f>
        <v>0</v>
      </c>
      <c r="AD58" s="498">
        <f>V58/12*tabellen!$C$9</f>
        <v>0</v>
      </c>
      <c r="AE58" s="498">
        <f>IF(H58=0,0,IF(BJ58&gt;tabellen!$G$10/12,$G$10/12,BJ58)*(tabellen!$C$10+tabellen!$C$11))</f>
        <v>0</v>
      </c>
      <c r="AF58" s="498">
        <f t="shared" si="29"/>
        <v>0</v>
      </c>
      <c r="AG58" s="502">
        <f>IF(F58="",0,(IF(BJ58&gt;tabellen!$G$13*H58/12,tabellen!$G$13*H58/12,BJ58*tabellen!$C$13)))</f>
        <v>0</v>
      </c>
      <c r="AH58" s="484"/>
      <c r="AI58" s="502">
        <f>IF(F58="",0,IF(K58="j",tabellen!$C$14*BJ58,0))</f>
        <v>0</v>
      </c>
      <c r="AJ58" s="502">
        <f>IF(F58="",0,IF(L58="j",tabellen!$C$15*BJ58,0))</f>
        <v>0</v>
      </c>
      <c r="AK58" s="503">
        <v>0</v>
      </c>
      <c r="AL58" s="484"/>
      <c r="AM58" s="503">
        <v>0</v>
      </c>
      <c r="AN58" s="484"/>
      <c r="AO58" s="499">
        <f t="shared" si="15"/>
        <v>0</v>
      </c>
      <c r="AP58" s="499">
        <f t="shared" si="16"/>
        <v>0</v>
      </c>
      <c r="AQ58" s="484"/>
      <c r="AR58" s="504" t="str">
        <f t="shared" si="30"/>
        <v/>
      </c>
      <c r="AS58" s="504" t="str">
        <f t="shared" si="5"/>
        <v/>
      </c>
      <c r="AT58" s="484"/>
      <c r="AU58" s="453"/>
      <c r="AV58" s="444"/>
      <c r="AW58" s="444"/>
      <c r="AX58" s="505">
        <f t="shared" ca="1" si="17"/>
        <v>120</v>
      </c>
      <c r="AY58" s="505">
        <f t="shared" ca="1" si="18"/>
        <v>1</v>
      </c>
      <c r="AZ58" s="505">
        <f t="shared" ca="1" si="19"/>
        <v>27</v>
      </c>
      <c r="BA58" s="454">
        <f t="shared" si="31"/>
        <v>100</v>
      </c>
      <c r="BB58" s="454">
        <f t="shared" si="32"/>
        <v>0</v>
      </c>
      <c r="BC58" s="480">
        <v>42583</v>
      </c>
      <c r="BD58" s="506">
        <f t="shared" si="25"/>
        <v>0.08</v>
      </c>
      <c r="BE58" s="507">
        <f>tabellen!$D$34</f>
        <v>7.3999999999999996E-2</v>
      </c>
      <c r="BF58" s="505">
        <f t="shared" si="20"/>
        <v>0</v>
      </c>
      <c r="BG58" s="508" t="e">
        <f>IF(V58/H58&lt;tabellen!$E$7,0,(V58-tabellen!$E$7*H58)/12*tabellen!$D$7)</f>
        <v>#DIV/0!</v>
      </c>
      <c r="BH58" s="508" t="e">
        <f>IF(V58/H58&lt;tabellen!$E$8,0,(V58-tabellen!$E$8*H58)/12*tabellen!$D$8)</f>
        <v>#DIV/0!</v>
      </c>
      <c r="BI58" s="509" t="e">
        <f t="shared" si="21"/>
        <v>#DIV/0!</v>
      </c>
      <c r="BJ58" s="510" t="e">
        <f>+W58/12-'[1]wgl tot'!BL58</f>
        <v>#DIV/0!</v>
      </c>
      <c r="BK58" s="510" t="e">
        <f>ROUND(IF('[1]wgl tot'!BM58&gt;[1]tabellen!$H$11,[1]tabellen!$H$11,'[1]wgl tot'!BM58)*[1]tabellen!$C$11,2)</f>
        <v>#DIV/0!</v>
      </c>
      <c r="BL58" s="510" t="e">
        <f>+'[1]wgl tot'!BM58+'[1]wgl tot'!BN58</f>
        <v>#DIV/0!</v>
      </c>
      <c r="BM58" s="511">
        <f t="shared" si="33"/>
        <v>1900</v>
      </c>
      <c r="BN58" s="511">
        <f t="shared" si="34"/>
        <v>1</v>
      </c>
      <c r="BO58" s="505">
        <f t="shared" si="35"/>
        <v>0</v>
      </c>
      <c r="BP58" s="480">
        <f t="shared" si="22"/>
        <v>22462</v>
      </c>
      <c r="BQ58" s="480">
        <f t="shared" ca="1" si="23"/>
        <v>43888.768521180558</v>
      </c>
      <c r="BR58" s="454"/>
      <c r="BS58" s="480"/>
      <c r="BT58" s="454"/>
      <c r="BU58" s="512"/>
      <c r="BV58" s="512"/>
      <c r="BW58" s="512"/>
      <c r="BX58" s="512"/>
      <c r="BY58" s="512"/>
      <c r="BZ58" s="512"/>
      <c r="CA58" s="444"/>
      <c r="CB58" s="444"/>
    </row>
    <row r="59" spans="1:80" s="456" customFormat="1" ht="12" customHeight="1" x14ac:dyDescent="0.2">
      <c r="A59" s="444"/>
      <c r="B59" s="445"/>
      <c r="C59" s="484"/>
      <c r="D59" s="493"/>
      <c r="E59" s="494"/>
      <c r="F59" s="495"/>
      <c r="G59" s="495"/>
      <c r="H59" s="496"/>
      <c r="I59" s="535"/>
      <c r="J59" s="495"/>
      <c r="K59" s="497"/>
      <c r="L59" s="497"/>
      <c r="M59" s="498">
        <f>IF(F59="",0,(VLOOKUP('wgl tot'!F59,saltab2019juni,G59+1,FALSE)))</f>
        <v>0</v>
      </c>
      <c r="N59" s="499">
        <f t="shared" si="0"/>
        <v>0</v>
      </c>
      <c r="O59" s="484"/>
      <c r="P59" s="498">
        <f>ROUND(IF((M59+Q59)*BD59&lt;H59*tabellen!$D$33,H59*tabellen!$D$33,(M59+R59)*BD59),2)</f>
        <v>0</v>
      </c>
      <c r="Q59" s="498">
        <f t="shared" si="26"/>
        <v>0</v>
      </c>
      <c r="R59" s="498">
        <f t="shared" si="27"/>
        <v>0</v>
      </c>
      <c r="S59" s="498">
        <f t="shared" si="28"/>
        <v>0</v>
      </c>
      <c r="T59" s="498">
        <f t="shared" si="36"/>
        <v>0</v>
      </c>
      <c r="U59" s="498">
        <f>ROUND(H59*tabellen!$D$27,2)</f>
        <v>0</v>
      </c>
      <c r="V59" s="500">
        <f t="shared" si="12"/>
        <v>0</v>
      </c>
      <c r="W59" s="499">
        <f t="shared" si="13"/>
        <v>0</v>
      </c>
      <c r="X59" s="484"/>
      <c r="Y59" s="500">
        <f t="shared" si="14"/>
        <v>0</v>
      </c>
      <c r="Z59" s="501">
        <v>0</v>
      </c>
      <c r="AA59" s="484"/>
      <c r="AB59" s="498">
        <f>IF(F59="",0,(IF(V59/H59&lt;tabellen!$E$7,0,(V59-tabellen!$E$7*H59)/12)*tabellen!$C$7))</f>
        <v>0</v>
      </c>
      <c r="AC59" s="498">
        <f>IF(F59="",0,(IF(V59/H59&lt;tabellen!$E$7,0,(V59-tabellen!$E$7*H59)/12)*tabellen!$C$8))</f>
        <v>0</v>
      </c>
      <c r="AD59" s="498">
        <f>V59/12*tabellen!$C$9</f>
        <v>0</v>
      </c>
      <c r="AE59" s="498">
        <f>IF(H59=0,0,IF(BJ59&gt;tabellen!$G$10/12,$G$10/12,BJ59)*(tabellen!$C$10+tabellen!$C$11))</f>
        <v>0</v>
      </c>
      <c r="AF59" s="498">
        <f t="shared" si="29"/>
        <v>0</v>
      </c>
      <c r="AG59" s="502">
        <f>IF(F59="",0,(IF(BJ59&gt;tabellen!$G$13*H59/12,tabellen!$G$13*H59/12,BJ59*tabellen!$C$13)))</f>
        <v>0</v>
      </c>
      <c r="AH59" s="484"/>
      <c r="AI59" s="502">
        <f>IF(F59="",0,IF(K59="j",tabellen!$C$14*BJ59,0))</f>
        <v>0</v>
      </c>
      <c r="AJ59" s="502">
        <f>IF(F59="",0,IF(L59="j",tabellen!$C$15*BJ59,0))</f>
        <v>0</v>
      </c>
      <c r="AK59" s="503">
        <v>0</v>
      </c>
      <c r="AL59" s="484"/>
      <c r="AM59" s="503">
        <v>0</v>
      </c>
      <c r="AN59" s="484"/>
      <c r="AO59" s="499">
        <f t="shared" si="15"/>
        <v>0</v>
      </c>
      <c r="AP59" s="499">
        <f t="shared" si="16"/>
        <v>0</v>
      </c>
      <c r="AQ59" s="484"/>
      <c r="AR59" s="504" t="str">
        <f t="shared" si="30"/>
        <v/>
      </c>
      <c r="AS59" s="504" t="str">
        <f t="shared" si="5"/>
        <v/>
      </c>
      <c r="AT59" s="484"/>
      <c r="AU59" s="453"/>
      <c r="AV59" s="444"/>
      <c r="AW59" s="444"/>
      <c r="AX59" s="505">
        <f t="shared" ca="1" si="17"/>
        <v>120</v>
      </c>
      <c r="AY59" s="505">
        <f t="shared" ca="1" si="18"/>
        <v>1</v>
      </c>
      <c r="AZ59" s="505">
        <f t="shared" ca="1" si="19"/>
        <v>27</v>
      </c>
      <c r="BA59" s="454">
        <f t="shared" si="31"/>
        <v>100</v>
      </c>
      <c r="BB59" s="454">
        <f t="shared" si="32"/>
        <v>0</v>
      </c>
      <c r="BC59" s="480">
        <v>42583</v>
      </c>
      <c r="BD59" s="506">
        <f t="shared" si="25"/>
        <v>0.08</v>
      </c>
      <c r="BE59" s="507">
        <f>tabellen!$D$34</f>
        <v>7.3999999999999996E-2</v>
      </c>
      <c r="BF59" s="505">
        <f t="shared" si="20"/>
        <v>0</v>
      </c>
      <c r="BG59" s="508" t="e">
        <f>IF(V59/H59&lt;tabellen!$E$7,0,(V59-tabellen!$E$7*H59)/12*tabellen!$D$7)</f>
        <v>#DIV/0!</v>
      </c>
      <c r="BH59" s="508" t="e">
        <f>IF(V59/H59&lt;tabellen!$E$8,0,(V59-tabellen!$E$8*H59)/12*tabellen!$D$8)</f>
        <v>#DIV/0!</v>
      </c>
      <c r="BI59" s="509" t="e">
        <f t="shared" si="21"/>
        <v>#DIV/0!</v>
      </c>
      <c r="BJ59" s="510" t="e">
        <f>+W59/12-'[1]wgl tot'!BL59</f>
        <v>#DIV/0!</v>
      </c>
      <c r="BK59" s="510" t="e">
        <f>ROUND(IF('[1]wgl tot'!BM59&gt;[1]tabellen!$H$11,[1]tabellen!$H$11,'[1]wgl tot'!BM59)*[1]tabellen!$C$11,2)</f>
        <v>#DIV/0!</v>
      </c>
      <c r="BL59" s="510" t="e">
        <f>+'[1]wgl tot'!BM59+'[1]wgl tot'!BN59</f>
        <v>#DIV/0!</v>
      </c>
      <c r="BM59" s="511">
        <f t="shared" si="33"/>
        <v>1900</v>
      </c>
      <c r="BN59" s="511">
        <f t="shared" si="34"/>
        <v>1</v>
      </c>
      <c r="BO59" s="505">
        <f t="shared" si="35"/>
        <v>0</v>
      </c>
      <c r="BP59" s="480">
        <f t="shared" si="22"/>
        <v>22462</v>
      </c>
      <c r="BQ59" s="480">
        <f t="shared" ca="1" si="23"/>
        <v>43888.768521180558</v>
      </c>
      <c r="BR59" s="454"/>
      <c r="BS59" s="480"/>
      <c r="BT59" s="454"/>
      <c r="BU59" s="512"/>
      <c r="BV59" s="512"/>
      <c r="BW59" s="512"/>
      <c r="BX59" s="512"/>
      <c r="BY59" s="512"/>
      <c r="BZ59" s="512"/>
      <c r="CA59" s="444"/>
      <c r="CB59" s="444"/>
    </row>
    <row r="60" spans="1:80" s="456" customFormat="1" ht="12" customHeight="1" x14ac:dyDescent="0.2">
      <c r="A60" s="444"/>
      <c r="B60" s="445"/>
      <c r="C60" s="484"/>
      <c r="D60" s="493"/>
      <c r="E60" s="494"/>
      <c r="F60" s="495"/>
      <c r="G60" s="495"/>
      <c r="H60" s="496"/>
      <c r="I60" s="535"/>
      <c r="J60" s="495"/>
      <c r="K60" s="497"/>
      <c r="L60" s="497"/>
      <c r="M60" s="498">
        <f>IF(F60="",0,(VLOOKUP('wgl tot'!F60,saltab2019juni,G60+1,FALSE)))</f>
        <v>0</v>
      </c>
      <c r="N60" s="499">
        <f t="shared" si="0"/>
        <v>0</v>
      </c>
      <c r="O60" s="484"/>
      <c r="P60" s="498">
        <f>ROUND(IF((M60+Q60)*BD60&lt;H60*tabellen!$D$33,H60*tabellen!$D$33,(M60+R60)*BD60),2)</f>
        <v>0</v>
      </c>
      <c r="Q60" s="498">
        <f t="shared" si="26"/>
        <v>0</v>
      </c>
      <c r="R60" s="498">
        <f t="shared" si="27"/>
        <v>0</v>
      </c>
      <c r="S60" s="498">
        <f t="shared" si="28"/>
        <v>0</v>
      </c>
      <c r="T60" s="498">
        <f t="shared" si="36"/>
        <v>0</v>
      </c>
      <c r="U60" s="498">
        <f>ROUND(H60*tabellen!$D$27,2)</f>
        <v>0</v>
      </c>
      <c r="V60" s="500">
        <f t="shared" si="12"/>
        <v>0</v>
      </c>
      <c r="W60" s="499">
        <f t="shared" si="13"/>
        <v>0</v>
      </c>
      <c r="X60" s="484"/>
      <c r="Y60" s="500">
        <f t="shared" si="14"/>
        <v>0</v>
      </c>
      <c r="Z60" s="501">
        <v>0</v>
      </c>
      <c r="AA60" s="484"/>
      <c r="AB60" s="498">
        <f>IF(F60="",0,(IF(V60/H60&lt;tabellen!$E$7,0,(V60-tabellen!$E$7*H60)/12)*tabellen!$C$7))</f>
        <v>0</v>
      </c>
      <c r="AC60" s="498">
        <f>IF(F60="",0,(IF(V60/H60&lt;tabellen!$E$7,0,(V60-tabellen!$E$7*H60)/12)*tabellen!$C$8))</f>
        <v>0</v>
      </c>
      <c r="AD60" s="498">
        <f>V60/12*tabellen!$C$9</f>
        <v>0</v>
      </c>
      <c r="AE60" s="498">
        <f>IF(H60=0,0,IF(BJ60&gt;tabellen!$G$10/12,$G$10/12,BJ60)*(tabellen!$C$10+tabellen!$C$11))</f>
        <v>0</v>
      </c>
      <c r="AF60" s="498">
        <f t="shared" si="29"/>
        <v>0</v>
      </c>
      <c r="AG60" s="502">
        <f>IF(F60="",0,(IF(BJ60&gt;tabellen!$G$13*H60/12,tabellen!$G$13*H60/12,BJ60*tabellen!$C$13)))</f>
        <v>0</v>
      </c>
      <c r="AH60" s="484"/>
      <c r="AI60" s="502">
        <f>IF(F60="",0,IF(K60="j",tabellen!$C$14*BJ60,0))</f>
        <v>0</v>
      </c>
      <c r="AJ60" s="502">
        <f>IF(F60="",0,IF(L60="j",tabellen!$C$15*BJ60,0))</f>
        <v>0</v>
      </c>
      <c r="AK60" s="503">
        <v>0</v>
      </c>
      <c r="AL60" s="484"/>
      <c r="AM60" s="503">
        <v>0</v>
      </c>
      <c r="AN60" s="484"/>
      <c r="AO60" s="499">
        <f t="shared" si="15"/>
        <v>0</v>
      </c>
      <c r="AP60" s="499">
        <f t="shared" si="16"/>
        <v>0</v>
      </c>
      <c r="AQ60" s="484"/>
      <c r="AR60" s="504" t="str">
        <f t="shared" si="30"/>
        <v/>
      </c>
      <c r="AS60" s="504" t="str">
        <f t="shared" si="5"/>
        <v/>
      </c>
      <c r="AT60" s="484"/>
      <c r="AU60" s="453"/>
      <c r="AV60" s="444"/>
      <c r="AW60" s="444"/>
      <c r="AX60" s="505">
        <f t="shared" ca="1" si="17"/>
        <v>120</v>
      </c>
      <c r="AY60" s="505">
        <f t="shared" ca="1" si="18"/>
        <v>1</v>
      </c>
      <c r="AZ60" s="505">
        <f t="shared" ca="1" si="19"/>
        <v>27</v>
      </c>
      <c r="BA60" s="454">
        <f t="shared" si="31"/>
        <v>100</v>
      </c>
      <c r="BB60" s="454">
        <f t="shared" si="32"/>
        <v>0</v>
      </c>
      <c r="BC60" s="480">
        <v>42583</v>
      </c>
      <c r="BD60" s="506">
        <f t="shared" si="25"/>
        <v>0.08</v>
      </c>
      <c r="BE60" s="507">
        <f>tabellen!$D$34</f>
        <v>7.3999999999999996E-2</v>
      </c>
      <c r="BF60" s="505">
        <f t="shared" si="20"/>
        <v>0</v>
      </c>
      <c r="BG60" s="508" t="e">
        <f>IF(V60/H60&lt;tabellen!$E$7,0,(V60-tabellen!$E$7*H60)/12*tabellen!$D$7)</f>
        <v>#DIV/0!</v>
      </c>
      <c r="BH60" s="508" t="e">
        <f>IF(V60/H60&lt;tabellen!$E$8,0,(V60-tabellen!$E$8*H60)/12*tabellen!$D$8)</f>
        <v>#DIV/0!</v>
      </c>
      <c r="BI60" s="509" t="e">
        <f t="shared" si="21"/>
        <v>#DIV/0!</v>
      </c>
      <c r="BJ60" s="510" t="e">
        <f>+W60/12-'[1]wgl tot'!BL60</f>
        <v>#DIV/0!</v>
      </c>
      <c r="BK60" s="510" t="e">
        <f>ROUND(IF('[1]wgl tot'!BM60&gt;[1]tabellen!$H$11,[1]tabellen!$H$11,'[1]wgl tot'!BM60)*[1]tabellen!$C$11,2)</f>
        <v>#DIV/0!</v>
      </c>
      <c r="BL60" s="510" t="e">
        <f>+'[1]wgl tot'!BM60+'[1]wgl tot'!BN60</f>
        <v>#DIV/0!</v>
      </c>
      <c r="BM60" s="511">
        <f t="shared" si="33"/>
        <v>1900</v>
      </c>
      <c r="BN60" s="511">
        <f t="shared" si="34"/>
        <v>1</v>
      </c>
      <c r="BO60" s="505">
        <f t="shared" si="35"/>
        <v>0</v>
      </c>
      <c r="BP60" s="480">
        <f t="shared" si="22"/>
        <v>22462</v>
      </c>
      <c r="BQ60" s="480">
        <f t="shared" ca="1" si="23"/>
        <v>43888.768521180558</v>
      </c>
      <c r="BR60" s="454"/>
      <c r="BS60" s="480"/>
      <c r="BT60" s="454"/>
      <c r="BU60" s="512"/>
      <c r="BV60" s="512"/>
      <c r="BW60" s="512"/>
      <c r="BX60" s="512"/>
      <c r="BY60" s="512"/>
      <c r="BZ60" s="512"/>
      <c r="CA60" s="444"/>
      <c r="CB60" s="444"/>
    </row>
    <row r="61" spans="1:80" s="456" customFormat="1" ht="12" customHeight="1" x14ac:dyDescent="0.2">
      <c r="A61" s="444"/>
      <c r="B61" s="445"/>
      <c r="C61" s="484"/>
      <c r="D61" s="493"/>
      <c r="E61" s="494"/>
      <c r="F61" s="495"/>
      <c r="G61" s="495"/>
      <c r="H61" s="496"/>
      <c r="I61" s="535"/>
      <c r="J61" s="495"/>
      <c r="K61" s="497"/>
      <c r="L61" s="497"/>
      <c r="M61" s="498">
        <f>IF(F61="",0,(VLOOKUP('wgl tot'!F61,saltab2019juni,G61+1,FALSE)))</f>
        <v>0</v>
      </c>
      <c r="N61" s="499">
        <f t="shared" si="0"/>
        <v>0</v>
      </c>
      <c r="O61" s="484"/>
      <c r="P61" s="498">
        <f>ROUND(IF((M61+Q61)*BD61&lt;H61*tabellen!$D$33,H61*tabellen!$D$33,(M61+R61)*BD61),2)</f>
        <v>0</v>
      </c>
      <c r="Q61" s="498">
        <f t="shared" si="26"/>
        <v>0</v>
      </c>
      <c r="R61" s="498">
        <f t="shared" si="27"/>
        <v>0</v>
      </c>
      <c r="S61" s="498">
        <f t="shared" si="28"/>
        <v>0</v>
      </c>
      <c r="T61" s="498">
        <f t="shared" si="36"/>
        <v>0</v>
      </c>
      <c r="U61" s="498">
        <f>ROUND(H61*tabellen!$D$27,2)</f>
        <v>0</v>
      </c>
      <c r="V61" s="500">
        <f t="shared" si="12"/>
        <v>0</v>
      </c>
      <c r="W61" s="499">
        <f t="shared" si="13"/>
        <v>0</v>
      </c>
      <c r="X61" s="484"/>
      <c r="Y61" s="500">
        <f t="shared" si="14"/>
        <v>0</v>
      </c>
      <c r="Z61" s="501">
        <v>0</v>
      </c>
      <c r="AA61" s="484"/>
      <c r="AB61" s="498">
        <f>IF(F61="",0,(IF(V61/H61&lt;tabellen!$E$7,0,(V61-tabellen!$E$7*H61)/12)*tabellen!$C$7))</f>
        <v>0</v>
      </c>
      <c r="AC61" s="498">
        <f>IF(F61="",0,(IF(V61/H61&lt;tabellen!$E$7,0,(V61-tabellen!$E$7*H61)/12)*tabellen!$C$8))</f>
        <v>0</v>
      </c>
      <c r="AD61" s="498">
        <f>V61/12*tabellen!$C$9</f>
        <v>0</v>
      </c>
      <c r="AE61" s="498">
        <f>IF(H61=0,0,IF(BJ61&gt;tabellen!$G$10/12,$G$10/12,BJ61)*(tabellen!$C$10+tabellen!$C$11))</f>
        <v>0</v>
      </c>
      <c r="AF61" s="498">
        <f t="shared" si="29"/>
        <v>0</v>
      </c>
      <c r="AG61" s="502">
        <f>IF(F61="",0,(IF(BJ61&gt;tabellen!$G$13*H61/12,tabellen!$G$13*H61/12,BJ61*tabellen!$C$13)))</f>
        <v>0</v>
      </c>
      <c r="AH61" s="484"/>
      <c r="AI61" s="502">
        <f>IF(F61="",0,IF(K61="j",tabellen!$C$14*BJ61,0))</f>
        <v>0</v>
      </c>
      <c r="AJ61" s="502">
        <f>IF(F61="",0,IF(L61="j",tabellen!$C$15*BJ61,0))</f>
        <v>0</v>
      </c>
      <c r="AK61" s="503">
        <v>0</v>
      </c>
      <c r="AL61" s="484"/>
      <c r="AM61" s="503">
        <v>0</v>
      </c>
      <c r="AN61" s="484"/>
      <c r="AO61" s="499">
        <f t="shared" si="15"/>
        <v>0</v>
      </c>
      <c r="AP61" s="499">
        <f t="shared" si="16"/>
        <v>0</v>
      </c>
      <c r="AQ61" s="484"/>
      <c r="AR61" s="504" t="str">
        <f t="shared" si="30"/>
        <v/>
      </c>
      <c r="AS61" s="504" t="str">
        <f t="shared" si="5"/>
        <v/>
      </c>
      <c r="AT61" s="484"/>
      <c r="AU61" s="453"/>
      <c r="AV61" s="444"/>
      <c r="AW61" s="444"/>
      <c r="AX61" s="505">
        <f t="shared" ca="1" si="17"/>
        <v>120</v>
      </c>
      <c r="AY61" s="505">
        <f t="shared" ca="1" si="18"/>
        <v>1</v>
      </c>
      <c r="AZ61" s="505">
        <f t="shared" ca="1" si="19"/>
        <v>27</v>
      </c>
      <c r="BA61" s="454">
        <f t="shared" si="31"/>
        <v>100</v>
      </c>
      <c r="BB61" s="454">
        <f t="shared" si="32"/>
        <v>0</v>
      </c>
      <c r="BC61" s="480">
        <v>42583</v>
      </c>
      <c r="BD61" s="506">
        <f t="shared" si="25"/>
        <v>0.08</v>
      </c>
      <c r="BE61" s="507">
        <f>tabellen!$D$34</f>
        <v>7.3999999999999996E-2</v>
      </c>
      <c r="BF61" s="505">
        <f t="shared" si="20"/>
        <v>0</v>
      </c>
      <c r="BG61" s="508" t="e">
        <f>IF(V61/H61&lt;tabellen!$E$7,0,(V61-tabellen!$E$7*H61)/12*tabellen!$D$7)</f>
        <v>#DIV/0!</v>
      </c>
      <c r="BH61" s="508" t="e">
        <f>IF(V61/H61&lt;tabellen!$E$8,0,(V61-tabellen!$E$8*H61)/12*tabellen!$D$8)</f>
        <v>#DIV/0!</v>
      </c>
      <c r="BI61" s="509" t="e">
        <f t="shared" si="21"/>
        <v>#DIV/0!</v>
      </c>
      <c r="BJ61" s="510" t="e">
        <f>+W61/12-'[1]wgl tot'!BL61</f>
        <v>#DIV/0!</v>
      </c>
      <c r="BK61" s="510" t="e">
        <f>ROUND(IF('[1]wgl tot'!BM61&gt;[1]tabellen!$H$11,[1]tabellen!$H$11,'[1]wgl tot'!BM61)*[1]tabellen!$C$11,2)</f>
        <v>#DIV/0!</v>
      </c>
      <c r="BL61" s="510" t="e">
        <f>+'[1]wgl tot'!BM61+'[1]wgl tot'!BN61</f>
        <v>#DIV/0!</v>
      </c>
      <c r="BM61" s="511">
        <f t="shared" si="33"/>
        <v>1900</v>
      </c>
      <c r="BN61" s="511">
        <f t="shared" si="34"/>
        <v>1</v>
      </c>
      <c r="BO61" s="505">
        <f t="shared" si="35"/>
        <v>0</v>
      </c>
      <c r="BP61" s="480">
        <f t="shared" si="22"/>
        <v>22462</v>
      </c>
      <c r="BQ61" s="480">
        <f t="shared" ca="1" si="23"/>
        <v>43888.768521180558</v>
      </c>
      <c r="BR61" s="454"/>
      <c r="BS61" s="480"/>
      <c r="BT61" s="454"/>
      <c r="BU61" s="512"/>
      <c r="BV61" s="512"/>
      <c r="BW61" s="512"/>
      <c r="BX61" s="512"/>
      <c r="BY61" s="512"/>
      <c r="BZ61" s="512"/>
      <c r="CA61" s="444"/>
      <c r="CB61" s="444"/>
    </row>
    <row r="62" spans="1:80" s="456" customFormat="1" ht="12" customHeight="1" x14ac:dyDescent="0.2">
      <c r="A62" s="444"/>
      <c r="B62" s="445"/>
      <c r="C62" s="484"/>
      <c r="D62" s="493"/>
      <c r="E62" s="494"/>
      <c r="F62" s="495"/>
      <c r="G62" s="495"/>
      <c r="H62" s="496"/>
      <c r="I62" s="535"/>
      <c r="J62" s="495"/>
      <c r="K62" s="497"/>
      <c r="L62" s="497"/>
      <c r="M62" s="498">
        <f>IF(F62="",0,(VLOOKUP('wgl tot'!F62,saltab2019juni,G62+1,FALSE)))</f>
        <v>0</v>
      </c>
      <c r="N62" s="499">
        <f t="shared" si="0"/>
        <v>0</v>
      </c>
      <c r="O62" s="484"/>
      <c r="P62" s="498">
        <f>ROUND(IF((M62+Q62)*BD62&lt;H62*tabellen!$D$33,H62*tabellen!$D$33,(M62+R62)*BD62),2)</f>
        <v>0</v>
      </c>
      <c r="Q62" s="498">
        <f t="shared" si="26"/>
        <v>0</v>
      </c>
      <c r="R62" s="498">
        <f t="shared" si="27"/>
        <v>0</v>
      </c>
      <c r="S62" s="498">
        <f t="shared" si="28"/>
        <v>0</v>
      </c>
      <c r="T62" s="498">
        <f t="shared" si="36"/>
        <v>0</v>
      </c>
      <c r="U62" s="498">
        <f>ROUND(H62*tabellen!$D$27,2)</f>
        <v>0</v>
      </c>
      <c r="V62" s="500">
        <f t="shared" si="12"/>
        <v>0</v>
      </c>
      <c r="W62" s="499">
        <f t="shared" si="13"/>
        <v>0</v>
      </c>
      <c r="X62" s="484"/>
      <c r="Y62" s="500">
        <f t="shared" si="14"/>
        <v>0</v>
      </c>
      <c r="Z62" s="501">
        <v>0</v>
      </c>
      <c r="AA62" s="484"/>
      <c r="AB62" s="498">
        <f>IF(F62="",0,(IF(V62/H62&lt;tabellen!$E$7,0,(V62-tabellen!$E$7*H62)/12)*tabellen!$C$7))</f>
        <v>0</v>
      </c>
      <c r="AC62" s="498">
        <f>IF(F62="",0,(IF(V62/H62&lt;tabellen!$E$7,0,(V62-tabellen!$E$7*H62)/12)*tabellen!$C$8))</f>
        <v>0</v>
      </c>
      <c r="AD62" s="498">
        <f>V62/12*tabellen!$C$9</f>
        <v>0</v>
      </c>
      <c r="AE62" s="498">
        <f>IF(H62=0,0,IF(BJ62&gt;tabellen!$G$10/12,$G$10/12,BJ62)*(tabellen!$C$10+tabellen!$C$11))</f>
        <v>0</v>
      </c>
      <c r="AF62" s="498">
        <f t="shared" si="29"/>
        <v>0</v>
      </c>
      <c r="AG62" s="502">
        <f>IF(F62="",0,(IF(BJ62&gt;tabellen!$G$13*H62/12,tabellen!$G$13*H62/12,BJ62*tabellen!$C$13)))</f>
        <v>0</v>
      </c>
      <c r="AH62" s="484"/>
      <c r="AI62" s="502">
        <f>IF(F62="",0,IF(K62="j",tabellen!$C$14*BJ62,0))</f>
        <v>0</v>
      </c>
      <c r="AJ62" s="502">
        <f>IF(F62="",0,IF(L62="j",tabellen!$C$15*BJ62,0))</f>
        <v>0</v>
      </c>
      <c r="AK62" s="503">
        <v>0</v>
      </c>
      <c r="AL62" s="484"/>
      <c r="AM62" s="503">
        <v>0</v>
      </c>
      <c r="AN62" s="484"/>
      <c r="AO62" s="499">
        <f t="shared" si="15"/>
        <v>0</v>
      </c>
      <c r="AP62" s="499">
        <f t="shared" si="16"/>
        <v>0</v>
      </c>
      <c r="AQ62" s="484"/>
      <c r="AR62" s="504" t="str">
        <f t="shared" si="30"/>
        <v/>
      </c>
      <c r="AS62" s="504" t="str">
        <f t="shared" si="5"/>
        <v/>
      </c>
      <c r="AT62" s="484"/>
      <c r="AU62" s="453"/>
      <c r="AV62" s="444"/>
      <c r="AW62" s="444"/>
      <c r="AX62" s="505">
        <f t="shared" ca="1" si="17"/>
        <v>120</v>
      </c>
      <c r="AY62" s="505">
        <f t="shared" ca="1" si="18"/>
        <v>1</v>
      </c>
      <c r="AZ62" s="505">
        <f t="shared" ca="1" si="19"/>
        <v>27</v>
      </c>
      <c r="BA62" s="454">
        <f t="shared" si="31"/>
        <v>100</v>
      </c>
      <c r="BB62" s="454">
        <f t="shared" si="32"/>
        <v>0</v>
      </c>
      <c r="BC62" s="480">
        <v>42583</v>
      </c>
      <c r="BD62" s="506">
        <f t="shared" si="25"/>
        <v>0.08</v>
      </c>
      <c r="BE62" s="507">
        <f>tabellen!$D$34</f>
        <v>7.3999999999999996E-2</v>
      </c>
      <c r="BF62" s="505">
        <f t="shared" si="20"/>
        <v>0</v>
      </c>
      <c r="BG62" s="508" t="e">
        <f>IF(V62/H62&lt;tabellen!$E$7,0,(V62-tabellen!$E$7*H62)/12*tabellen!$D$7)</f>
        <v>#DIV/0!</v>
      </c>
      <c r="BH62" s="508" t="e">
        <f>IF(V62/H62&lt;tabellen!$E$8,0,(V62-tabellen!$E$8*H62)/12*tabellen!$D$8)</f>
        <v>#DIV/0!</v>
      </c>
      <c r="BI62" s="509" t="e">
        <f t="shared" si="21"/>
        <v>#DIV/0!</v>
      </c>
      <c r="BJ62" s="510" t="e">
        <f>+W62/12-'[1]wgl tot'!BL62</f>
        <v>#DIV/0!</v>
      </c>
      <c r="BK62" s="510" t="e">
        <f>ROUND(IF('[1]wgl tot'!BM62&gt;[1]tabellen!$H$11,[1]tabellen!$H$11,'[1]wgl tot'!BM62)*[1]tabellen!$C$11,2)</f>
        <v>#DIV/0!</v>
      </c>
      <c r="BL62" s="510" t="e">
        <f>+'[1]wgl tot'!BM62+'[1]wgl tot'!BN62</f>
        <v>#DIV/0!</v>
      </c>
      <c r="BM62" s="511">
        <f t="shared" si="33"/>
        <v>1900</v>
      </c>
      <c r="BN62" s="511">
        <f t="shared" si="34"/>
        <v>1</v>
      </c>
      <c r="BO62" s="505">
        <f t="shared" si="35"/>
        <v>0</v>
      </c>
      <c r="BP62" s="480">
        <f t="shared" si="22"/>
        <v>22462</v>
      </c>
      <c r="BQ62" s="480">
        <f t="shared" ca="1" si="23"/>
        <v>43888.768521180558</v>
      </c>
      <c r="BR62" s="454"/>
      <c r="BS62" s="480"/>
      <c r="BT62" s="454"/>
      <c r="BU62" s="512"/>
      <c r="BV62" s="512"/>
      <c r="BW62" s="512"/>
      <c r="BX62" s="512"/>
      <c r="BY62" s="512"/>
      <c r="BZ62" s="512"/>
      <c r="CA62" s="444"/>
      <c r="CB62" s="444"/>
    </row>
    <row r="63" spans="1:80" s="456" customFormat="1" ht="12" customHeight="1" x14ac:dyDescent="0.2">
      <c r="A63" s="444"/>
      <c r="B63" s="445"/>
      <c r="C63" s="484"/>
      <c r="D63" s="493"/>
      <c r="E63" s="494"/>
      <c r="F63" s="495"/>
      <c r="G63" s="495"/>
      <c r="H63" s="496"/>
      <c r="I63" s="535"/>
      <c r="J63" s="495"/>
      <c r="K63" s="497"/>
      <c r="L63" s="497"/>
      <c r="M63" s="498">
        <f>IF(F63="",0,(VLOOKUP('wgl tot'!F63,saltab2019juni,G63+1,FALSE)))</f>
        <v>0</v>
      </c>
      <c r="N63" s="499">
        <f t="shared" si="0"/>
        <v>0</v>
      </c>
      <c r="O63" s="484"/>
      <c r="P63" s="498">
        <f>ROUND(IF((M63+Q63)*BD63&lt;H63*tabellen!$D$33,H63*tabellen!$D$33,(M63+R63)*BD63),2)</f>
        <v>0</v>
      </c>
      <c r="Q63" s="498">
        <f t="shared" si="26"/>
        <v>0</v>
      </c>
      <c r="R63" s="498">
        <f t="shared" si="27"/>
        <v>0</v>
      </c>
      <c r="S63" s="498">
        <f t="shared" si="28"/>
        <v>0</v>
      </c>
      <c r="T63" s="498">
        <f t="shared" si="36"/>
        <v>0</v>
      </c>
      <c r="U63" s="498">
        <f>ROUND(H63*tabellen!$D$27,2)</f>
        <v>0</v>
      </c>
      <c r="V63" s="500">
        <f t="shared" si="12"/>
        <v>0</v>
      </c>
      <c r="W63" s="499">
        <f t="shared" si="13"/>
        <v>0</v>
      </c>
      <c r="X63" s="484"/>
      <c r="Y63" s="500">
        <f t="shared" si="14"/>
        <v>0</v>
      </c>
      <c r="Z63" s="501">
        <v>0</v>
      </c>
      <c r="AA63" s="484"/>
      <c r="AB63" s="498">
        <f>IF(F63="",0,(IF(V63/H63&lt;tabellen!$E$7,0,(V63-tabellen!$E$7*H63)/12)*tabellen!$C$7))</f>
        <v>0</v>
      </c>
      <c r="AC63" s="498">
        <f>IF(F63="",0,(IF(V63/H63&lt;tabellen!$E$7,0,(V63-tabellen!$E$7*H63)/12)*tabellen!$C$8))</f>
        <v>0</v>
      </c>
      <c r="AD63" s="498">
        <f>V63/12*tabellen!$C$9</f>
        <v>0</v>
      </c>
      <c r="AE63" s="498">
        <f>IF(H63=0,0,IF(BJ63&gt;tabellen!$G$10/12,$G$10/12,BJ63)*(tabellen!$C$10+tabellen!$C$11))</f>
        <v>0</v>
      </c>
      <c r="AF63" s="498">
        <f t="shared" si="29"/>
        <v>0</v>
      </c>
      <c r="AG63" s="502">
        <f>IF(F63="",0,(IF(BJ63&gt;tabellen!$G$13*H63/12,tabellen!$G$13*H63/12,BJ63*tabellen!$C$13)))</f>
        <v>0</v>
      </c>
      <c r="AH63" s="484"/>
      <c r="AI63" s="502">
        <f>IF(F63="",0,IF(K63="j",tabellen!$C$14*BJ63,0))</f>
        <v>0</v>
      </c>
      <c r="AJ63" s="502">
        <f>IF(F63="",0,IF(L63="j",tabellen!$C$15*BJ63,0))</f>
        <v>0</v>
      </c>
      <c r="AK63" s="503">
        <v>0</v>
      </c>
      <c r="AL63" s="484"/>
      <c r="AM63" s="503">
        <v>0</v>
      </c>
      <c r="AN63" s="484"/>
      <c r="AO63" s="499">
        <f t="shared" si="15"/>
        <v>0</v>
      </c>
      <c r="AP63" s="499">
        <f t="shared" si="16"/>
        <v>0</v>
      </c>
      <c r="AQ63" s="484"/>
      <c r="AR63" s="504" t="str">
        <f t="shared" si="30"/>
        <v/>
      </c>
      <c r="AS63" s="504" t="str">
        <f t="shared" si="5"/>
        <v/>
      </c>
      <c r="AT63" s="484"/>
      <c r="AU63" s="453"/>
      <c r="AV63" s="444"/>
      <c r="AW63" s="444"/>
      <c r="AX63" s="505">
        <f t="shared" ca="1" si="17"/>
        <v>120</v>
      </c>
      <c r="AY63" s="505">
        <f t="shared" ca="1" si="18"/>
        <v>1</v>
      </c>
      <c r="AZ63" s="505">
        <f t="shared" ca="1" si="19"/>
        <v>27</v>
      </c>
      <c r="BA63" s="454">
        <f t="shared" si="31"/>
        <v>100</v>
      </c>
      <c r="BB63" s="454">
        <f t="shared" si="32"/>
        <v>0</v>
      </c>
      <c r="BC63" s="480">
        <v>42583</v>
      </c>
      <c r="BD63" s="506">
        <f t="shared" si="25"/>
        <v>0.08</v>
      </c>
      <c r="BE63" s="507">
        <f>tabellen!$D$34</f>
        <v>7.3999999999999996E-2</v>
      </c>
      <c r="BF63" s="505">
        <f t="shared" si="20"/>
        <v>0</v>
      </c>
      <c r="BG63" s="508" t="e">
        <f>IF(V63/H63&lt;tabellen!$E$7,0,(V63-tabellen!$E$7*H63)/12*tabellen!$D$7)</f>
        <v>#DIV/0!</v>
      </c>
      <c r="BH63" s="508" t="e">
        <f>IF(V63/H63&lt;tabellen!$E$8,0,(V63-tabellen!$E$8*H63)/12*tabellen!$D$8)</f>
        <v>#DIV/0!</v>
      </c>
      <c r="BI63" s="509" t="e">
        <f t="shared" si="21"/>
        <v>#DIV/0!</v>
      </c>
      <c r="BJ63" s="510" t="e">
        <f>+W63/12-'[1]wgl tot'!BL63</f>
        <v>#DIV/0!</v>
      </c>
      <c r="BK63" s="510" t="e">
        <f>ROUND(IF('[1]wgl tot'!BM63&gt;[1]tabellen!$H$11,[1]tabellen!$H$11,'[1]wgl tot'!BM63)*[1]tabellen!$C$11,2)</f>
        <v>#DIV/0!</v>
      </c>
      <c r="BL63" s="510" t="e">
        <f>+'[1]wgl tot'!BM63+'[1]wgl tot'!BN63</f>
        <v>#DIV/0!</v>
      </c>
      <c r="BM63" s="511">
        <f t="shared" si="33"/>
        <v>1900</v>
      </c>
      <c r="BN63" s="511">
        <f t="shared" si="34"/>
        <v>1</v>
      </c>
      <c r="BO63" s="505">
        <f t="shared" si="35"/>
        <v>0</v>
      </c>
      <c r="BP63" s="480">
        <f t="shared" si="22"/>
        <v>22462</v>
      </c>
      <c r="BQ63" s="480">
        <f t="shared" ca="1" si="23"/>
        <v>43888.768521180558</v>
      </c>
      <c r="BR63" s="454"/>
      <c r="BS63" s="480"/>
      <c r="BT63" s="454"/>
      <c r="BU63" s="512"/>
      <c r="BV63" s="512"/>
      <c r="BW63" s="512"/>
      <c r="BX63" s="512"/>
      <c r="BY63" s="512"/>
      <c r="BZ63" s="512"/>
      <c r="CA63" s="444"/>
      <c r="CB63" s="444"/>
    </row>
    <row r="64" spans="1:80" s="456" customFormat="1" ht="12" customHeight="1" x14ac:dyDescent="0.2">
      <c r="A64" s="444"/>
      <c r="B64" s="445"/>
      <c r="C64" s="484"/>
      <c r="D64" s="493"/>
      <c r="E64" s="494"/>
      <c r="F64" s="495"/>
      <c r="G64" s="495"/>
      <c r="H64" s="496"/>
      <c r="I64" s="535"/>
      <c r="J64" s="495"/>
      <c r="K64" s="497"/>
      <c r="L64" s="497"/>
      <c r="M64" s="498">
        <f>IF(F64="",0,(VLOOKUP('wgl tot'!F64,saltab2019juni,G64+1,FALSE)))</f>
        <v>0</v>
      </c>
      <c r="N64" s="499">
        <f t="shared" si="0"/>
        <v>0</v>
      </c>
      <c r="O64" s="484"/>
      <c r="P64" s="498">
        <f>ROUND(IF((M64+Q64)*BD64&lt;H64*tabellen!$D$33,H64*tabellen!$D$33,(M64+R64)*BD64),2)</f>
        <v>0</v>
      </c>
      <c r="Q64" s="498">
        <f t="shared" si="26"/>
        <v>0</v>
      </c>
      <c r="R64" s="498">
        <f t="shared" si="27"/>
        <v>0</v>
      </c>
      <c r="S64" s="498">
        <f t="shared" si="28"/>
        <v>0</v>
      </c>
      <c r="T64" s="498">
        <f t="shared" si="36"/>
        <v>0</v>
      </c>
      <c r="U64" s="498">
        <f>ROUND(H64*tabellen!$D$27,2)</f>
        <v>0</v>
      </c>
      <c r="V64" s="500">
        <f t="shared" si="12"/>
        <v>0</v>
      </c>
      <c r="W64" s="499">
        <f t="shared" si="13"/>
        <v>0</v>
      </c>
      <c r="X64" s="484"/>
      <c r="Y64" s="500">
        <f t="shared" si="14"/>
        <v>0</v>
      </c>
      <c r="Z64" s="501">
        <v>0</v>
      </c>
      <c r="AA64" s="484"/>
      <c r="AB64" s="498">
        <f>IF(F64="",0,(IF(V64/H64&lt;tabellen!$E$7,0,(V64-tabellen!$E$7*H64)/12)*tabellen!$C$7))</f>
        <v>0</v>
      </c>
      <c r="AC64" s="498">
        <f>IF(F64="",0,(IF(V64/H64&lt;tabellen!$E$7,0,(V64-tabellen!$E$7*H64)/12)*tabellen!$C$8))</f>
        <v>0</v>
      </c>
      <c r="AD64" s="498">
        <f>V64/12*tabellen!$C$9</f>
        <v>0</v>
      </c>
      <c r="AE64" s="498">
        <f>IF(H64=0,0,IF(BJ64&gt;tabellen!$G$10/12,$G$10/12,BJ64)*(tabellen!$C$10+tabellen!$C$11))</f>
        <v>0</v>
      </c>
      <c r="AF64" s="498">
        <f t="shared" si="29"/>
        <v>0</v>
      </c>
      <c r="AG64" s="502">
        <f>IF(F64="",0,(IF(BJ64&gt;tabellen!$G$13*H64/12,tabellen!$G$13*H64/12,BJ64*tabellen!$C$13)))</f>
        <v>0</v>
      </c>
      <c r="AH64" s="484"/>
      <c r="AI64" s="502">
        <f>IF(F64="",0,IF(K64="j",tabellen!$C$14*BJ64,0))</f>
        <v>0</v>
      </c>
      <c r="AJ64" s="502">
        <f>IF(F64="",0,IF(L64="j",tabellen!$C$15*BJ64,0))</f>
        <v>0</v>
      </c>
      <c r="AK64" s="503">
        <v>0</v>
      </c>
      <c r="AL64" s="484"/>
      <c r="AM64" s="503">
        <v>0</v>
      </c>
      <c r="AN64" s="484"/>
      <c r="AO64" s="499">
        <f t="shared" si="15"/>
        <v>0</v>
      </c>
      <c r="AP64" s="499">
        <f t="shared" si="16"/>
        <v>0</v>
      </c>
      <c r="AQ64" s="484"/>
      <c r="AR64" s="504" t="str">
        <f t="shared" si="30"/>
        <v/>
      </c>
      <c r="AS64" s="504" t="str">
        <f t="shared" si="5"/>
        <v/>
      </c>
      <c r="AT64" s="484"/>
      <c r="AU64" s="453"/>
      <c r="AV64" s="444"/>
      <c r="AW64" s="444"/>
      <c r="AX64" s="505">
        <f t="shared" ca="1" si="17"/>
        <v>120</v>
      </c>
      <c r="AY64" s="505">
        <f t="shared" ca="1" si="18"/>
        <v>1</v>
      </c>
      <c r="AZ64" s="505">
        <f t="shared" ca="1" si="19"/>
        <v>27</v>
      </c>
      <c r="BA64" s="454">
        <f t="shared" si="31"/>
        <v>100</v>
      </c>
      <c r="BB64" s="454">
        <f t="shared" si="32"/>
        <v>0</v>
      </c>
      <c r="BC64" s="480">
        <v>42583</v>
      </c>
      <c r="BD64" s="506">
        <f t="shared" si="25"/>
        <v>0.08</v>
      </c>
      <c r="BE64" s="507">
        <f>tabellen!$D$34</f>
        <v>7.3999999999999996E-2</v>
      </c>
      <c r="BF64" s="505">
        <f t="shared" si="20"/>
        <v>0</v>
      </c>
      <c r="BG64" s="508" t="e">
        <f>IF(V64/H64&lt;tabellen!$E$7,0,(V64-tabellen!$E$7*H64)/12*tabellen!$D$7)</f>
        <v>#DIV/0!</v>
      </c>
      <c r="BH64" s="508" t="e">
        <f>IF(V64/H64&lt;tabellen!$E$8,0,(V64-tabellen!$E$8*H64)/12*tabellen!$D$8)</f>
        <v>#DIV/0!</v>
      </c>
      <c r="BI64" s="509" t="e">
        <f t="shared" si="21"/>
        <v>#DIV/0!</v>
      </c>
      <c r="BJ64" s="510" t="e">
        <f>+W64/12-'[1]wgl tot'!BL64</f>
        <v>#DIV/0!</v>
      </c>
      <c r="BK64" s="510" t="e">
        <f>ROUND(IF('[1]wgl tot'!BM64&gt;[1]tabellen!$H$11,[1]tabellen!$H$11,'[1]wgl tot'!BM64)*[1]tabellen!$C$11,2)</f>
        <v>#DIV/0!</v>
      </c>
      <c r="BL64" s="510" t="e">
        <f>+'[1]wgl tot'!BM64+'[1]wgl tot'!BN64</f>
        <v>#DIV/0!</v>
      </c>
      <c r="BM64" s="511">
        <f t="shared" si="33"/>
        <v>1900</v>
      </c>
      <c r="BN64" s="511">
        <f t="shared" si="34"/>
        <v>1</v>
      </c>
      <c r="BO64" s="505">
        <f t="shared" si="35"/>
        <v>0</v>
      </c>
      <c r="BP64" s="480">
        <f t="shared" si="22"/>
        <v>22462</v>
      </c>
      <c r="BQ64" s="480">
        <f t="shared" ca="1" si="23"/>
        <v>43888.768521180558</v>
      </c>
      <c r="BR64" s="454"/>
      <c r="BS64" s="480"/>
      <c r="BT64" s="454"/>
      <c r="BU64" s="512"/>
      <c r="BV64" s="512"/>
      <c r="BW64" s="512"/>
      <c r="BX64" s="512"/>
      <c r="BY64" s="512"/>
      <c r="BZ64" s="512"/>
      <c r="CA64" s="444"/>
      <c r="CB64" s="444"/>
    </row>
    <row r="65" spans="1:80" s="456" customFormat="1" ht="12" customHeight="1" x14ac:dyDescent="0.2">
      <c r="A65" s="444"/>
      <c r="B65" s="445"/>
      <c r="C65" s="484"/>
      <c r="D65" s="493"/>
      <c r="E65" s="494"/>
      <c r="F65" s="495"/>
      <c r="G65" s="495"/>
      <c r="H65" s="496"/>
      <c r="I65" s="535"/>
      <c r="J65" s="495"/>
      <c r="K65" s="497"/>
      <c r="L65" s="497"/>
      <c r="M65" s="498">
        <f>IF(F65="",0,(VLOOKUP('wgl tot'!F65,saltab2019juni,G65+1,FALSE)))</f>
        <v>0</v>
      </c>
      <c r="N65" s="499">
        <f t="shared" si="0"/>
        <v>0</v>
      </c>
      <c r="O65" s="484"/>
      <c r="P65" s="498">
        <f>ROUND(IF((M65+Q65)*BD65&lt;H65*tabellen!$D$33,H65*tabellen!$D$33,(M65+R65)*BD65),2)</f>
        <v>0</v>
      </c>
      <c r="Q65" s="498">
        <f t="shared" si="26"/>
        <v>0</v>
      </c>
      <c r="R65" s="498">
        <f t="shared" si="27"/>
        <v>0</v>
      </c>
      <c r="S65" s="498">
        <f t="shared" si="28"/>
        <v>0</v>
      </c>
      <c r="T65" s="498">
        <f t="shared" si="36"/>
        <v>0</v>
      </c>
      <c r="U65" s="498">
        <f>ROUND(H65*tabellen!$D$27,2)</f>
        <v>0</v>
      </c>
      <c r="V65" s="500">
        <f t="shared" si="12"/>
        <v>0</v>
      </c>
      <c r="W65" s="499">
        <f t="shared" si="13"/>
        <v>0</v>
      </c>
      <c r="X65" s="484"/>
      <c r="Y65" s="500">
        <f t="shared" si="14"/>
        <v>0</v>
      </c>
      <c r="Z65" s="501">
        <v>0</v>
      </c>
      <c r="AA65" s="484"/>
      <c r="AB65" s="498">
        <f>IF(F65="",0,(IF(V65/H65&lt;tabellen!$E$7,0,(V65-tabellen!$E$7*H65)/12)*tabellen!$C$7))</f>
        <v>0</v>
      </c>
      <c r="AC65" s="498">
        <f>IF(F65="",0,(IF(V65/H65&lt;tabellen!$E$7,0,(V65-tabellen!$E$7*H65)/12)*tabellen!$C$8))</f>
        <v>0</v>
      </c>
      <c r="AD65" s="498">
        <f>V65/12*tabellen!$C$9</f>
        <v>0</v>
      </c>
      <c r="AE65" s="498">
        <f>IF(H65=0,0,IF(BJ65&gt;tabellen!$G$10/12,$G$10/12,BJ65)*(tabellen!$C$10+tabellen!$C$11))</f>
        <v>0</v>
      </c>
      <c r="AF65" s="498">
        <f t="shared" si="29"/>
        <v>0</v>
      </c>
      <c r="AG65" s="502">
        <f>IF(F65="",0,(IF(BJ65&gt;tabellen!$G$13*H65/12,tabellen!$G$13*H65/12,BJ65*tabellen!$C$13)))</f>
        <v>0</v>
      </c>
      <c r="AH65" s="484"/>
      <c r="AI65" s="502">
        <f>IF(F65="",0,IF(K65="j",tabellen!$C$14*BJ65,0))</f>
        <v>0</v>
      </c>
      <c r="AJ65" s="502">
        <f>IF(F65="",0,IF(L65="j",tabellen!$C$15*BJ65,0))</f>
        <v>0</v>
      </c>
      <c r="AK65" s="503">
        <v>0</v>
      </c>
      <c r="AL65" s="484"/>
      <c r="AM65" s="503">
        <v>0</v>
      </c>
      <c r="AN65" s="484"/>
      <c r="AO65" s="499">
        <f t="shared" si="15"/>
        <v>0</v>
      </c>
      <c r="AP65" s="499">
        <f t="shared" si="16"/>
        <v>0</v>
      </c>
      <c r="AQ65" s="484"/>
      <c r="AR65" s="504" t="str">
        <f t="shared" si="30"/>
        <v/>
      </c>
      <c r="AS65" s="504" t="str">
        <f t="shared" si="5"/>
        <v/>
      </c>
      <c r="AT65" s="484"/>
      <c r="AU65" s="453"/>
      <c r="AV65" s="444"/>
      <c r="AW65" s="444"/>
      <c r="AX65" s="505">
        <f t="shared" ca="1" si="17"/>
        <v>120</v>
      </c>
      <c r="AY65" s="505">
        <f t="shared" ca="1" si="18"/>
        <v>1</v>
      </c>
      <c r="AZ65" s="505">
        <f t="shared" ca="1" si="19"/>
        <v>27</v>
      </c>
      <c r="BA65" s="454">
        <f t="shared" si="31"/>
        <v>100</v>
      </c>
      <c r="BB65" s="454">
        <f t="shared" si="32"/>
        <v>0</v>
      </c>
      <c r="BC65" s="480">
        <v>42583</v>
      </c>
      <c r="BD65" s="506">
        <f t="shared" si="25"/>
        <v>0.08</v>
      </c>
      <c r="BE65" s="507">
        <f>tabellen!$D$34</f>
        <v>7.3999999999999996E-2</v>
      </c>
      <c r="BF65" s="505">
        <f t="shared" si="20"/>
        <v>0</v>
      </c>
      <c r="BG65" s="508" t="e">
        <f>IF(V65/H65&lt;tabellen!$E$7,0,(V65-tabellen!$E$7*H65)/12*tabellen!$D$7)</f>
        <v>#DIV/0!</v>
      </c>
      <c r="BH65" s="508" t="e">
        <f>IF(V65/H65&lt;tabellen!$E$8,0,(V65-tabellen!$E$8*H65)/12*tabellen!$D$8)</f>
        <v>#DIV/0!</v>
      </c>
      <c r="BI65" s="509" t="e">
        <f t="shared" si="21"/>
        <v>#DIV/0!</v>
      </c>
      <c r="BJ65" s="510" t="e">
        <f>+W65/12-'[1]wgl tot'!BL65</f>
        <v>#DIV/0!</v>
      </c>
      <c r="BK65" s="510" t="e">
        <f>ROUND(IF('[1]wgl tot'!BM65&gt;[1]tabellen!$H$11,[1]tabellen!$H$11,'[1]wgl tot'!BM65)*[1]tabellen!$C$11,2)</f>
        <v>#DIV/0!</v>
      </c>
      <c r="BL65" s="510" t="e">
        <f>+'[1]wgl tot'!BM65+'[1]wgl tot'!BN65</f>
        <v>#DIV/0!</v>
      </c>
      <c r="BM65" s="511">
        <f t="shared" si="33"/>
        <v>1900</v>
      </c>
      <c r="BN65" s="511">
        <f t="shared" si="34"/>
        <v>1</v>
      </c>
      <c r="BO65" s="505">
        <f t="shared" si="35"/>
        <v>0</v>
      </c>
      <c r="BP65" s="480">
        <f t="shared" si="22"/>
        <v>22462</v>
      </c>
      <c r="BQ65" s="480">
        <f t="shared" ca="1" si="23"/>
        <v>43888.768521180558</v>
      </c>
      <c r="BR65" s="454"/>
      <c r="BS65" s="480"/>
      <c r="BT65" s="454"/>
      <c r="BU65" s="512"/>
      <c r="BV65" s="512"/>
      <c r="BW65" s="512"/>
      <c r="BX65" s="512"/>
      <c r="BY65" s="512"/>
      <c r="BZ65" s="512"/>
      <c r="CA65" s="444"/>
      <c r="CB65" s="444"/>
    </row>
    <row r="66" spans="1:80" s="456" customFormat="1" ht="12" customHeight="1" x14ac:dyDescent="0.2">
      <c r="A66" s="444"/>
      <c r="B66" s="445"/>
      <c r="C66" s="484"/>
      <c r="D66" s="493"/>
      <c r="E66" s="494"/>
      <c r="F66" s="495"/>
      <c r="G66" s="495"/>
      <c r="H66" s="496"/>
      <c r="I66" s="535"/>
      <c r="J66" s="495"/>
      <c r="K66" s="497"/>
      <c r="L66" s="497"/>
      <c r="M66" s="498">
        <f>IF(F66="",0,(VLOOKUP('wgl tot'!F66,saltab2019juni,G66+1,FALSE)))</f>
        <v>0</v>
      </c>
      <c r="N66" s="499">
        <f t="shared" si="0"/>
        <v>0</v>
      </c>
      <c r="O66" s="484"/>
      <c r="P66" s="498">
        <f>ROUND(IF((M66+Q66)*BD66&lt;H66*tabellen!$D$33,H66*tabellen!$D$33,(M66+R66)*BD66),2)</f>
        <v>0</v>
      </c>
      <c r="Q66" s="498">
        <f t="shared" si="26"/>
        <v>0</v>
      </c>
      <c r="R66" s="498">
        <f t="shared" si="27"/>
        <v>0</v>
      </c>
      <c r="S66" s="498">
        <f t="shared" si="28"/>
        <v>0</v>
      </c>
      <c r="T66" s="498">
        <f t="shared" si="36"/>
        <v>0</v>
      </c>
      <c r="U66" s="498">
        <f>ROUND(H66*tabellen!$D$27,2)</f>
        <v>0</v>
      </c>
      <c r="V66" s="500">
        <f t="shared" si="12"/>
        <v>0</v>
      </c>
      <c r="W66" s="499">
        <f t="shared" si="13"/>
        <v>0</v>
      </c>
      <c r="X66" s="484"/>
      <c r="Y66" s="500">
        <f t="shared" si="14"/>
        <v>0</v>
      </c>
      <c r="Z66" s="501">
        <v>0</v>
      </c>
      <c r="AA66" s="484"/>
      <c r="AB66" s="498">
        <f>IF(F66="",0,(IF(V66/H66&lt;tabellen!$E$7,0,(V66-tabellen!$E$7*H66)/12)*tabellen!$C$7))</f>
        <v>0</v>
      </c>
      <c r="AC66" s="498">
        <f>IF(F66="",0,(IF(V66/H66&lt;tabellen!$E$7,0,(V66-tabellen!$E$7*H66)/12)*tabellen!$C$8))</f>
        <v>0</v>
      </c>
      <c r="AD66" s="498">
        <f>V66/12*tabellen!$C$9</f>
        <v>0</v>
      </c>
      <c r="AE66" s="498">
        <f>IF(H66=0,0,IF(BJ66&gt;tabellen!$G$10/12,$G$10/12,BJ66)*(tabellen!$C$10+tabellen!$C$11))</f>
        <v>0</v>
      </c>
      <c r="AF66" s="498">
        <f t="shared" si="29"/>
        <v>0</v>
      </c>
      <c r="AG66" s="502">
        <f>IF(F66="",0,(IF(BJ66&gt;tabellen!$G$13*H66/12,tabellen!$G$13*H66/12,BJ66*tabellen!$C$13)))</f>
        <v>0</v>
      </c>
      <c r="AH66" s="484"/>
      <c r="AI66" s="502">
        <f>IF(F66="",0,IF(K66="j",tabellen!$C$14*BJ66,0))</f>
        <v>0</v>
      </c>
      <c r="AJ66" s="502">
        <f>IF(F66="",0,IF(L66="j",tabellen!$C$15*BJ66,0))</f>
        <v>0</v>
      </c>
      <c r="AK66" s="503">
        <v>0</v>
      </c>
      <c r="AL66" s="484"/>
      <c r="AM66" s="503">
        <v>0</v>
      </c>
      <c r="AN66" s="484"/>
      <c r="AO66" s="499">
        <f t="shared" si="15"/>
        <v>0</v>
      </c>
      <c r="AP66" s="499">
        <f t="shared" si="16"/>
        <v>0</v>
      </c>
      <c r="AQ66" s="484"/>
      <c r="AR66" s="504" t="str">
        <f t="shared" si="30"/>
        <v/>
      </c>
      <c r="AS66" s="504" t="str">
        <f t="shared" si="5"/>
        <v/>
      </c>
      <c r="AT66" s="484"/>
      <c r="AU66" s="453"/>
      <c r="AV66" s="444"/>
      <c r="AW66" s="444"/>
      <c r="AX66" s="505">
        <f t="shared" ca="1" si="17"/>
        <v>120</v>
      </c>
      <c r="AY66" s="505">
        <f t="shared" ca="1" si="18"/>
        <v>1</v>
      </c>
      <c r="AZ66" s="505">
        <f t="shared" ca="1" si="19"/>
        <v>27</v>
      </c>
      <c r="BA66" s="454">
        <f t="shared" si="31"/>
        <v>100</v>
      </c>
      <c r="BB66" s="454">
        <f t="shared" si="32"/>
        <v>0</v>
      </c>
      <c r="BC66" s="480">
        <v>42583</v>
      </c>
      <c r="BD66" s="506">
        <f t="shared" si="25"/>
        <v>0.08</v>
      </c>
      <c r="BE66" s="507">
        <f>tabellen!$D$34</f>
        <v>7.3999999999999996E-2</v>
      </c>
      <c r="BF66" s="505">
        <f t="shared" si="20"/>
        <v>0</v>
      </c>
      <c r="BG66" s="508" t="e">
        <f>IF(V66/H66&lt;tabellen!$E$7,0,(V66-tabellen!$E$7*H66)/12*tabellen!$D$7)</f>
        <v>#DIV/0!</v>
      </c>
      <c r="BH66" s="508" t="e">
        <f>IF(V66/H66&lt;tabellen!$E$8,0,(V66-tabellen!$E$8*H66)/12*tabellen!$D$8)</f>
        <v>#DIV/0!</v>
      </c>
      <c r="BI66" s="509" t="e">
        <f t="shared" si="21"/>
        <v>#DIV/0!</v>
      </c>
      <c r="BJ66" s="510" t="e">
        <f>+W66/12-'[1]wgl tot'!BL66</f>
        <v>#DIV/0!</v>
      </c>
      <c r="BK66" s="510" t="e">
        <f>ROUND(IF('[1]wgl tot'!BM66&gt;[1]tabellen!$H$11,[1]tabellen!$H$11,'[1]wgl tot'!BM66)*[1]tabellen!$C$11,2)</f>
        <v>#DIV/0!</v>
      </c>
      <c r="BL66" s="510" t="e">
        <f>+'[1]wgl tot'!BM66+'[1]wgl tot'!BN66</f>
        <v>#DIV/0!</v>
      </c>
      <c r="BM66" s="511">
        <f t="shared" si="33"/>
        <v>1900</v>
      </c>
      <c r="BN66" s="511">
        <f t="shared" si="34"/>
        <v>1</v>
      </c>
      <c r="BO66" s="505">
        <f t="shared" si="35"/>
        <v>0</v>
      </c>
      <c r="BP66" s="480">
        <f t="shared" si="22"/>
        <v>22462</v>
      </c>
      <c r="BQ66" s="480">
        <f t="shared" ca="1" si="23"/>
        <v>43888.768521180558</v>
      </c>
      <c r="BR66" s="454"/>
      <c r="BS66" s="480"/>
      <c r="BT66" s="454"/>
      <c r="BU66" s="512"/>
      <c r="BV66" s="512"/>
      <c r="BW66" s="512"/>
      <c r="BX66" s="512"/>
      <c r="BY66" s="512"/>
      <c r="BZ66" s="512"/>
      <c r="CA66" s="444"/>
      <c r="CB66" s="444"/>
    </row>
    <row r="67" spans="1:80" s="456" customFormat="1" ht="12" customHeight="1" x14ac:dyDescent="0.2">
      <c r="A67" s="444"/>
      <c r="B67" s="445"/>
      <c r="C67" s="484"/>
      <c r="D67" s="493"/>
      <c r="E67" s="494"/>
      <c r="F67" s="495"/>
      <c r="G67" s="495"/>
      <c r="H67" s="496"/>
      <c r="I67" s="535"/>
      <c r="J67" s="495"/>
      <c r="K67" s="497"/>
      <c r="L67" s="497"/>
      <c r="M67" s="498">
        <f>IF(F67="",0,(VLOOKUP('wgl tot'!F67,saltab2019juni,G67+1,FALSE)))</f>
        <v>0</v>
      </c>
      <c r="N67" s="499">
        <f t="shared" si="0"/>
        <v>0</v>
      </c>
      <c r="O67" s="484"/>
      <c r="P67" s="498">
        <f>ROUND(IF((M67+Q67)*BD67&lt;H67*tabellen!$D$33,H67*tabellen!$D$33,(M67+R67)*BD67),2)</f>
        <v>0</v>
      </c>
      <c r="Q67" s="498">
        <f t="shared" si="26"/>
        <v>0</v>
      </c>
      <c r="R67" s="498">
        <f t="shared" si="27"/>
        <v>0</v>
      </c>
      <c r="S67" s="498">
        <f t="shared" si="28"/>
        <v>0</v>
      </c>
      <c r="T67" s="498">
        <f t="shared" si="36"/>
        <v>0</v>
      </c>
      <c r="U67" s="498">
        <f>ROUND(H67*tabellen!$D$27,2)</f>
        <v>0</v>
      </c>
      <c r="V67" s="500">
        <f t="shared" si="12"/>
        <v>0</v>
      </c>
      <c r="W67" s="499">
        <f t="shared" si="13"/>
        <v>0</v>
      </c>
      <c r="X67" s="484"/>
      <c r="Y67" s="500">
        <f t="shared" si="14"/>
        <v>0</v>
      </c>
      <c r="Z67" s="501">
        <v>0</v>
      </c>
      <c r="AA67" s="484"/>
      <c r="AB67" s="498">
        <f>IF(F67="",0,(IF(V67/H67&lt;tabellen!$E$7,0,(V67-tabellen!$E$7*H67)/12)*tabellen!$C$7))</f>
        <v>0</v>
      </c>
      <c r="AC67" s="498">
        <f>IF(F67="",0,(IF(V67/H67&lt;tabellen!$E$7,0,(V67-tabellen!$E$7*H67)/12)*tabellen!$C$8))</f>
        <v>0</v>
      </c>
      <c r="AD67" s="498">
        <f>V67/12*tabellen!$C$9</f>
        <v>0</v>
      </c>
      <c r="AE67" s="498">
        <f>IF(H67=0,0,IF(BJ67&gt;tabellen!$G$10/12,$G$10/12,BJ67)*(tabellen!$C$10+tabellen!$C$11))</f>
        <v>0</v>
      </c>
      <c r="AF67" s="498">
        <f t="shared" si="29"/>
        <v>0</v>
      </c>
      <c r="AG67" s="502">
        <f>IF(F67="",0,(IF(BJ67&gt;tabellen!$G$13*H67/12,tabellen!$G$13*H67/12,BJ67*tabellen!$C$13)))</f>
        <v>0</v>
      </c>
      <c r="AH67" s="484"/>
      <c r="AI67" s="502">
        <f>IF(F67="",0,IF(K67="j",tabellen!$C$14*BJ67,0))</f>
        <v>0</v>
      </c>
      <c r="AJ67" s="502">
        <f>IF(F67="",0,IF(L67="j",tabellen!$C$15*BJ67,0))</f>
        <v>0</v>
      </c>
      <c r="AK67" s="503">
        <v>0</v>
      </c>
      <c r="AL67" s="484"/>
      <c r="AM67" s="503">
        <v>0</v>
      </c>
      <c r="AN67" s="484"/>
      <c r="AO67" s="499">
        <f t="shared" si="15"/>
        <v>0</v>
      </c>
      <c r="AP67" s="499">
        <f t="shared" si="16"/>
        <v>0</v>
      </c>
      <c r="AQ67" s="484"/>
      <c r="AR67" s="504" t="str">
        <f t="shared" si="30"/>
        <v/>
      </c>
      <c r="AS67" s="504" t="str">
        <f t="shared" si="5"/>
        <v/>
      </c>
      <c r="AT67" s="484"/>
      <c r="AU67" s="453"/>
      <c r="AV67" s="444"/>
      <c r="AW67" s="444"/>
      <c r="AX67" s="505">
        <f t="shared" ca="1" si="17"/>
        <v>120</v>
      </c>
      <c r="AY67" s="505">
        <f t="shared" ca="1" si="18"/>
        <v>1</v>
      </c>
      <c r="AZ67" s="505">
        <f t="shared" ca="1" si="19"/>
        <v>27</v>
      </c>
      <c r="BA67" s="454">
        <f t="shared" si="31"/>
        <v>100</v>
      </c>
      <c r="BB67" s="454">
        <f t="shared" si="32"/>
        <v>0</v>
      </c>
      <c r="BC67" s="480">
        <v>42583</v>
      </c>
      <c r="BD67" s="506">
        <f t="shared" si="25"/>
        <v>0.08</v>
      </c>
      <c r="BE67" s="507">
        <f>tabellen!$D$34</f>
        <v>7.3999999999999996E-2</v>
      </c>
      <c r="BF67" s="505">
        <f t="shared" si="20"/>
        <v>0</v>
      </c>
      <c r="BG67" s="508" t="e">
        <f>IF(V67/H67&lt;tabellen!$E$7,0,(V67-tabellen!$E$7*H67)/12*tabellen!$D$7)</f>
        <v>#DIV/0!</v>
      </c>
      <c r="BH67" s="508" t="e">
        <f>IF(V67/H67&lt;tabellen!$E$8,0,(V67-tabellen!$E$8*H67)/12*tabellen!$D$8)</f>
        <v>#DIV/0!</v>
      </c>
      <c r="BI67" s="509" t="e">
        <f t="shared" si="21"/>
        <v>#DIV/0!</v>
      </c>
      <c r="BJ67" s="510" t="e">
        <f>+W67/12-'[1]wgl tot'!BL67</f>
        <v>#DIV/0!</v>
      </c>
      <c r="BK67" s="510" t="e">
        <f>ROUND(IF('[1]wgl tot'!BM67&gt;[1]tabellen!$H$11,[1]tabellen!$H$11,'[1]wgl tot'!BM67)*[1]tabellen!$C$11,2)</f>
        <v>#DIV/0!</v>
      </c>
      <c r="BL67" s="510" t="e">
        <f>+'[1]wgl tot'!BM67+'[1]wgl tot'!BN67</f>
        <v>#DIV/0!</v>
      </c>
      <c r="BM67" s="511">
        <f t="shared" si="33"/>
        <v>1900</v>
      </c>
      <c r="BN67" s="511">
        <f t="shared" si="34"/>
        <v>1</v>
      </c>
      <c r="BO67" s="505">
        <f t="shared" si="35"/>
        <v>0</v>
      </c>
      <c r="BP67" s="480">
        <f t="shared" si="22"/>
        <v>22462</v>
      </c>
      <c r="BQ67" s="480">
        <f t="shared" ca="1" si="23"/>
        <v>43888.768521180558</v>
      </c>
      <c r="BR67" s="454"/>
      <c r="BS67" s="480"/>
      <c r="BT67" s="454"/>
      <c r="BU67" s="512"/>
      <c r="BV67" s="512"/>
      <c r="BW67" s="512"/>
      <c r="BX67" s="512"/>
      <c r="BY67" s="512"/>
      <c r="BZ67" s="512"/>
      <c r="CA67" s="444"/>
      <c r="CB67" s="444"/>
    </row>
    <row r="68" spans="1:80" s="456" customFormat="1" ht="12" customHeight="1" x14ac:dyDescent="0.2">
      <c r="A68" s="444"/>
      <c r="B68" s="445"/>
      <c r="C68" s="484"/>
      <c r="D68" s="493"/>
      <c r="E68" s="494"/>
      <c r="F68" s="495"/>
      <c r="G68" s="495"/>
      <c r="H68" s="496"/>
      <c r="I68" s="535"/>
      <c r="J68" s="495"/>
      <c r="K68" s="497"/>
      <c r="L68" s="497"/>
      <c r="M68" s="498">
        <f>IF(F68="",0,(VLOOKUP('wgl tot'!F68,saltab2019juni,G68+1,FALSE)))</f>
        <v>0</v>
      </c>
      <c r="N68" s="499">
        <f t="shared" si="0"/>
        <v>0</v>
      </c>
      <c r="O68" s="484"/>
      <c r="P68" s="498">
        <f>ROUND(IF((M68+Q68)*BD68&lt;H68*tabellen!$D$33,H68*tabellen!$D$33,(M68+R68)*BD68),2)</f>
        <v>0</v>
      </c>
      <c r="Q68" s="498">
        <f t="shared" si="26"/>
        <v>0</v>
      </c>
      <c r="R68" s="498">
        <f t="shared" si="27"/>
        <v>0</v>
      </c>
      <c r="S68" s="498">
        <f t="shared" si="28"/>
        <v>0</v>
      </c>
      <c r="T68" s="498">
        <f t="shared" si="36"/>
        <v>0</v>
      </c>
      <c r="U68" s="498">
        <f>ROUND(H68*tabellen!$D$27,2)</f>
        <v>0</v>
      </c>
      <c r="V68" s="500">
        <f t="shared" si="12"/>
        <v>0</v>
      </c>
      <c r="W68" s="499">
        <f t="shared" si="13"/>
        <v>0</v>
      </c>
      <c r="X68" s="484"/>
      <c r="Y68" s="500">
        <f t="shared" si="14"/>
        <v>0</v>
      </c>
      <c r="Z68" s="501">
        <v>0</v>
      </c>
      <c r="AA68" s="484"/>
      <c r="AB68" s="498">
        <f>IF(F68="",0,(IF(V68/H68&lt;tabellen!$E$7,0,(V68-tabellen!$E$7*H68)/12)*tabellen!$C$7))</f>
        <v>0</v>
      </c>
      <c r="AC68" s="498">
        <f>IF(F68="",0,(IF(V68/H68&lt;tabellen!$E$7,0,(V68-tabellen!$E$7*H68)/12)*tabellen!$C$8))</f>
        <v>0</v>
      </c>
      <c r="AD68" s="498">
        <f>V68/12*tabellen!$C$9</f>
        <v>0</v>
      </c>
      <c r="AE68" s="498">
        <f>IF(H68=0,0,IF(BJ68&gt;tabellen!$G$10/12,$G$10/12,BJ68)*(tabellen!$C$10+tabellen!$C$11))</f>
        <v>0</v>
      </c>
      <c r="AF68" s="498">
        <f t="shared" si="29"/>
        <v>0</v>
      </c>
      <c r="AG68" s="502">
        <f>IF(F68="",0,(IF(BJ68&gt;tabellen!$G$13*H68/12,tabellen!$G$13*H68/12,BJ68*tabellen!$C$13)))</f>
        <v>0</v>
      </c>
      <c r="AH68" s="484"/>
      <c r="AI68" s="502">
        <f>IF(F68="",0,IF(K68="j",tabellen!$C$14*BJ68,0))</f>
        <v>0</v>
      </c>
      <c r="AJ68" s="502">
        <f>IF(F68="",0,IF(L68="j",tabellen!$C$15*BJ68,0))</f>
        <v>0</v>
      </c>
      <c r="AK68" s="503">
        <v>0</v>
      </c>
      <c r="AL68" s="484"/>
      <c r="AM68" s="503">
        <v>0</v>
      </c>
      <c r="AN68" s="484"/>
      <c r="AO68" s="499">
        <f t="shared" si="15"/>
        <v>0</v>
      </c>
      <c r="AP68" s="499">
        <f t="shared" si="16"/>
        <v>0</v>
      </c>
      <c r="AQ68" s="484"/>
      <c r="AR68" s="504" t="str">
        <f t="shared" si="30"/>
        <v/>
      </c>
      <c r="AS68" s="504" t="str">
        <f t="shared" si="5"/>
        <v/>
      </c>
      <c r="AT68" s="484"/>
      <c r="AU68" s="453"/>
      <c r="AV68" s="444"/>
      <c r="AW68" s="444"/>
      <c r="AX68" s="505">
        <f t="shared" ca="1" si="17"/>
        <v>120</v>
      </c>
      <c r="AY68" s="505">
        <f t="shared" ca="1" si="18"/>
        <v>1</v>
      </c>
      <c r="AZ68" s="505">
        <f t="shared" ca="1" si="19"/>
        <v>27</v>
      </c>
      <c r="BA68" s="454">
        <f t="shared" si="31"/>
        <v>100</v>
      </c>
      <c r="BB68" s="454">
        <f t="shared" si="32"/>
        <v>0</v>
      </c>
      <c r="BC68" s="480">
        <v>42583</v>
      </c>
      <c r="BD68" s="506">
        <f t="shared" si="25"/>
        <v>0.08</v>
      </c>
      <c r="BE68" s="507">
        <f>tabellen!$D$34</f>
        <v>7.3999999999999996E-2</v>
      </c>
      <c r="BF68" s="505">
        <f t="shared" si="20"/>
        <v>0</v>
      </c>
      <c r="BG68" s="508" t="e">
        <f>IF(V68/H68&lt;tabellen!$E$7,0,(V68-tabellen!$E$7*H68)/12*tabellen!$D$7)</f>
        <v>#DIV/0!</v>
      </c>
      <c r="BH68" s="508" t="e">
        <f>IF(V68/H68&lt;tabellen!$E$8,0,(V68-tabellen!$E$8*H68)/12*tabellen!$D$8)</f>
        <v>#DIV/0!</v>
      </c>
      <c r="BI68" s="509" t="e">
        <f t="shared" si="21"/>
        <v>#DIV/0!</v>
      </c>
      <c r="BJ68" s="510" t="e">
        <f>+W68/12-'[1]wgl tot'!BL68</f>
        <v>#DIV/0!</v>
      </c>
      <c r="BK68" s="510" t="e">
        <f>ROUND(IF('[1]wgl tot'!BM68&gt;[1]tabellen!$H$11,[1]tabellen!$H$11,'[1]wgl tot'!BM68)*[1]tabellen!$C$11,2)</f>
        <v>#DIV/0!</v>
      </c>
      <c r="BL68" s="510" t="e">
        <f>+'[1]wgl tot'!BM68+'[1]wgl tot'!BN68</f>
        <v>#DIV/0!</v>
      </c>
      <c r="BM68" s="511">
        <f t="shared" si="33"/>
        <v>1900</v>
      </c>
      <c r="BN68" s="511">
        <f t="shared" si="34"/>
        <v>1</v>
      </c>
      <c r="BO68" s="505">
        <f t="shared" si="35"/>
        <v>0</v>
      </c>
      <c r="BP68" s="480">
        <f t="shared" si="22"/>
        <v>22462</v>
      </c>
      <c r="BQ68" s="480">
        <f t="shared" ca="1" si="23"/>
        <v>43888.768521180558</v>
      </c>
      <c r="BR68" s="454"/>
      <c r="BS68" s="480"/>
      <c r="BT68" s="454"/>
      <c r="BU68" s="512"/>
      <c r="BV68" s="512"/>
      <c r="BW68" s="512"/>
      <c r="BX68" s="512"/>
      <c r="BY68" s="512"/>
      <c r="BZ68" s="512"/>
      <c r="CA68" s="444"/>
      <c r="CB68" s="444"/>
    </row>
    <row r="69" spans="1:80" s="456" customFormat="1" ht="12" customHeight="1" x14ac:dyDescent="0.2">
      <c r="A69" s="444"/>
      <c r="B69" s="445"/>
      <c r="C69" s="484"/>
      <c r="D69" s="493"/>
      <c r="E69" s="494"/>
      <c r="F69" s="495"/>
      <c r="G69" s="495"/>
      <c r="H69" s="496"/>
      <c r="I69" s="535"/>
      <c r="J69" s="495"/>
      <c r="K69" s="497"/>
      <c r="L69" s="497"/>
      <c r="M69" s="498">
        <f>IF(F69="",0,(VLOOKUP('wgl tot'!F69,saltab2019juni,G69+1,FALSE)))</f>
        <v>0</v>
      </c>
      <c r="N69" s="499">
        <f t="shared" si="0"/>
        <v>0</v>
      </c>
      <c r="O69" s="484"/>
      <c r="P69" s="498">
        <f>ROUND(IF((M69+Q69)*BD69&lt;H69*tabellen!$D$33,H69*tabellen!$D$33,(M69+R69)*BD69),2)</f>
        <v>0</v>
      </c>
      <c r="Q69" s="498">
        <f t="shared" si="26"/>
        <v>0</v>
      </c>
      <c r="R69" s="498">
        <f t="shared" si="27"/>
        <v>0</v>
      </c>
      <c r="S69" s="498">
        <f t="shared" si="28"/>
        <v>0</v>
      </c>
      <c r="T69" s="498">
        <f t="shared" si="36"/>
        <v>0</v>
      </c>
      <c r="U69" s="498">
        <f>ROUND(H69*tabellen!$D$27,2)</f>
        <v>0</v>
      </c>
      <c r="V69" s="500">
        <f t="shared" si="12"/>
        <v>0</v>
      </c>
      <c r="W69" s="499">
        <f t="shared" si="13"/>
        <v>0</v>
      </c>
      <c r="X69" s="484"/>
      <c r="Y69" s="500">
        <f t="shared" si="14"/>
        <v>0</v>
      </c>
      <c r="Z69" s="501">
        <v>0</v>
      </c>
      <c r="AA69" s="484"/>
      <c r="AB69" s="498">
        <f>IF(F69="",0,(IF(V69/H69&lt;tabellen!$E$7,0,(V69-tabellen!$E$7*H69)/12)*tabellen!$C$7))</f>
        <v>0</v>
      </c>
      <c r="AC69" s="498">
        <f>IF(F69="",0,(IF(V69/H69&lt;tabellen!$E$7,0,(V69-tabellen!$E$7*H69)/12)*tabellen!$C$8))</f>
        <v>0</v>
      </c>
      <c r="AD69" s="498">
        <f>V69/12*tabellen!$C$9</f>
        <v>0</v>
      </c>
      <c r="AE69" s="498">
        <f>IF(H69=0,0,IF(BJ69&gt;tabellen!$G$10/12,$G$10/12,BJ69)*(tabellen!$C$10+tabellen!$C$11))</f>
        <v>0</v>
      </c>
      <c r="AF69" s="498">
        <f t="shared" si="29"/>
        <v>0</v>
      </c>
      <c r="AG69" s="502">
        <f>IF(F69="",0,(IF(BJ69&gt;tabellen!$G$13*H69/12,tabellen!$G$13*H69/12,BJ69*tabellen!$C$13)))</f>
        <v>0</v>
      </c>
      <c r="AH69" s="484"/>
      <c r="AI69" s="502">
        <f>IF(F69="",0,IF(K69="j",tabellen!$C$14*BJ69,0))</f>
        <v>0</v>
      </c>
      <c r="AJ69" s="502">
        <f>IF(F69="",0,IF(L69="j",tabellen!$C$15*BJ69,0))</f>
        <v>0</v>
      </c>
      <c r="AK69" s="503">
        <v>0</v>
      </c>
      <c r="AL69" s="484"/>
      <c r="AM69" s="503">
        <v>0</v>
      </c>
      <c r="AN69" s="484"/>
      <c r="AO69" s="499">
        <f t="shared" si="15"/>
        <v>0</v>
      </c>
      <c r="AP69" s="499">
        <f t="shared" si="16"/>
        <v>0</v>
      </c>
      <c r="AQ69" s="484"/>
      <c r="AR69" s="504" t="str">
        <f t="shared" si="30"/>
        <v/>
      </c>
      <c r="AS69" s="504" t="str">
        <f t="shared" si="5"/>
        <v/>
      </c>
      <c r="AT69" s="484"/>
      <c r="AU69" s="453"/>
      <c r="AV69" s="444"/>
      <c r="AW69" s="444"/>
      <c r="AX69" s="505">
        <f t="shared" ca="1" si="17"/>
        <v>120</v>
      </c>
      <c r="AY69" s="505">
        <f t="shared" ca="1" si="18"/>
        <v>1</v>
      </c>
      <c r="AZ69" s="505">
        <f t="shared" ca="1" si="19"/>
        <v>27</v>
      </c>
      <c r="BA69" s="454">
        <f t="shared" si="31"/>
        <v>100</v>
      </c>
      <c r="BB69" s="454">
        <f t="shared" si="32"/>
        <v>0</v>
      </c>
      <c r="BC69" s="480">
        <v>42583</v>
      </c>
      <c r="BD69" s="506">
        <f t="shared" si="25"/>
        <v>0.08</v>
      </c>
      <c r="BE69" s="507">
        <f>tabellen!$D$34</f>
        <v>7.3999999999999996E-2</v>
      </c>
      <c r="BF69" s="505">
        <f t="shared" si="20"/>
        <v>0</v>
      </c>
      <c r="BG69" s="508" t="e">
        <f>IF(V69/H69&lt;tabellen!$E$7,0,(V69-tabellen!$E$7*H69)/12*tabellen!$D$7)</f>
        <v>#DIV/0!</v>
      </c>
      <c r="BH69" s="508" t="e">
        <f>IF(V69/H69&lt;tabellen!$E$8,0,(V69-tabellen!$E$8*H69)/12*tabellen!$D$8)</f>
        <v>#DIV/0!</v>
      </c>
      <c r="BI69" s="509" t="e">
        <f t="shared" si="21"/>
        <v>#DIV/0!</v>
      </c>
      <c r="BJ69" s="510" t="e">
        <f>+W69/12-'[1]wgl tot'!BL69</f>
        <v>#DIV/0!</v>
      </c>
      <c r="BK69" s="510" t="e">
        <f>ROUND(IF('[1]wgl tot'!BM69&gt;[1]tabellen!$H$11,[1]tabellen!$H$11,'[1]wgl tot'!BM69)*[1]tabellen!$C$11,2)</f>
        <v>#DIV/0!</v>
      </c>
      <c r="BL69" s="510" t="e">
        <f>+'[1]wgl tot'!BM69+'[1]wgl tot'!BN69</f>
        <v>#DIV/0!</v>
      </c>
      <c r="BM69" s="511">
        <f t="shared" si="33"/>
        <v>1900</v>
      </c>
      <c r="BN69" s="511">
        <f t="shared" si="34"/>
        <v>1</v>
      </c>
      <c r="BO69" s="505">
        <f t="shared" si="35"/>
        <v>0</v>
      </c>
      <c r="BP69" s="480">
        <f t="shared" si="22"/>
        <v>22462</v>
      </c>
      <c r="BQ69" s="480">
        <f t="shared" ca="1" si="23"/>
        <v>43888.768521180558</v>
      </c>
      <c r="BR69" s="454"/>
      <c r="BS69" s="480"/>
      <c r="BT69" s="454"/>
      <c r="BU69" s="512"/>
      <c r="BV69" s="512"/>
      <c r="BW69" s="512"/>
      <c r="BX69" s="512"/>
      <c r="BY69" s="512"/>
      <c r="BZ69" s="512"/>
      <c r="CA69" s="444"/>
      <c r="CB69" s="444"/>
    </row>
    <row r="70" spans="1:80" s="456" customFormat="1" ht="12" customHeight="1" x14ac:dyDescent="0.2">
      <c r="A70" s="444"/>
      <c r="B70" s="445"/>
      <c r="C70" s="484"/>
      <c r="D70" s="493"/>
      <c r="E70" s="494"/>
      <c r="F70" s="495"/>
      <c r="G70" s="495"/>
      <c r="H70" s="496"/>
      <c r="I70" s="535"/>
      <c r="J70" s="495"/>
      <c r="K70" s="497"/>
      <c r="L70" s="497"/>
      <c r="M70" s="498">
        <f>IF(F70="",0,(VLOOKUP('wgl tot'!F70,saltab2019juni,G70+1,FALSE)))</f>
        <v>0</v>
      </c>
      <c r="N70" s="499">
        <f t="shared" si="0"/>
        <v>0</v>
      </c>
      <c r="O70" s="484"/>
      <c r="P70" s="498">
        <f>ROUND(IF((M70+Q70)*BD70&lt;H70*tabellen!$D$33,H70*tabellen!$D$33,(M70+R70)*BD70),2)</f>
        <v>0</v>
      </c>
      <c r="Q70" s="498">
        <f t="shared" si="26"/>
        <v>0</v>
      </c>
      <c r="R70" s="498">
        <f t="shared" si="27"/>
        <v>0</v>
      </c>
      <c r="S70" s="498">
        <f t="shared" si="28"/>
        <v>0</v>
      </c>
      <c r="T70" s="498">
        <f t="shared" si="36"/>
        <v>0</v>
      </c>
      <c r="U70" s="498">
        <f>ROUND(H70*tabellen!$D$27,2)</f>
        <v>0</v>
      </c>
      <c r="V70" s="500">
        <f t="shared" si="12"/>
        <v>0</v>
      </c>
      <c r="W70" s="499">
        <f t="shared" si="13"/>
        <v>0</v>
      </c>
      <c r="X70" s="484"/>
      <c r="Y70" s="500">
        <f t="shared" si="14"/>
        <v>0</v>
      </c>
      <c r="Z70" s="501">
        <v>0</v>
      </c>
      <c r="AA70" s="484"/>
      <c r="AB70" s="498">
        <f>IF(F70="",0,(IF(V70/H70&lt;tabellen!$E$7,0,(V70-tabellen!$E$7*H70)/12)*tabellen!$C$7))</f>
        <v>0</v>
      </c>
      <c r="AC70" s="498">
        <f>IF(F70="",0,(IF(V70/H70&lt;tabellen!$E$7,0,(V70-tabellen!$E$7*H70)/12)*tabellen!$C$8))</f>
        <v>0</v>
      </c>
      <c r="AD70" s="498">
        <f>V70/12*tabellen!$C$9</f>
        <v>0</v>
      </c>
      <c r="AE70" s="498">
        <f>IF(H70=0,0,IF(BJ70&gt;tabellen!$G$10/12,$G$10/12,BJ70)*(tabellen!$C$10+tabellen!$C$11))</f>
        <v>0</v>
      </c>
      <c r="AF70" s="498">
        <f t="shared" si="29"/>
        <v>0</v>
      </c>
      <c r="AG70" s="502">
        <f>IF(F70="",0,(IF(BJ70&gt;tabellen!$G$13*H70/12,tabellen!$G$13*H70/12,BJ70*tabellen!$C$13)))</f>
        <v>0</v>
      </c>
      <c r="AH70" s="484"/>
      <c r="AI70" s="502">
        <f>IF(F70="",0,IF(K70="j",tabellen!$C$14*BJ70,0))</f>
        <v>0</v>
      </c>
      <c r="AJ70" s="502">
        <f>IF(F70="",0,IF(L70="j",tabellen!$C$15*BJ70,0))</f>
        <v>0</v>
      </c>
      <c r="AK70" s="503">
        <v>0</v>
      </c>
      <c r="AL70" s="484"/>
      <c r="AM70" s="503">
        <v>0</v>
      </c>
      <c r="AN70" s="484"/>
      <c r="AO70" s="499">
        <f t="shared" si="15"/>
        <v>0</v>
      </c>
      <c r="AP70" s="499">
        <f t="shared" si="16"/>
        <v>0</v>
      </c>
      <c r="AQ70" s="484"/>
      <c r="AR70" s="504" t="str">
        <f t="shared" si="30"/>
        <v/>
      </c>
      <c r="AS70" s="504" t="str">
        <f t="shared" si="5"/>
        <v/>
      </c>
      <c r="AT70" s="484"/>
      <c r="AU70" s="453"/>
      <c r="AV70" s="444"/>
      <c r="AW70" s="444"/>
      <c r="AX70" s="505">
        <f t="shared" ca="1" si="17"/>
        <v>120</v>
      </c>
      <c r="AY70" s="505">
        <f t="shared" ca="1" si="18"/>
        <v>1</v>
      </c>
      <c r="AZ70" s="505">
        <f t="shared" ca="1" si="19"/>
        <v>27</v>
      </c>
      <c r="BA70" s="454">
        <f t="shared" si="31"/>
        <v>100</v>
      </c>
      <c r="BB70" s="454">
        <f t="shared" si="32"/>
        <v>0</v>
      </c>
      <c r="BC70" s="480">
        <v>42583</v>
      </c>
      <c r="BD70" s="506">
        <f t="shared" si="25"/>
        <v>0.08</v>
      </c>
      <c r="BE70" s="507">
        <f>tabellen!$D$34</f>
        <v>7.3999999999999996E-2</v>
      </c>
      <c r="BF70" s="505">
        <f t="shared" si="20"/>
        <v>0</v>
      </c>
      <c r="BG70" s="508" t="e">
        <f>IF(V70/H70&lt;tabellen!$E$7,0,(V70-tabellen!$E$7*H70)/12*tabellen!$D$7)</f>
        <v>#DIV/0!</v>
      </c>
      <c r="BH70" s="508" t="e">
        <f>IF(V70/H70&lt;tabellen!$E$8,0,(V70-tabellen!$E$8*H70)/12*tabellen!$D$8)</f>
        <v>#DIV/0!</v>
      </c>
      <c r="BI70" s="509" t="e">
        <f t="shared" si="21"/>
        <v>#DIV/0!</v>
      </c>
      <c r="BJ70" s="510" t="e">
        <f>+W70/12-'[1]wgl tot'!BL70</f>
        <v>#DIV/0!</v>
      </c>
      <c r="BK70" s="510" t="e">
        <f>ROUND(IF('[1]wgl tot'!BM70&gt;[1]tabellen!$H$11,[1]tabellen!$H$11,'[1]wgl tot'!BM70)*[1]tabellen!$C$11,2)</f>
        <v>#DIV/0!</v>
      </c>
      <c r="BL70" s="510" t="e">
        <f>+'[1]wgl tot'!BM70+'[1]wgl tot'!BN70</f>
        <v>#DIV/0!</v>
      </c>
      <c r="BM70" s="511">
        <f t="shared" si="33"/>
        <v>1900</v>
      </c>
      <c r="BN70" s="511">
        <f t="shared" si="34"/>
        <v>1</v>
      </c>
      <c r="BO70" s="505">
        <f t="shared" si="35"/>
        <v>0</v>
      </c>
      <c r="BP70" s="480">
        <f t="shared" si="22"/>
        <v>22462</v>
      </c>
      <c r="BQ70" s="480">
        <f t="shared" ca="1" si="23"/>
        <v>43888.768521180558</v>
      </c>
      <c r="BR70" s="454"/>
      <c r="BS70" s="480"/>
      <c r="BT70" s="454"/>
      <c r="BU70" s="512"/>
      <c r="BV70" s="512"/>
      <c r="BW70" s="512"/>
      <c r="BX70" s="512"/>
      <c r="BY70" s="512"/>
      <c r="BZ70" s="512"/>
      <c r="CA70" s="444"/>
      <c r="CB70" s="444"/>
    </row>
    <row r="71" spans="1:80" s="456" customFormat="1" ht="12" customHeight="1" x14ac:dyDescent="0.2">
      <c r="A71" s="444"/>
      <c r="B71" s="445"/>
      <c r="C71" s="484"/>
      <c r="D71" s="493"/>
      <c r="E71" s="494"/>
      <c r="F71" s="495"/>
      <c r="G71" s="495"/>
      <c r="H71" s="496"/>
      <c r="I71" s="535"/>
      <c r="J71" s="495"/>
      <c r="K71" s="497"/>
      <c r="L71" s="497"/>
      <c r="M71" s="498">
        <f>IF(F71="",0,(VLOOKUP('wgl tot'!F71,saltab2019juni,G71+1,FALSE)))</f>
        <v>0</v>
      </c>
      <c r="N71" s="499">
        <f t="shared" si="0"/>
        <v>0</v>
      </c>
      <c r="O71" s="484"/>
      <c r="P71" s="498">
        <f>ROUND(IF((M71+Q71)*BD71&lt;H71*tabellen!$D$33,H71*tabellen!$D$33,(M71+R71)*BD71),2)</f>
        <v>0</v>
      </c>
      <c r="Q71" s="498">
        <f t="shared" si="26"/>
        <v>0</v>
      </c>
      <c r="R71" s="498">
        <f t="shared" si="27"/>
        <v>0</v>
      </c>
      <c r="S71" s="498">
        <f t="shared" si="28"/>
        <v>0</v>
      </c>
      <c r="T71" s="498">
        <f t="shared" si="36"/>
        <v>0</v>
      </c>
      <c r="U71" s="498">
        <f>ROUND(H71*tabellen!$D$27,2)</f>
        <v>0</v>
      </c>
      <c r="V71" s="500">
        <f t="shared" si="12"/>
        <v>0</v>
      </c>
      <c r="W71" s="499">
        <f t="shared" si="13"/>
        <v>0</v>
      </c>
      <c r="X71" s="484"/>
      <c r="Y71" s="500">
        <f t="shared" si="14"/>
        <v>0</v>
      </c>
      <c r="Z71" s="501">
        <v>0</v>
      </c>
      <c r="AA71" s="484"/>
      <c r="AB71" s="498">
        <f>IF(F71="",0,(IF(V71/H71&lt;tabellen!$E$7,0,(V71-tabellen!$E$7*H71)/12)*tabellen!$C$7))</f>
        <v>0</v>
      </c>
      <c r="AC71" s="498">
        <f>IF(F71="",0,(IF(V71/H71&lt;tabellen!$E$7,0,(V71-tabellen!$E$7*H71)/12)*tabellen!$C$8))</f>
        <v>0</v>
      </c>
      <c r="AD71" s="498">
        <f>V71/12*tabellen!$C$9</f>
        <v>0</v>
      </c>
      <c r="AE71" s="498">
        <f>IF(H71=0,0,IF(BJ71&gt;tabellen!$G$10/12,$G$10/12,BJ71)*(tabellen!$C$10+tabellen!$C$11))</f>
        <v>0</v>
      </c>
      <c r="AF71" s="498">
        <f t="shared" si="29"/>
        <v>0</v>
      </c>
      <c r="AG71" s="502">
        <f>IF(F71="",0,(IF(BJ71&gt;tabellen!$G$13*H71/12,tabellen!$G$13*H71/12,BJ71*tabellen!$C$13)))</f>
        <v>0</v>
      </c>
      <c r="AH71" s="484"/>
      <c r="AI71" s="502">
        <f>IF(F71="",0,IF(K71="j",tabellen!$C$14*BJ71,0))</f>
        <v>0</v>
      </c>
      <c r="AJ71" s="502">
        <f>IF(F71="",0,IF(L71="j",tabellen!$C$15*BJ71,0))</f>
        <v>0</v>
      </c>
      <c r="AK71" s="503">
        <v>0</v>
      </c>
      <c r="AL71" s="484"/>
      <c r="AM71" s="503">
        <v>0</v>
      </c>
      <c r="AN71" s="484"/>
      <c r="AO71" s="499">
        <f t="shared" si="15"/>
        <v>0</v>
      </c>
      <c r="AP71" s="499">
        <f t="shared" si="16"/>
        <v>0</v>
      </c>
      <c r="AQ71" s="484"/>
      <c r="AR71" s="504" t="str">
        <f t="shared" si="30"/>
        <v/>
      </c>
      <c r="AS71" s="504" t="str">
        <f t="shared" si="5"/>
        <v/>
      </c>
      <c r="AT71" s="484"/>
      <c r="AU71" s="453"/>
      <c r="AV71" s="444"/>
      <c r="AW71" s="444"/>
      <c r="AX71" s="505">
        <f t="shared" ca="1" si="17"/>
        <v>120</v>
      </c>
      <c r="AY71" s="505">
        <f t="shared" ca="1" si="18"/>
        <v>1</v>
      </c>
      <c r="AZ71" s="505">
        <f t="shared" ca="1" si="19"/>
        <v>27</v>
      </c>
      <c r="BA71" s="454">
        <f t="shared" si="31"/>
        <v>100</v>
      </c>
      <c r="BB71" s="454">
        <f t="shared" si="32"/>
        <v>0</v>
      </c>
      <c r="BC71" s="480">
        <v>42583</v>
      </c>
      <c r="BD71" s="506">
        <f t="shared" si="25"/>
        <v>0.08</v>
      </c>
      <c r="BE71" s="507">
        <f>tabellen!$D$34</f>
        <v>7.3999999999999996E-2</v>
      </c>
      <c r="BF71" s="505">
        <f t="shared" si="20"/>
        <v>0</v>
      </c>
      <c r="BG71" s="508" t="e">
        <f>IF(V71/H71&lt;tabellen!$E$7,0,(V71-tabellen!$E$7*H71)/12*tabellen!$D$7)</f>
        <v>#DIV/0!</v>
      </c>
      <c r="BH71" s="508" t="e">
        <f>IF(V71/H71&lt;tabellen!$E$8,0,(V71-tabellen!$E$8*H71)/12*tabellen!$D$8)</f>
        <v>#DIV/0!</v>
      </c>
      <c r="BI71" s="509" t="e">
        <f t="shared" si="21"/>
        <v>#DIV/0!</v>
      </c>
      <c r="BJ71" s="510" t="e">
        <f>+W71/12-'[1]wgl tot'!BL71</f>
        <v>#DIV/0!</v>
      </c>
      <c r="BK71" s="510" t="e">
        <f>ROUND(IF('[1]wgl tot'!BM71&gt;[1]tabellen!$H$11,[1]tabellen!$H$11,'[1]wgl tot'!BM71)*[1]tabellen!$C$11,2)</f>
        <v>#DIV/0!</v>
      </c>
      <c r="BL71" s="510" t="e">
        <f>+'[1]wgl tot'!BM71+'[1]wgl tot'!BN71</f>
        <v>#DIV/0!</v>
      </c>
      <c r="BM71" s="511">
        <f t="shared" si="33"/>
        <v>1900</v>
      </c>
      <c r="BN71" s="511">
        <f t="shared" si="34"/>
        <v>1</v>
      </c>
      <c r="BO71" s="505">
        <f t="shared" si="35"/>
        <v>0</v>
      </c>
      <c r="BP71" s="480">
        <f t="shared" si="22"/>
        <v>22462</v>
      </c>
      <c r="BQ71" s="480">
        <f t="shared" ca="1" si="23"/>
        <v>43888.768521180558</v>
      </c>
      <c r="BR71" s="454"/>
      <c r="BS71" s="480"/>
      <c r="BT71" s="454"/>
      <c r="BU71" s="512"/>
      <c r="BV71" s="512"/>
      <c r="BW71" s="512"/>
      <c r="BX71" s="512"/>
      <c r="BY71" s="512"/>
      <c r="BZ71" s="512"/>
      <c r="CA71" s="444"/>
      <c r="CB71" s="444"/>
    </row>
    <row r="72" spans="1:80" s="456" customFormat="1" ht="12" customHeight="1" x14ac:dyDescent="0.2">
      <c r="A72" s="444"/>
      <c r="B72" s="445"/>
      <c r="C72" s="484"/>
      <c r="D72" s="493"/>
      <c r="E72" s="494"/>
      <c r="F72" s="495"/>
      <c r="G72" s="495"/>
      <c r="H72" s="496"/>
      <c r="I72" s="535"/>
      <c r="J72" s="495"/>
      <c r="K72" s="497"/>
      <c r="L72" s="497"/>
      <c r="M72" s="498">
        <f>IF(F72="",0,(VLOOKUP('wgl tot'!F72,saltab2019juni,G72+1,FALSE)))</f>
        <v>0</v>
      </c>
      <c r="N72" s="499">
        <f t="shared" si="0"/>
        <v>0</v>
      </c>
      <c r="O72" s="484"/>
      <c r="P72" s="498">
        <f>ROUND(IF((M72+Q72)*BD72&lt;H72*tabellen!$D$33,H72*tabellen!$D$33,(M72+R72)*BD72),2)</f>
        <v>0</v>
      </c>
      <c r="Q72" s="498">
        <f t="shared" si="26"/>
        <v>0</v>
      </c>
      <c r="R72" s="498">
        <f t="shared" si="27"/>
        <v>0</v>
      </c>
      <c r="S72" s="498">
        <f t="shared" si="28"/>
        <v>0</v>
      </c>
      <c r="T72" s="498">
        <f t="shared" si="36"/>
        <v>0</v>
      </c>
      <c r="U72" s="498">
        <f>ROUND(H72*tabellen!$D$27,2)</f>
        <v>0</v>
      </c>
      <c r="V72" s="500">
        <f t="shared" si="12"/>
        <v>0</v>
      </c>
      <c r="W72" s="499">
        <f t="shared" si="13"/>
        <v>0</v>
      </c>
      <c r="X72" s="484"/>
      <c r="Y72" s="500">
        <f t="shared" si="14"/>
        <v>0</v>
      </c>
      <c r="Z72" s="501">
        <v>0</v>
      </c>
      <c r="AA72" s="484"/>
      <c r="AB72" s="498">
        <f>IF(F72="",0,(IF(V72/H72&lt;tabellen!$E$7,0,(V72-tabellen!$E$7*H72)/12)*tabellen!$C$7))</f>
        <v>0</v>
      </c>
      <c r="AC72" s="498">
        <f>IF(F72="",0,(IF(V72/H72&lt;tabellen!$E$7,0,(V72-tabellen!$E$7*H72)/12)*tabellen!$C$8))</f>
        <v>0</v>
      </c>
      <c r="AD72" s="498">
        <f>V72/12*tabellen!$C$9</f>
        <v>0</v>
      </c>
      <c r="AE72" s="498">
        <f>IF(H72=0,0,IF(BJ72&gt;tabellen!$G$10/12,$G$10/12,BJ72)*(tabellen!$C$10+tabellen!$C$11))</f>
        <v>0</v>
      </c>
      <c r="AF72" s="498">
        <f t="shared" si="29"/>
        <v>0</v>
      </c>
      <c r="AG72" s="502">
        <f>IF(F72="",0,(IF(BJ72&gt;tabellen!$G$13*H72/12,tabellen!$G$13*H72/12,BJ72*tabellen!$C$13)))</f>
        <v>0</v>
      </c>
      <c r="AH72" s="484"/>
      <c r="AI72" s="502">
        <f>IF(F72="",0,IF(K72="j",tabellen!$C$14*BJ72,0))</f>
        <v>0</v>
      </c>
      <c r="AJ72" s="502">
        <f>IF(F72="",0,IF(L72="j",tabellen!$C$15*BJ72,0))</f>
        <v>0</v>
      </c>
      <c r="AK72" s="503">
        <v>0</v>
      </c>
      <c r="AL72" s="484"/>
      <c r="AM72" s="503">
        <v>0</v>
      </c>
      <c r="AN72" s="484"/>
      <c r="AO72" s="499">
        <f t="shared" si="15"/>
        <v>0</v>
      </c>
      <c r="AP72" s="499">
        <f t="shared" si="16"/>
        <v>0</v>
      </c>
      <c r="AQ72" s="484"/>
      <c r="AR72" s="504" t="str">
        <f t="shared" si="30"/>
        <v/>
      </c>
      <c r="AS72" s="504" t="str">
        <f t="shared" si="5"/>
        <v/>
      </c>
      <c r="AT72" s="484"/>
      <c r="AU72" s="453"/>
      <c r="AV72" s="444"/>
      <c r="AW72" s="444"/>
      <c r="AX72" s="505">
        <f t="shared" ca="1" si="17"/>
        <v>120</v>
      </c>
      <c r="AY72" s="505">
        <f t="shared" ca="1" si="18"/>
        <v>1</v>
      </c>
      <c r="AZ72" s="505">
        <f t="shared" ca="1" si="19"/>
        <v>27</v>
      </c>
      <c r="BA72" s="454">
        <f t="shared" si="31"/>
        <v>100</v>
      </c>
      <c r="BB72" s="454">
        <f t="shared" si="32"/>
        <v>0</v>
      </c>
      <c r="BC72" s="480">
        <v>42583</v>
      </c>
      <c r="BD72" s="506">
        <f t="shared" si="25"/>
        <v>0.08</v>
      </c>
      <c r="BE72" s="507">
        <f>tabellen!$D$34</f>
        <v>7.3999999999999996E-2</v>
      </c>
      <c r="BF72" s="505">
        <f t="shared" si="20"/>
        <v>0</v>
      </c>
      <c r="BG72" s="508" t="e">
        <f>IF(V72/H72&lt;tabellen!$E$7,0,(V72-tabellen!$E$7*H72)/12*tabellen!$D$7)</f>
        <v>#DIV/0!</v>
      </c>
      <c r="BH72" s="508" t="e">
        <f>IF(V72/H72&lt;tabellen!$E$8,0,(V72-tabellen!$E$8*H72)/12*tabellen!$D$8)</f>
        <v>#DIV/0!</v>
      </c>
      <c r="BI72" s="509" t="e">
        <f t="shared" si="21"/>
        <v>#DIV/0!</v>
      </c>
      <c r="BJ72" s="510" t="e">
        <f>+W72/12-'[1]wgl tot'!BL72</f>
        <v>#DIV/0!</v>
      </c>
      <c r="BK72" s="510" t="e">
        <f>ROUND(IF('[1]wgl tot'!BM72&gt;[1]tabellen!$H$11,[1]tabellen!$H$11,'[1]wgl tot'!BM72)*[1]tabellen!$C$11,2)</f>
        <v>#DIV/0!</v>
      </c>
      <c r="BL72" s="510" t="e">
        <f>+'[1]wgl tot'!BM72+'[1]wgl tot'!BN72</f>
        <v>#DIV/0!</v>
      </c>
      <c r="BM72" s="511">
        <f t="shared" si="33"/>
        <v>1900</v>
      </c>
      <c r="BN72" s="511">
        <f t="shared" si="34"/>
        <v>1</v>
      </c>
      <c r="BO72" s="505">
        <f t="shared" si="35"/>
        <v>0</v>
      </c>
      <c r="BP72" s="480">
        <f t="shared" si="22"/>
        <v>22462</v>
      </c>
      <c r="BQ72" s="480">
        <f t="shared" ca="1" si="23"/>
        <v>43888.768521180558</v>
      </c>
      <c r="BR72" s="454"/>
      <c r="BS72" s="480"/>
      <c r="BT72" s="454"/>
      <c r="BU72" s="512"/>
      <c r="BV72" s="512"/>
      <c r="BW72" s="512"/>
      <c r="BX72" s="512"/>
      <c r="BY72" s="512"/>
      <c r="BZ72" s="512"/>
      <c r="CA72" s="444"/>
      <c r="CB72" s="444"/>
    </row>
    <row r="73" spans="1:80" s="456" customFormat="1" ht="12" customHeight="1" x14ac:dyDescent="0.2">
      <c r="A73" s="444"/>
      <c r="B73" s="445"/>
      <c r="C73" s="484"/>
      <c r="D73" s="493"/>
      <c r="E73" s="494"/>
      <c r="F73" s="495"/>
      <c r="G73" s="495"/>
      <c r="H73" s="496"/>
      <c r="I73" s="535"/>
      <c r="J73" s="495"/>
      <c r="K73" s="497"/>
      <c r="L73" s="497"/>
      <c r="M73" s="498">
        <f>IF(F73="",0,(VLOOKUP('wgl tot'!F73,saltab2019juni,G73+1,FALSE)))</f>
        <v>0</v>
      </c>
      <c r="N73" s="499">
        <f t="shared" si="0"/>
        <v>0</v>
      </c>
      <c r="O73" s="484"/>
      <c r="P73" s="498">
        <f>ROUND(IF((M73+Q73)*BD73&lt;H73*tabellen!$D$33,H73*tabellen!$D$33,(M73+R73)*BD73),2)</f>
        <v>0</v>
      </c>
      <c r="Q73" s="498">
        <f t="shared" si="26"/>
        <v>0</v>
      </c>
      <c r="R73" s="498">
        <f t="shared" si="27"/>
        <v>0</v>
      </c>
      <c r="S73" s="498">
        <f t="shared" si="28"/>
        <v>0</v>
      </c>
      <c r="T73" s="498">
        <f t="shared" si="36"/>
        <v>0</v>
      </c>
      <c r="U73" s="498">
        <f>ROUND(H73*tabellen!$D$27,2)</f>
        <v>0</v>
      </c>
      <c r="V73" s="500">
        <f t="shared" si="12"/>
        <v>0</v>
      </c>
      <c r="W73" s="499">
        <f t="shared" si="13"/>
        <v>0</v>
      </c>
      <c r="X73" s="484"/>
      <c r="Y73" s="500">
        <f t="shared" si="14"/>
        <v>0</v>
      </c>
      <c r="Z73" s="501">
        <v>0</v>
      </c>
      <c r="AA73" s="484"/>
      <c r="AB73" s="498">
        <f>IF(F73="",0,(IF(V73/H73&lt;tabellen!$E$7,0,(V73-tabellen!$E$7*H73)/12)*tabellen!$C$7))</f>
        <v>0</v>
      </c>
      <c r="AC73" s="498">
        <f>IF(F73="",0,(IF(V73/H73&lt;tabellen!$E$7,0,(V73-tabellen!$E$7*H73)/12)*tabellen!$C$8))</f>
        <v>0</v>
      </c>
      <c r="AD73" s="498">
        <f>V73/12*tabellen!$C$9</f>
        <v>0</v>
      </c>
      <c r="AE73" s="498">
        <f>IF(H73=0,0,IF(BJ73&gt;tabellen!$G$10/12,$G$10/12,BJ73)*(tabellen!$C$10+tabellen!$C$11))</f>
        <v>0</v>
      </c>
      <c r="AF73" s="498">
        <f t="shared" si="29"/>
        <v>0</v>
      </c>
      <c r="AG73" s="502">
        <f>IF(F73="",0,(IF(BJ73&gt;tabellen!$G$13*H73/12,tabellen!$G$13*H73/12,BJ73*tabellen!$C$13)))</f>
        <v>0</v>
      </c>
      <c r="AH73" s="484"/>
      <c r="AI73" s="502">
        <f>IF(F73="",0,IF(K73="j",tabellen!$C$14*BJ73,0))</f>
        <v>0</v>
      </c>
      <c r="AJ73" s="502">
        <f>IF(F73="",0,IF(L73="j",tabellen!$C$15*BJ73,0))</f>
        <v>0</v>
      </c>
      <c r="AK73" s="503">
        <v>0</v>
      </c>
      <c r="AL73" s="484"/>
      <c r="AM73" s="503">
        <v>0</v>
      </c>
      <c r="AN73" s="484"/>
      <c r="AO73" s="499">
        <f t="shared" si="15"/>
        <v>0</v>
      </c>
      <c r="AP73" s="499">
        <f t="shared" si="16"/>
        <v>0</v>
      </c>
      <c r="AQ73" s="484"/>
      <c r="AR73" s="504" t="str">
        <f t="shared" si="30"/>
        <v/>
      </c>
      <c r="AS73" s="504" t="str">
        <f t="shared" si="5"/>
        <v/>
      </c>
      <c r="AT73" s="484"/>
      <c r="AU73" s="453"/>
      <c r="AV73" s="444"/>
      <c r="AW73" s="444"/>
      <c r="AX73" s="505">
        <f t="shared" ca="1" si="17"/>
        <v>120</v>
      </c>
      <c r="AY73" s="505">
        <f t="shared" ca="1" si="18"/>
        <v>1</v>
      </c>
      <c r="AZ73" s="505">
        <f t="shared" ca="1" si="19"/>
        <v>27</v>
      </c>
      <c r="BA73" s="454">
        <f t="shared" si="31"/>
        <v>100</v>
      </c>
      <c r="BB73" s="454">
        <f t="shared" si="32"/>
        <v>0</v>
      </c>
      <c r="BC73" s="480">
        <v>42583</v>
      </c>
      <c r="BD73" s="506">
        <f t="shared" si="25"/>
        <v>0.08</v>
      </c>
      <c r="BE73" s="507">
        <f>tabellen!$D$34</f>
        <v>7.3999999999999996E-2</v>
      </c>
      <c r="BF73" s="505">
        <f t="shared" si="20"/>
        <v>0</v>
      </c>
      <c r="BG73" s="508" t="e">
        <f>IF(V73/H73&lt;tabellen!$E$7,0,(V73-tabellen!$E$7*H73)/12*tabellen!$D$7)</f>
        <v>#DIV/0!</v>
      </c>
      <c r="BH73" s="508" t="e">
        <f>IF(V73/H73&lt;tabellen!$E$8,0,(V73-tabellen!$E$8*H73)/12*tabellen!$D$8)</f>
        <v>#DIV/0!</v>
      </c>
      <c r="BI73" s="509" t="e">
        <f t="shared" si="21"/>
        <v>#DIV/0!</v>
      </c>
      <c r="BJ73" s="510" t="e">
        <f>+W73/12-'[1]wgl tot'!BL73</f>
        <v>#DIV/0!</v>
      </c>
      <c r="BK73" s="510" t="e">
        <f>ROUND(IF('[1]wgl tot'!BM73&gt;[1]tabellen!$H$11,[1]tabellen!$H$11,'[1]wgl tot'!BM73)*[1]tabellen!$C$11,2)</f>
        <v>#DIV/0!</v>
      </c>
      <c r="BL73" s="510" t="e">
        <f>+'[1]wgl tot'!BM73+'[1]wgl tot'!BN73</f>
        <v>#DIV/0!</v>
      </c>
      <c r="BM73" s="511">
        <f t="shared" si="33"/>
        <v>1900</v>
      </c>
      <c r="BN73" s="511">
        <f t="shared" si="34"/>
        <v>1</v>
      </c>
      <c r="BO73" s="505">
        <f t="shared" si="35"/>
        <v>0</v>
      </c>
      <c r="BP73" s="480">
        <f t="shared" si="22"/>
        <v>22462</v>
      </c>
      <c r="BQ73" s="480">
        <f t="shared" ca="1" si="23"/>
        <v>43888.768521180558</v>
      </c>
      <c r="BR73" s="454"/>
      <c r="BS73" s="480"/>
      <c r="BT73" s="454"/>
      <c r="BU73" s="512"/>
      <c r="BV73" s="512"/>
      <c r="BW73" s="512"/>
      <c r="BX73" s="512"/>
      <c r="BY73" s="512"/>
      <c r="BZ73" s="512"/>
      <c r="CA73" s="444"/>
      <c r="CB73" s="444"/>
    </row>
    <row r="74" spans="1:80" s="456" customFormat="1" ht="12" customHeight="1" x14ac:dyDescent="0.2">
      <c r="A74" s="444"/>
      <c r="B74" s="445"/>
      <c r="C74" s="484"/>
      <c r="D74" s="493"/>
      <c r="E74" s="494"/>
      <c r="F74" s="495"/>
      <c r="G74" s="495"/>
      <c r="H74" s="496"/>
      <c r="I74" s="535"/>
      <c r="J74" s="495"/>
      <c r="K74" s="497"/>
      <c r="L74" s="497"/>
      <c r="M74" s="498">
        <f>IF(F74="",0,(VLOOKUP('wgl tot'!F74,saltab2019juni,G74+1,FALSE)))</f>
        <v>0</v>
      </c>
      <c r="N74" s="499">
        <f t="shared" si="0"/>
        <v>0</v>
      </c>
      <c r="O74" s="484"/>
      <c r="P74" s="498">
        <f>ROUND(IF((M74+Q74)*BD74&lt;H74*tabellen!$D$33,H74*tabellen!$D$33,(M74+R74)*BD74),2)</f>
        <v>0</v>
      </c>
      <c r="Q74" s="498">
        <f t="shared" si="26"/>
        <v>0</v>
      </c>
      <c r="R74" s="498">
        <f t="shared" si="27"/>
        <v>0</v>
      </c>
      <c r="S74" s="498">
        <f t="shared" si="28"/>
        <v>0</v>
      </c>
      <c r="T74" s="498">
        <f t="shared" si="36"/>
        <v>0</v>
      </c>
      <c r="U74" s="498">
        <f>ROUND(H74*tabellen!$D$27,2)</f>
        <v>0</v>
      </c>
      <c r="V74" s="500">
        <f t="shared" si="12"/>
        <v>0</v>
      </c>
      <c r="W74" s="499">
        <f t="shared" si="13"/>
        <v>0</v>
      </c>
      <c r="X74" s="484"/>
      <c r="Y74" s="500">
        <f t="shared" si="14"/>
        <v>0</v>
      </c>
      <c r="Z74" s="501">
        <v>0</v>
      </c>
      <c r="AA74" s="484"/>
      <c r="AB74" s="498">
        <f>IF(F74="",0,(IF(V74/H74&lt;tabellen!$E$7,0,(V74-tabellen!$E$7*H74)/12)*tabellen!$C$7))</f>
        <v>0</v>
      </c>
      <c r="AC74" s="498">
        <f>IF(F74="",0,(IF(V74/H74&lt;tabellen!$E$7,0,(V74-tabellen!$E$7*H74)/12)*tabellen!$C$8))</f>
        <v>0</v>
      </c>
      <c r="AD74" s="498">
        <f>V74/12*tabellen!$C$9</f>
        <v>0</v>
      </c>
      <c r="AE74" s="498">
        <f>IF(H74=0,0,IF(BJ74&gt;tabellen!$G$10/12,$G$10/12,BJ74)*(tabellen!$C$10+tabellen!$C$11))</f>
        <v>0</v>
      </c>
      <c r="AF74" s="498">
        <f t="shared" si="29"/>
        <v>0</v>
      </c>
      <c r="AG74" s="502">
        <f>IF(F74="",0,(IF(BJ74&gt;tabellen!$G$13*H74/12,tabellen!$G$13*H74/12,BJ74*tabellen!$C$13)))</f>
        <v>0</v>
      </c>
      <c r="AH74" s="484"/>
      <c r="AI74" s="502">
        <f>IF(F74="",0,IF(K74="j",tabellen!$C$14*BJ74,0))</f>
        <v>0</v>
      </c>
      <c r="AJ74" s="502">
        <f>IF(F74="",0,IF(L74="j",tabellen!$C$15*BJ74,0))</f>
        <v>0</v>
      </c>
      <c r="AK74" s="503">
        <v>0</v>
      </c>
      <c r="AL74" s="484"/>
      <c r="AM74" s="503">
        <v>0</v>
      </c>
      <c r="AN74" s="484"/>
      <c r="AO74" s="499">
        <f t="shared" si="15"/>
        <v>0</v>
      </c>
      <c r="AP74" s="499">
        <f t="shared" si="16"/>
        <v>0</v>
      </c>
      <c r="AQ74" s="484"/>
      <c r="AR74" s="504" t="str">
        <f t="shared" si="30"/>
        <v/>
      </c>
      <c r="AS74" s="504" t="str">
        <f t="shared" si="5"/>
        <v/>
      </c>
      <c r="AT74" s="484"/>
      <c r="AU74" s="453"/>
      <c r="AV74" s="444"/>
      <c r="AW74" s="444"/>
      <c r="AX74" s="505">
        <f t="shared" ca="1" si="17"/>
        <v>120</v>
      </c>
      <c r="AY74" s="505">
        <f t="shared" ca="1" si="18"/>
        <v>1</v>
      </c>
      <c r="AZ74" s="505">
        <f t="shared" ca="1" si="19"/>
        <v>27</v>
      </c>
      <c r="BA74" s="454">
        <f t="shared" si="31"/>
        <v>100</v>
      </c>
      <c r="BB74" s="454">
        <f t="shared" si="32"/>
        <v>0</v>
      </c>
      <c r="BC74" s="480">
        <v>42583</v>
      </c>
      <c r="BD74" s="506">
        <f t="shared" si="25"/>
        <v>0.08</v>
      </c>
      <c r="BE74" s="507">
        <f>tabellen!$D$34</f>
        <v>7.3999999999999996E-2</v>
      </c>
      <c r="BF74" s="505">
        <f t="shared" si="20"/>
        <v>0</v>
      </c>
      <c r="BG74" s="508" t="e">
        <f>IF(V74/H74&lt;tabellen!$E$7,0,(V74-tabellen!$E$7*H74)/12*tabellen!$D$7)</f>
        <v>#DIV/0!</v>
      </c>
      <c r="BH74" s="508" t="e">
        <f>IF(V74/H74&lt;tabellen!$E$8,0,(V74-tabellen!$E$8*H74)/12*tabellen!$D$8)</f>
        <v>#DIV/0!</v>
      </c>
      <c r="BI74" s="509" t="e">
        <f t="shared" si="21"/>
        <v>#DIV/0!</v>
      </c>
      <c r="BJ74" s="510" t="e">
        <f>+W74/12-'[1]wgl tot'!BL74</f>
        <v>#DIV/0!</v>
      </c>
      <c r="BK74" s="510" t="e">
        <f>ROUND(IF('[1]wgl tot'!BM74&gt;[1]tabellen!$H$11,[1]tabellen!$H$11,'[1]wgl tot'!BM74)*[1]tabellen!$C$11,2)</f>
        <v>#DIV/0!</v>
      </c>
      <c r="BL74" s="510" t="e">
        <f>+'[1]wgl tot'!BM74+'[1]wgl tot'!BN74</f>
        <v>#DIV/0!</v>
      </c>
      <c r="BM74" s="511">
        <f t="shared" si="33"/>
        <v>1900</v>
      </c>
      <c r="BN74" s="511">
        <f t="shared" si="34"/>
        <v>1</v>
      </c>
      <c r="BO74" s="505">
        <f t="shared" si="35"/>
        <v>0</v>
      </c>
      <c r="BP74" s="480">
        <f t="shared" si="22"/>
        <v>22462</v>
      </c>
      <c r="BQ74" s="480">
        <f t="shared" ca="1" si="23"/>
        <v>43888.768521180558</v>
      </c>
      <c r="BR74" s="454"/>
      <c r="BS74" s="480"/>
      <c r="BT74" s="454"/>
      <c r="BU74" s="512"/>
      <c r="BV74" s="512"/>
      <c r="BW74" s="512"/>
      <c r="BX74" s="512"/>
      <c r="BY74" s="512"/>
      <c r="BZ74" s="512"/>
      <c r="CA74" s="444"/>
      <c r="CB74" s="444"/>
    </row>
    <row r="75" spans="1:80" s="456" customFormat="1" ht="12" customHeight="1" x14ac:dyDescent="0.2">
      <c r="A75" s="444"/>
      <c r="B75" s="445"/>
      <c r="C75" s="484"/>
      <c r="D75" s="493"/>
      <c r="E75" s="494"/>
      <c r="F75" s="495"/>
      <c r="G75" s="495"/>
      <c r="H75" s="496"/>
      <c r="I75" s="535"/>
      <c r="J75" s="495"/>
      <c r="K75" s="497"/>
      <c r="L75" s="497"/>
      <c r="M75" s="498">
        <f>IF(F75="",0,(VLOOKUP('wgl tot'!F75,saltab2019juni,G75+1,FALSE)))</f>
        <v>0</v>
      </c>
      <c r="N75" s="499">
        <f t="shared" si="0"/>
        <v>0</v>
      </c>
      <c r="O75" s="484"/>
      <c r="P75" s="498">
        <f>ROUND(IF((M75+Q75)*BD75&lt;H75*tabellen!$D$33,H75*tabellen!$D$33,(M75+R75)*BD75),2)</f>
        <v>0</v>
      </c>
      <c r="Q75" s="498">
        <f t="shared" si="26"/>
        <v>0</v>
      </c>
      <c r="R75" s="498">
        <f t="shared" si="27"/>
        <v>0</v>
      </c>
      <c r="S75" s="498">
        <f t="shared" si="28"/>
        <v>0</v>
      </c>
      <c r="T75" s="498">
        <f t="shared" si="36"/>
        <v>0</v>
      </c>
      <c r="U75" s="498">
        <f>ROUND(H75*tabellen!$D$27,2)</f>
        <v>0</v>
      </c>
      <c r="V75" s="500">
        <f t="shared" si="12"/>
        <v>0</v>
      </c>
      <c r="W75" s="499">
        <f t="shared" si="13"/>
        <v>0</v>
      </c>
      <c r="X75" s="484"/>
      <c r="Y75" s="500">
        <f t="shared" si="14"/>
        <v>0</v>
      </c>
      <c r="Z75" s="501">
        <v>0</v>
      </c>
      <c r="AA75" s="484"/>
      <c r="AB75" s="498">
        <f>IF(F75="",0,(IF(V75/H75&lt;tabellen!$E$7,0,(V75-tabellen!$E$7*H75)/12)*tabellen!$C$7))</f>
        <v>0</v>
      </c>
      <c r="AC75" s="498">
        <f>IF(F75="",0,(IF(V75/H75&lt;tabellen!$E$7,0,(V75-tabellen!$E$7*H75)/12)*tabellen!$C$8))</f>
        <v>0</v>
      </c>
      <c r="AD75" s="498">
        <f>V75/12*tabellen!$C$9</f>
        <v>0</v>
      </c>
      <c r="AE75" s="498">
        <f>IF(H75=0,0,IF(BJ75&gt;tabellen!$G$10/12,$G$10/12,BJ75)*(tabellen!$C$10+tabellen!$C$11))</f>
        <v>0</v>
      </c>
      <c r="AF75" s="498">
        <f t="shared" si="29"/>
        <v>0</v>
      </c>
      <c r="AG75" s="502">
        <f>IF(F75="",0,(IF(BJ75&gt;tabellen!$G$13*H75/12,tabellen!$G$13*H75/12,BJ75*tabellen!$C$13)))</f>
        <v>0</v>
      </c>
      <c r="AH75" s="484"/>
      <c r="AI75" s="502">
        <f>IF(F75="",0,IF(K75="j",tabellen!$C$14*BJ75,0))</f>
        <v>0</v>
      </c>
      <c r="AJ75" s="502">
        <f>IF(F75="",0,IF(L75="j",tabellen!$C$15*BJ75,0))</f>
        <v>0</v>
      </c>
      <c r="AK75" s="503">
        <v>0</v>
      </c>
      <c r="AL75" s="484"/>
      <c r="AM75" s="503">
        <v>0</v>
      </c>
      <c r="AN75" s="484"/>
      <c r="AO75" s="499">
        <f t="shared" si="15"/>
        <v>0</v>
      </c>
      <c r="AP75" s="499">
        <f t="shared" si="16"/>
        <v>0</v>
      </c>
      <c r="AQ75" s="484"/>
      <c r="AR75" s="504" t="str">
        <f t="shared" si="30"/>
        <v/>
      </c>
      <c r="AS75" s="504" t="str">
        <f t="shared" si="5"/>
        <v/>
      </c>
      <c r="AT75" s="484"/>
      <c r="AU75" s="453"/>
      <c r="AV75" s="444"/>
      <c r="AW75" s="444"/>
      <c r="AX75" s="505">
        <f t="shared" ca="1" si="17"/>
        <v>120</v>
      </c>
      <c r="AY75" s="505">
        <f t="shared" ca="1" si="18"/>
        <v>1</v>
      </c>
      <c r="AZ75" s="505">
        <f t="shared" ca="1" si="19"/>
        <v>27</v>
      </c>
      <c r="BA75" s="454">
        <f t="shared" si="31"/>
        <v>100</v>
      </c>
      <c r="BB75" s="454">
        <f t="shared" si="32"/>
        <v>0</v>
      </c>
      <c r="BC75" s="480">
        <v>42583</v>
      </c>
      <c r="BD75" s="506">
        <f t="shared" si="25"/>
        <v>0.08</v>
      </c>
      <c r="BE75" s="507">
        <f>tabellen!$D$34</f>
        <v>7.3999999999999996E-2</v>
      </c>
      <c r="BF75" s="505">
        <f t="shared" si="20"/>
        <v>0</v>
      </c>
      <c r="BG75" s="508" t="e">
        <f>IF(V75/H75&lt;tabellen!$E$7,0,(V75-tabellen!$E$7*H75)/12*tabellen!$D$7)</f>
        <v>#DIV/0!</v>
      </c>
      <c r="BH75" s="508" t="e">
        <f>IF(V75/H75&lt;tabellen!$E$8,0,(V75-tabellen!$E$8*H75)/12*tabellen!$D$8)</f>
        <v>#DIV/0!</v>
      </c>
      <c r="BI75" s="509" t="e">
        <f t="shared" si="21"/>
        <v>#DIV/0!</v>
      </c>
      <c r="BJ75" s="510" t="e">
        <f>+W75/12-'[1]wgl tot'!BL75</f>
        <v>#DIV/0!</v>
      </c>
      <c r="BK75" s="510" t="e">
        <f>ROUND(IF('[1]wgl tot'!BM75&gt;[1]tabellen!$H$11,[1]tabellen!$H$11,'[1]wgl tot'!BM75)*[1]tabellen!$C$11,2)</f>
        <v>#DIV/0!</v>
      </c>
      <c r="BL75" s="510" t="e">
        <f>+'[1]wgl tot'!BM75+'[1]wgl tot'!BN75</f>
        <v>#DIV/0!</v>
      </c>
      <c r="BM75" s="511">
        <f t="shared" si="33"/>
        <v>1900</v>
      </c>
      <c r="BN75" s="511">
        <f t="shared" si="34"/>
        <v>1</v>
      </c>
      <c r="BO75" s="505">
        <f t="shared" si="35"/>
        <v>0</v>
      </c>
      <c r="BP75" s="480">
        <f t="shared" si="22"/>
        <v>22462</v>
      </c>
      <c r="BQ75" s="480">
        <f t="shared" ca="1" si="23"/>
        <v>43888.768521180558</v>
      </c>
      <c r="BR75" s="454"/>
      <c r="BS75" s="480"/>
      <c r="BT75" s="454"/>
      <c r="BU75" s="512"/>
      <c r="BV75" s="512"/>
      <c r="BW75" s="512"/>
      <c r="BX75" s="512"/>
      <c r="BY75" s="512"/>
      <c r="BZ75" s="512"/>
      <c r="CA75" s="444"/>
      <c r="CB75" s="444"/>
    </row>
    <row r="76" spans="1:80" s="456" customFormat="1" ht="12" customHeight="1" x14ac:dyDescent="0.2">
      <c r="A76" s="444"/>
      <c r="B76" s="445"/>
      <c r="C76" s="484"/>
      <c r="D76" s="493"/>
      <c r="E76" s="494"/>
      <c r="F76" s="495"/>
      <c r="G76" s="495"/>
      <c r="H76" s="496"/>
      <c r="I76" s="535"/>
      <c r="J76" s="495"/>
      <c r="K76" s="497"/>
      <c r="L76" s="497"/>
      <c r="M76" s="498">
        <f>IF(F76="",0,(VLOOKUP('wgl tot'!F76,saltab2019juni,G76+1,FALSE)))</f>
        <v>0</v>
      </c>
      <c r="N76" s="499">
        <f t="shared" ref="N76:N86" si="37">M76*H76</f>
        <v>0</v>
      </c>
      <c r="O76" s="484"/>
      <c r="P76" s="498">
        <f>ROUND(IF((M76+Q76)*BD76&lt;H76*tabellen!$D$33,H76*tabellen!$D$33,(M76+R76)*BD76),2)</f>
        <v>0</v>
      </c>
      <c r="Q76" s="498">
        <f t="shared" ref="Q76:Q86" si="38">ROUND(+(M76+R76)*BE76,2)</f>
        <v>0</v>
      </c>
      <c r="R76" s="498">
        <f t="shared" ref="R76:R86" si="39">ROUND(IF(J76="j",VLOOKUP(BB76,uitlooptoeslag,2,FALSE))*IF(H76&gt;1,1,H76),2)</f>
        <v>0</v>
      </c>
      <c r="S76" s="498">
        <f t="shared" ref="S76:S86" si="40">VLOOKUP(BF76,eindejaarsuitkering_OOP,2,TRUE)*H76/12</f>
        <v>0</v>
      </c>
      <c r="T76" s="498">
        <f t="shared" si="36"/>
        <v>0</v>
      </c>
      <c r="U76" s="498">
        <f>ROUND(H76*tabellen!$D$27,2)</f>
        <v>0</v>
      </c>
      <c r="V76" s="500">
        <f t="shared" si="12"/>
        <v>0</v>
      </c>
      <c r="W76" s="499">
        <f t="shared" si="13"/>
        <v>0</v>
      </c>
      <c r="X76" s="484"/>
      <c r="Y76" s="500">
        <f t="shared" si="14"/>
        <v>0</v>
      </c>
      <c r="Z76" s="501">
        <v>0</v>
      </c>
      <c r="AA76" s="484"/>
      <c r="AB76" s="498">
        <f>IF(F76="",0,(IF(V76/H76&lt;tabellen!$E$7,0,(V76-tabellen!$E$7*H76)/12)*tabellen!$C$7))</f>
        <v>0</v>
      </c>
      <c r="AC76" s="498">
        <f>IF(F76="",0,(IF(V76/H76&lt;tabellen!$E$7,0,(V76-tabellen!$E$7*H76)/12)*tabellen!$C$8))</f>
        <v>0</v>
      </c>
      <c r="AD76" s="498">
        <f>V76/12*tabellen!$C$9</f>
        <v>0</v>
      </c>
      <c r="AE76" s="498">
        <f>IF(H76=0,0,IF(BJ76&gt;tabellen!$G$10/12,$G$10/12,BJ76)*(tabellen!$C$10+tabellen!$C$11))</f>
        <v>0</v>
      </c>
      <c r="AF76" s="498">
        <f t="shared" ref="AF76:AF86" si="41">IF(F76="",0,BK76)</f>
        <v>0</v>
      </c>
      <c r="AG76" s="502">
        <f>IF(F76="",0,(IF(BJ76&gt;tabellen!$G$13*H76/12,tabellen!$G$13*H76/12,BJ76*tabellen!$C$13)))</f>
        <v>0</v>
      </c>
      <c r="AH76" s="484"/>
      <c r="AI76" s="502">
        <f>IF(F76="",0,IF(K76="j",tabellen!$C$14*BJ76,0))</f>
        <v>0</v>
      </c>
      <c r="AJ76" s="502">
        <f>IF(F76="",0,IF(L76="j",tabellen!$C$15*BJ76,0))</f>
        <v>0</v>
      </c>
      <c r="AK76" s="503">
        <v>0</v>
      </c>
      <c r="AL76" s="484"/>
      <c r="AM76" s="503">
        <v>0</v>
      </c>
      <c r="AN76" s="484"/>
      <c r="AO76" s="499">
        <f t="shared" si="15"/>
        <v>0</v>
      </c>
      <c r="AP76" s="499">
        <f t="shared" si="16"/>
        <v>0</v>
      </c>
      <c r="AQ76" s="484"/>
      <c r="AR76" s="504" t="str">
        <f t="shared" ref="AR76:AR86" si="42">IF(AO76=0,"",(AO76/N76-1))</f>
        <v/>
      </c>
      <c r="AS76" s="504" t="str">
        <f t="shared" ref="AS76:AS86" si="43">IF(AO76=0,"",(AO76/(W76/12))-1)</f>
        <v/>
      </c>
      <c r="AT76" s="484"/>
      <c r="AU76" s="453"/>
      <c r="AV76" s="444"/>
      <c r="AW76" s="444"/>
      <c r="AX76" s="505">
        <f t="shared" ca="1" si="17"/>
        <v>120</v>
      </c>
      <c r="AY76" s="505">
        <f t="shared" ca="1" si="18"/>
        <v>1</v>
      </c>
      <c r="AZ76" s="505">
        <f t="shared" ca="1" si="19"/>
        <v>27</v>
      </c>
      <c r="BA76" s="454">
        <f t="shared" ref="BA76:BA86" si="44">IF(AND(F76&gt;0,F76&lt;18),0,100)</f>
        <v>100</v>
      </c>
      <c r="BB76" s="454">
        <f t="shared" ref="BB76:BB86" si="45">F76</f>
        <v>0</v>
      </c>
      <c r="BC76" s="480">
        <v>42583</v>
      </c>
      <c r="BD76" s="506">
        <f t="shared" si="25"/>
        <v>0.08</v>
      </c>
      <c r="BE76" s="507">
        <f>tabellen!$D$34</f>
        <v>7.3999999999999996E-2</v>
      </c>
      <c r="BF76" s="505">
        <f t="shared" si="20"/>
        <v>0</v>
      </c>
      <c r="BG76" s="508" t="e">
        <f>IF(V76/H76&lt;tabellen!$E$7,0,(V76-tabellen!$E$7*H76)/12*tabellen!$D$7)</f>
        <v>#DIV/0!</v>
      </c>
      <c r="BH76" s="508" t="e">
        <f>IF(V76/H76&lt;tabellen!$E$8,0,(V76-tabellen!$E$8*H76)/12*tabellen!$D$8)</f>
        <v>#DIV/0!</v>
      </c>
      <c r="BI76" s="509" t="e">
        <f t="shared" si="21"/>
        <v>#DIV/0!</v>
      </c>
      <c r="BJ76" s="510" t="e">
        <f>+W76/12-'[1]wgl tot'!BL76</f>
        <v>#DIV/0!</v>
      </c>
      <c r="BK76" s="510" t="e">
        <f>ROUND(IF('[1]wgl tot'!BM76&gt;[1]tabellen!$H$11,[1]tabellen!$H$11,'[1]wgl tot'!BM76)*[1]tabellen!$C$11,2)</f>
        <v>#DIV/0!</v>
      </c>
      <c r="BL76" s="510" t="e">
        <f>+'[1]wgl tot'!BM76+'[1]wgl tot'!BN76</f>
        <v>#DIV/0!</v>
      </c>
      <c r="BM76" s="511">
        <f t="shared" ref="BM76:BM86" si="46">YEAR(E76)</f>
        <v>1900</v>
      </c>
      <c r="BN76" s="511">
        <f t="shared" ref="BN76:BN86" si="47">MONTH(E76)</f>
        <v>1</v>
      </c>
      <c r="BO76" s="505">
        <f t="shared" ref="BO76:BO86" si="48">DAY(E76)</f>
        <v>0</v>
      </c>
      <c r="BP76" s="480">
        <f t="shared" si="22"/>
        <v>22462</v>
      </c>
      <c r="BQ76" s="480">
        <f t="shared" ca="1" si="23"/>
        <v>43888.768521180558</v>
      </c>
      <c r="BR76" s="454"/>
      <c r="BS76" s="480"/>
      <c r="BT76" s="454"/>
      <c r="BU76" s="512"/>
      <c r="BV76" s="512"/>
      <c r="BW76" s="512"/>
      <c r="BX76" s="512"/>
      <c r="BY76" s="512"/>
      <c r="BZ76" s="512"/>
      <c r="CA76" s="444"/>
      <c r="CB76" s="444"/>
    </row>
    <row r="77" spans="1:80" s="456" customFormat="1" ht="12" customHeight="1" x14ac:dyDescent="0.2">
      <c r="A77" s="444"/>
      <c r="B77" s="445"/>
      <c r="C77" s="484"/>
      <c r="D77" s="493"/>
      <c r="E77" s="494"/>
      <c r="F77" s="495"/>
      <c r="G77" s="495"/>
      <c r="H77" s="496"/>
      <c r="I77" s="535"/>
      <c r="J77" s="495"/>
      <c r="K77" s="497"/>
      <c r="L77" s="497"/>
      <c r="M77" s="498">
        <f>IF(F77="",0,(VLOOKUP('wgl tot'!F77,saltab2019juni,G77+1,FALSE)))</f>
        <v>0</v>
      </c>
      <c r="N77" s="499">
        <f t="shared" si="37"/>
        <v>0</v>
      </c>
      <c r="O77" s="484"/>
      <c r="P77" s="498">
        <f>ROUND(IF((M77+Q77)*BD77&lt;H77*tabellen!$D$33,H77*tabellen!$D$33,(M77+R77)*BD77),2)</f>
        <v>0</v>
      </c>
      <c r="Q77" s="498">
        <f t="shared" si="38"/>
        <v>0</v>
      </c>
      <c r="R77" s="498">
        <f t="shared" si="39"/>
        <v>0</v>
      </c>
      <c r="S77" s="498">
        <f t="shared" si="40"/>
        <v>0</v>
      </c>
      <c r="T77" s="498">
        <f t="shared" si="36"/>
        <v>0</v>
      </c>
      <c r="U77" s="498">
        <f>ROUND(H77*tabellen!$D$27,2)</f>
        <v>0</v>
      </c>
      <c r="V77" s="500">
        <f t="shared" ref="V77:V86" si="49">ROUND(((SUM(N77:T77)*12)+U77),0)</f>
        <v>0</v>
      </c>
      <c r="W77" s="499">
        <f t="shared" ref="W77:W86" si="50">ROUND((SUM(N77:T77)*12),0)</f>
        <v>0</v>
      </c>
      <c r="X77" s="484"/>
      <c r="Y77" s="500">
        <f t="shared" ref="Y77:Y86" si="51">W77/12</f>
        <v>0</v>
      </c>
      <c r="Z77" s="501">
        <v>0</v>
      </c>
      <c r="AA77" s="484"/>
      <c r="AB77" s="498">
        <f>IF(F77="",0,(IF(V77/H77&lt;tabellen!$E$7,0,(V77-tabellen!$E$7*H77)/12)*tabellen!$C$7))</f>
        <v>0</v>
      </c>
      <c r="AC77" s="498">
        <f>IF(F77="",0,(IF(V77/H77&lt;tabellen!$E$7,0,(V77-tabellen!$E$7*H77)/12)*tabellen!$C$8))</f>
        <v>0</v>
      </c>
      <c r="AD77" s="498">
        <f>V77/12*tabellen!$C$9</f>
        <v>0</v>
      </c>
      <c r="AE77" s="498">
        <f>IF(H77=0,0,IF(BJ77&gt;tabellen!$G$10/12,$G$10/12,BJ77)*(tabellen!$C$10+tabellen!$C$11))</f>
        <v>0</v>
      </c>
      <c r="AF77" s="498">
        <f t="shared" si="41"/>
        <v>0</v>
      </c>
      <c r="AG77" s="502">
        <f>IF(F77="",0,(IF(BJ77&gt;tabellen!$G$13*H77/12,tabellen!$G$13*H77/12,BJ77*tabellen!$C$13)))</f>
        <v>0</v>
      </c>
      <c r="AH77" s="484"/>
      <c r="AI77" s="502">
        <f>IF(F77="",0,IF(K77="j",tabellen!$C$14*BJ77,0))</f>
        <v>0</v>
      </c>
      <c r="AJ77" s="502">
        <f>IF(F77="",0,IF(L77="j",tabellen!$C$15*BJ77,0))</f>
        <v>0</v>
      </c>
      <c r="AK77" s="503">
        <v>0</v>
      </c>
      <c r="AL77" s="484"/>
      <c r="AM77" s="503">
        <v>0</v>
      </c>
      <c r="AN77" s="484"/>
      <c r="AO77" s="499">
        <f t="shared" ref="AO77:AO86" si="52">SUM(Y77:AM77)</f>
        <v>0</v>
      </c>
      <c r="AP77" s="499">
        <f t="shared" ref="AP77:AP86" si="53">AO77*12</f>
        <v>0</v>
      </c>
      <c r="AQ77" s="484"/>
      <c r="AR77" s="504" t="str">
        <f t="shared" si="42"/>
        <v/>
      </c>
      <c r="AS77" s="504" t="str">
        <f t="shared" si="43"/>
        <v/>
      </c>
      <c r="AT77" s="484"/>
      <c r="AU77" s="453"/>
      <c r="AV77" s="444"/>
      <c r="AW77" s="444"/>
      <c r="AX77" s="505">
        <f t="shared" ref="AX77:AX86" ca="1" si="54">YEAR($AX$9)-YEAR(E77)</f>
        <v>120</v>
      </c>
      <c r="AY77" s="505">
        <f t="shared" ref="AY77:AY86" ca="1" si="55">MONTH($AX$9)-MONTH(E77)</f>
        <v>1</v>
      </c>
      <c r="AZ77" s="505">
        <f t="shared" ref="AZ77:AZ86" ca="1" si="56">DAY($AX$9)-DAY(E77)</f>
        <v>27</v>
      </c>
      <c r="BA77" s="454">
        <f t="shared" si="44"/>
        <v>100</v>
      </c>
      <c r="BB77" s="454">
        <f t="shared" si="45"/>
        <v>0</v>
      </c>
      <c r="BC77" s="480">
        <v>42583</v>
      </c>
      <c r="BD77" s="506">
        <f t="shared" si="25"/>
        <v>0.08</v>
      </c>
      <c r="BE77" s="507">
        <f>tabellen!$D$34</f>
        <v>7.3999999999999996E-2</v>
      </c>
      <c r="BF77" s="505">
        <f t="shared" ref="BF77:BF86" si="57">IF(BA77=100,0,F77)</f>
        <v>0</v>
      </c>
      <c r="BG77" s="508" t="e">
        <f>IF(V77/H77&lt;tabellen!$E$7,0,(V77-tabellen!$E$7*H77)/12*tabellen!$D$7)</f>
        <v>#DIV/0!</v>
      </c>
      <c r="BH77" s="508" t="e">
        <f>IF(V77/H77&lt;tabellen!$E$8,0,(V77-tabellen!$E$8*H77)/12*tabellen!$D$8)</f>
        <v>#DIV/0!</v>
      </c>
      <c r="BI77" s="509" t="e">
        <f t="shared" ref="BI77:BI86" si="58">SUM(BG77:BH77)</f>
        <v>#DIV/0!</v>
      </c>
      <c r="BJ77" s="510" t="e">
        <f>+W77/12-'[1]wgl tot'!BL77</f>
        <v>#DIV/0!</v>
      </c>
      <c r="BK77" s="510" t="e">
        <f>ROUND(IF('[1]wgl tot'!BM77&gt;[1]tabellen!$H$11,[1]tabellen!$H$11,'[1]wgl tot'!BM77)*[1]tabellen!$C$11,2)</f>
        <v>#DIV/0!</v>
      </c>
      <c r="BL77" s="510" t="e">
        <f>+'[1]wgl tot'!BM77+'[1]wgl tot'!BN77</f>
        <v>#DIV/0!</v>
      </c>
      <c r="BM77" s="511">
        <f t="shared" si="46"/>
        <v>1900</v>
      </c>
      <c r="BN77" s="511">
        <f t="shared" si="47"/>
        <v>1</v>
      </c>
      <c r="BO77" s="505">
        <f t="shared" si="48"/>
        <v>0</v>
      </c>
      <c r="BP77" s="480">
        <f t="shared" si="22"/>
        <v>22462</v>
      </c>
      <c r="BQ77" s="480">
        <f t="shared" ca="1" si="23"/>
        <v>43888.768521180558</v>
      </c>
      <c r="BR77" s="454"/>
      <c r="BS77" s="480"/>
      <c r="BT77" s="454"/>
      <c r="BU77" s="512"/>
      <c r="BV77" s="512"/>
      <c r="BW77" s="512"/>
      <c r="BX77" s="512"/>
      <c r="BY77" s="512"/>
      <c r="BZ77" s="512"/>
      <c r="CA77" s="444"/>
      <c r="CB77" s="444"/>
    </row>
    <row r="78" spans="1:80" s="456" customFormat="1" ht="12" customHeight="1" x14ac:dyDescent="0.2">
      <c r="A78" s="444"/>
      <c r="B78" s="445"/>
      <c r="C78" s="484"/>
      <c r="D78" s="493"/>
      <c r="E78" s="494"/>
      <c r="F78" s="495"/>
      <c r="G78" s="495"/>
      <c r="H78" s="496"/>
      <c r="I78" s="535"/>
      <c r="J78" s="495"/>
      <c r="K78" s="497"/>
      <c r="L78" s="497"/>
      <c r="M78" s="498">
        <f>IF(F78="",0,(VLOOKUP('wgl tot'!F78,saltab2019juni,G78+1,FALSE)))</f>
        <v>0</v>
      </c>
      <c r="N78" s="499">
        <f t="shared" si="37"/>
        <v>0</v>
      </c>
      <c r="O78" s="484"/>
      <c r="P78" s="498">
        <f>ROUND(IF((M78+Q78)*BD78&lt;H78*tabellen!$D$33,H78*tabellen!$D$33,(M78+R78)*BD78),2)</f>
        <v>0</v>
      </c>
      <c r="Q78" s="498">
        <f t="shared" si="38"/>
        <v>0</v>
      </c>
      <c r="R78" s="498">
        <f t="shared" si="39"/>
        <v>0</v>
      </c>
      <c r="S78" s="498">
        <f t="shared" si="40"/>
        <v>0</v>
      </c>
      <c r="T78" s="498">
        <f t="shared" ref="T78:T86" si="59">ROUND(IF(I78="",0,VLOOKUP(I78,bindingstoelage,3,FALSE))*IF(H78&gt;1,1,H78),I78)</f>
        <v>0</v>
      </c>
      <c r="U78" s="498">
        <f>ROUND(H78*tabellen!$D$27,2)</f>
        <v>0</v>
      </c>
      <c r="V78" s="500">
        <f t="shared" si="49"/>
        <v>0</v>
      </c>
      <c r="W78" s="499">
        <f t="shared" si="50"/>
        <v>0</v>
      </c>
      <c r="X78" s="484"/>
      <c r="Y78" s="500">
        <f t="shared" si="51"/>
        <v>0</v>
      </c>
      <c r="Z78" s="501">
        <v>0</v>
      </c>
      <c r="AA78" s="484"/>
      <c r="AB78" s="498">
        <f>IF(F78="",0,(IF(V78/H78&lt;tabellen!$E$7,0,(V78-tabellen!$E$7*H78)/12)*tabellen!$C$7))</f>
        <v>0</v>
      </c>
      <c r="AC78" s="498">
        <f>IF(F78="",0,(IF(V78/H78&lt;tabellen!$E$7,0,(V78-tabellen!$E$7*H78)/12)*tabellen!$C$8))</f>
        <v>0</v>
      </c>
      <c r="AD78" s="498">
        <f>V78/12*tabellen!$C$9</f>
        <v>0</v>
      </c>
      <c r="AE78" s="498">
        <f>IF(H78=0,0,IF(BJ78&gt;tabellen!$G$10/12,$G$10/12,BJ78)*(tabellen!$C$10+tabellen!$C$11))</f>
        <v>0</v>
      </c>
      <c r="AF78" s="498">
        <f t="shared" si="41"/>
        <v>0</v>
      </c>
      <c r="AG78" s="502">
        <f>IF(F78="",0,(IF(BJ78&gt;tabellen!$G$13*H78/12,tabellen!$G$13*H78/12,BJ78*tabellen!$C$13)))</f>
        <v>0</v>
      </c>
      <c r="AH78" s="484"/>
      <c r="AI78" s="502">
        <f>IF(F78="",0,IF(K78="j",tabellen!$C$14*BJ78,0))</f>
        <v>0</v>
      </c>
      <c r="AJ78" s="502">
        <f>IF(F78="",0,IF(L78="j",tabellen!$C$15*BJ78,0))</f>
        <v>0</v>
      </c>
      <c r="AK78" s="503">
        <v>0</v>
      </c>
      <c r="AL78" s="484"/>
      <c r="AM78" s="503">
        <v>0</v>
      </c>
      <c r="AN78" s="484"/>
      <c r="AO78" s="499">
        <f t="shared" si="52"/>
        <v>0</v>
      </c>
      <c r="AP78" s="499">
        <f t="shared" si="53"/>
        <v>0</v>
      </c>
      <c r="AQ78" s="484"/>
      <c r="AR78" s="504" t="str">
        <f t="shared" si="42"/>
        <v/>
      </c>
      <c r="AS78" s="504" t="str">
        <f t="shared" si="43"/>
        <v/>
      </c>
      <c r="AT78" s="484"/>
      <c r="AU78" s="453"/>
      <c r="AV78" s="444"/>
      <c r="AW78" s="444"/>
      <c r="AX78" s="505">
        <f t="shared" ca="1" si="54"/>
        <v>120</v>
      </c>
      <c r="AY78" s="505">
        <f t="shared" ca="1" si="55"/>
        <v>1</v>
      </c>
      <c r="AZ78" s="505">
        <f t="shared" ca="1" si="56"/>
        <v>27</v>
      </c>
      <c r="BA78" s="454">
        <f t="shared" si="44"/>
        <v>100</v>
      </c>
      <c r="BB78" s="454">
        <f t="shared" si="45"/>
        <v>0</v>
      </c>
      <c r="BC78" s="480">
        <v>42583</v>
      </c>
      <c r="BD78" s="506">
        <f t="shared" si="25"/>
        <v>0.08</v>
      </c>
      <c r="BE78" s="507">
        <f>tabellen!$D$34</f>
        <v>7.3999999999999996E-2</v>
      </c>
      <c r="BF78" s="505">
        <f t="shared" si="57"/>
        <v>0</v>
      </c>
      <c r="BG78" s="508" t="e">
        <f>IF(V78/H78&lt;tabellen!$E$7,0,(V78-tabellen!$E$7*H78)/12*tabellen!$D$7)</f>
        <v>#DIV/0!</v>
      </c>
      <c r="BH78" s="508" t="e">
        <f>IF(V78/H78&lt;tabellen!$E$8,0,(V78-tabellen!$E$8*H78)/12*tabellen!$D$8)</f>
        <v>#DIV/0!</v>
      </c>
      <c r="BI78" s="509" t="e">
        <f t="shared" si="58"/>
        <v>#DIV/0!</v>
      </c>
      <c r="BJ78" s="510" t="e">
        <f>+W78/12-'[1]wgl tot'!BL78</f>
        <v>#DIV/0!</v>
      </c>
      <c r="BK78" s="510" t="e">
        <f>ROUND(IF('[1]wgl tot'!BM78&gt;[1]tabellen!$H$11,[1]tabellen!$H$11,'[1]wgl tot'!BM78)*[1]tabellen!$C$11,2)</f>
        <v>#DIV/0!</v>
      </c>
      <c r="BL78" s="510" t="e">
        <f>+'[1]wgl tot'!BM78+'[1]wgl tot'!BN78</f>
        <v>#DIV/0!</v>
      </c>
      <c r="BM78" s="511">
        <f t="shared" si="46"/>
        <v>1900</v>
      </c>
      <c r="BN78" s="511">
        <f t="shared" si="47"/>
        <v>1</v>
      </c>
      <c r="BO78" s="505">
        <f t="shared" si="48"/>
        <v>0</v>
      </c>
      <c r="BP78" s="480">
        <f t="shared" si="22"/>
        <v>22462</v>
      </c>
      <c r="BQ78" s="480">
        <f t="shared" ca="1" si="23"/>
        <v>43888.768521180558</v>
      </c>
      <c r="BR78" s="454"/>
      <c r="BS78" s="480"/>
      <c r="BT78" s="454"/>
      <c r="BU78" s="512"/>
      <c r="BV78" s="512"/>
      <c r="BW78" s="512"/>
      <c r="BX78" s="512"/>
      <c r="BY78" s="512"/>
      <c r="BZ78" s="512"/>
      <c r="CA78" s="444"/>
      <c r="CB78" s="444"/>
    </row>
    <row r="79" spans="1:80" s="456" customFormat="1" ht="12" customHeight="1" x14ac:dyDescent="0.2">
      <c r="A79" s="444"/>
      <c r="B79" s="445"/>
      <c r="C79" s="484"/>
      <c r="D79" s="493"/>
      <c r="E79" s="494"/>
      <c r="F79" s="495"/>
      <c r="G79" s="495"/>
      <c r="H79" s="496"/>
      <c r="I79" s="535"/>
      <c r="J79" s="495"/>
      <c r="K79" s="497"/>
      <c r="L79" s="497"/>
      <c r="M79" s="498">
        <f>IF(F79="",0,(VLOOKUP('wgl tot'!F79,saltab2019juni,G79+1,FALSE)))</f>
        <v>0</v>
      </c>
      <c r="N79" s="499">
        <f t="shared" si="37"/>
        <v>0</v>
      </c>
      <c r="O79" s="484"/>
      <c r="P79" s="498">
        <f>ROUND(IF((M79+Q79)*BD79&lt;H79*tabellen!$D$33,H79*tabellen!$D$33,(M79+R79)*BD79),2)</f>
        <v>0</v>
      </c>
      <c r="Q79" s="498">
        <f t="shared" si="38"/>
        <v>0</v>
      </c>
      <c r="R79" s="498">
        <f t="shared" si="39"/>
        <v>0</v>
      </c>
      <c r="S79" s="498">
        <f t="shared" si="40"/>
        <v>0</v>
      </c>
      <c r="T79" s="498">
        <f t="shared" si="59"/>
        <v>0</v>
      </c>
      <c r="U79" s="498">
        <f>ROUND(H79*tabellen!$D$27,2)</f>
        <v>0</v>
      </c>
      <c r="V79" s="500">
        <f t="shared" si="49"/>
        <v>0</v>
      </c>
      <c r="W79" s="499">
        <f t="shared" si="50"/>
        <v>0</v>
      </c>
      <c r="X79" s="484"/>
      <c r="Y79" s="500">
        <f t="shared" si="51"/>
        <v>0</v>
      </c>
      <c r="Z79" s="501">
        <v>0</v>
      </c>
      <c r="AA79" s="484"/>
      <c r="AB79" s="498">
        <f>IF(F79="",0,(IF(V79/H79&lt;tabellen!$E$7,0,(V79-tabellen!$E$7*H79)/12)*tabellen!$C$7))</f>
        <v>0</v>
      </c>
      <c r="AC79" s="498">
        <f>IF(F79="",0,(IF(V79/H79&lt;tabellen!$E$7,0,(V79-tabellen!$E$7*H79)/12)*tabellen!$C$8))</f>
        <v>0</v>
      </c>
      <c r="AD79" s="498">
        <f>V79/12*tabellen!$C$9</f>
        <v>0</v>
      </c>
      <c r="AE79" s="498">
        <f>IF(H79=0,0,IF(BJ79&gt;tabellen!$G$10/12,$G$10/12,BJ79)*(tabellen!$C$10+tabellen!$C$11))</f>
        <v>0</v>
      </c>
      <c r="AF79" s="498">
        <f t="shared" si="41"/>
        <v>0</v>
      </c>
      <c r="AG79" s="502">
        <f>IF(F79="",0,(IF(BJ79&gt;tabellen!$G$13*H79/12,tabellen!$G$13*H79/12,BJ79*tabellen!$C$13)))</f>
        <v>0</v>
      </c>
      <c r="AH79" s="484"/>
      <c r="AI79" s="502">
        <f>IF(F79="",0,IF(K79="j",tabellen!$C$14*BJ79,0))</f>
        <v>0</v>
      </c>
      <c r="AJ79" s="502">
        <f>IF(F79="",0,IF(L79="j",tabellen!$C$15*BJ79,0))</f>
        <v>0</v>
      </c>
      <c r="AK79" s="503">
        <v>0</v>
      </c>
      <c r="AL79" s="484"/>
      <c r="AM79" s="503">
        <v>0</v>
      </c>
      <c r="AN79" s="484"/>
      <c r="AO79" s="499">
        <f t="shared" si="52"/>
        <v>0</v>
      </c>
      <c r="AP79" s="499">
        <f t="shared" si="53"/>
        <v>0</v>
      </c>
      <c r="AQ79" s="484"/>
      <c r="AR79" s="504" t="str">
        <f t="shared" si="42"/>
        <v/>
      </c>
      <c r="AS79" s="504" t="str">
        <f t="shared" si="43"/>
        <v/>
      </c>
      <c r="AT79" s="484"/>
      <c r="AU79" s="453"/>
      <c r="AV79" s="444"/>
      <c r="AW79" s="444"/>
      <c r="AX79" s="505">
        <f t="shared" ca="1" si="54"/>
        <v>120</v>
      </c>
      <c r="AY79" s="505">
        <f t="shared" ca="1" si="55"/>
        <v>1</v>
      </c>
      <c r="AZ79" s="505">
        <f t="shared" ca="1" si="56"/>
        <v>27</v>
      </c>
      <c r="BA79" s="454">
        <f t="shared" si="44"/>
        <v>100</v>
      </c>
      <c r="BB79" s="454">
        <f t="shared" si="45"/>
        <v>0</v>
      </c>
      <c r="BC79" s="480">
        <v>42583</v>
      </c>
      <c r="BD79" s="506">
        <f t="shared" si="25"/>
        <v>0.08</v>
      </c>
      <c r="BE79" s="507">
        <f>tabellen!$D$34</f>
        <v>7.3999999999999996E-2</v>
      </c>
      <c r="BF79" s="505">
        <f t="shared" si="57"/>
        <v>0</v>
      </c>
      <c r="BG79" s="508" t="e">
        <f>IF(V79/H79&lt;tabellen!$E$7,0,(V79-tabellen!$E$7*H79)/12*tabellen!$D$7)</f>
        <v>#DIV/0!</v>
      </c>
      <c r="BH79" s="508" t="e">
        <f>IF(V79/H79&lt;tabellen!$E$8,0,(V79-tabellen!$E$8*H79)/12*tabellen!$D$8)</f>
        <v>#DIV/0!</v>
      </c>
      <c r="BI79" s="509" t="e">
        <f t="shared" si="58"/>
        <v>#DIV/0!</v>
      </c>
      <c r="BJ79" s="510" t="e">
        <f>+W79/12-'[1]wgl tot'!BL79</f>
        <v>#DIV/0!</v>
      </c>
      <c r="BK79" s="510" t="e">
        <f>ROUND(IF('[1]wgl tot'!BM79&gt;[1]tabellen!$H$11,[1]tabellen!$H$11,'[1]wgl tot'!BM79)*[1]tabellen!$C$11,2)</f>
        <v>#DIV/0!</v>
      </c>
      <c r="BL79" s="510" t="e">
        <f>+'[1]wgl tot'!BM79+'[1]wgl tot'!BN79</f>
        <v>#DIV/0!</v>
      </c>
      <c r="BM79" s="511">
        <f t="shared" si="46"/>
        <v>1900</v>
      </c>
      <c r="BN79" s="511">
        <f t="shared" si="47"/>
        <v>1</v>
      </c>
      <c r="BO79" s="505">
        <f t="shared" si="48"/>
        <v>0</v>
      </c>
      <c r="BP79" s="480">
        <f t="shared" si="22"/>
        <v>22462</v>
      </c>
      <c r="BQ79" s="480">
        <f t="shared" ca="1" si="23"/>
        <v>43888.768521180558</v>
      </c>
      <c r="BR79" s="454"/>
      <c r="BS79" s="480"/>
      <c r="BT79" s="454"/>
      <c r="BU79" s="512"/>
      <c r="BV79" s="512"/>
      <c r="BW79" s="512"/>
      <c r="BX79" s="512"/>
      <c r="BY79" s="512"/>
      <c r="BZ79" s="512"/>
      <c r="CA79" s="444"/>
      <c r="CB79" s="444"/>
    </row>
    <row r="80" spans="1:80" s="456" customFormat="1" ht="12" customHeight="1" x14ac:dyDescent="0.2">
      <c r="A80" s="444"/>
      <c r="B80" s="445"/>
      <c r="C80" s="484"/>
      <c r="D80" s="493"/>
      <c r="E80" s="494"/>
      <c r="F80" s="495"/>
      <c r="G80" s="495"/>
      <c r="H80" s="496"/>
      <c r="I80" s="535"/>
      <c r="J80" s="495"/>
      <c r="K80" s="497"/>
      <c r="L80" s="497"/>
      <c r="M80" s="498">
        <f>IF(F80="",0,(VLOOKUP('wgl tot'!F80,saltab2019juni,G80+1,FALSE)))</f>
        <v>0</v>
      </c>
      <c r="N80" s="499">
        <f t="shared" si="37"/>
        <v>0</v>
      </c>
      <c r="O80" s="484"/>
      <c r="P80" s="498">
        <f>ROUND(IF((M80+Q80)*BD80&lt;H80*tabellen!$D$33,H80*tabellen!$D$33,(M80+R80)*BD80),2)</f>
        <v>0</v>
      </c>
      <c r="Q80" s="498">
        <f t="shared" si="38"/>
        <v>0</v>
      </c>
      <c r="R80" s="498">
        <f t="shared" si="39"/>
        <v>0</v>
      </c>
      <c r="S80" s="498">
        <f t="shared" si="40"/>
        <v>0</v>
      </c>
      <c r="T80" s="498">
        <f t="shared" si="59"/>
        <v>0</v>
      </c>
      <c r="U80" s="498">
        <f>ROUND(H80*tabellen!$D$27,2)</f>
        <v>0</v>
      </c>
      <c r="V80" s="500">
        <f t="shared" si="49"/>
        <v>0</v>
      </c>
      <c r="W80" s="499">
        <f t="shared" si="50"/>
        <v>0</v>
      </c>
      <c r="X80" s="484"/>
      <c r="Y80" s="500">
        <f t="shared" si="51"/>
        <v>0</v>
      </c>
      <c r="Z80" s="501">
        <v>0</v>
      </c>
      <c r="AA80" s="484"/>
      <c r="AB80" s="498">
        <f>IF(F80="",0,(IF(V80/H80&lt;tabellen!$E$7,0,(V80-tabellen!$E$7*H80)/12)*tabellen!$C$7))</f>
        <v>0</v>
      </c>
      <c r="AC80" s="498">
        <f>IF(F80="",0,(IF(V80/H80&lt;tabellen!$E$7,0,(V80-tabellen!$E$7*H80)/12)*tabellen!$C$8))</f>
        <v>0</v>
      </c>
      <c r="AD80" s="498">
        <f>V80/12*tabellen!$C$9</f>
        <v>0</v>
      </c>
      <c r="AE80" s="498">
        <f>IF(H80=0,0,IF(BJ80&gt;tabellen!$G$10/12,$G$10/12,BJ80)*(tabellen!$C$10+tabellen!$C$11))</f>
        <v>0</v>
      </c>
      <c r="AF80" s="498">
        <f t="shared" si="41"/>
        <v>0</v>
      </c>
      <c r="AG80" s="502">
        <f>IF(F80="",0,(IF(BJ80&gt;tabellen!$G$13*H80/12,tabellen!$G$13*H80/12,BJ80*tabellen!$C$13)))</f>
        <v>0</v>
      </c>
      <c r="AH80" s="484"/>
      <c r="AI80" s="502">
        <f>IF(F80="",0,IF(K80="j",tabellen!$C$14*BJ80,0))</f>
        <v>0</v>
      </c>
      <c r="AJ80" s="502">
        <f>IF(F80="",0,IF(L80="j",tabellen!$C$15*BJ80,0))</f>
        <v>0</v>
      </c>
      <c r="AK80" s="503">
        <v>0</v>
      </c>
      <c r="AL80" s="484"/>
      <c r="AM80" s="503">
        <v>0</v>
      </c>
      <c r="AN80" s="484"/>
      <c r="AO80" s="499">
        <f t="shared" si="52"/>
        <v>0</v>
      </c>
      <c r="AP80" s="499">
        <f t="shared" si="53"/>
        <v>0</v>
      </c>
      <c r="AQ80" s="484"/>
      <c r="AR80" s="504" t="str">
        <f t="shared" si="42"/>
        <v/>
      </c>
      <c r="AS80" s="504" t="str">
        <f t="shared" si="43"/>
        <v/>
      </c>
      <c r="AT80" s="484"/>
      <c r="AU80" s="453"/>
      <c r="AV80" s="444"/>
      <c r="AW80" s="444"/>
      <c r="AX80" s="505">
        <f t="shared" ca="1" si="54"/>
        <v>120</v>
      </c>
      <c r="AY80" s="505">
        <f t="shared" ca="1" si="55"/>
        <v>1</v>
      </c>
      <c r="AZ80" s="505">
        <f t="shared" ca="1" si="56"/>
        <v>27</v>
      </c>
      <c r="BA80" s="454">
        <f t="shared" si="44"/>
        <v>100</v>
      </c>
      <c r="BB80" s="454">
        <f t="shared" si="45"/>
        <v>0</v>
      </c>
      <c r="BC80" s="480">
        <v>42583</v>
      </c>
      <c r="BD80" s="506">
        <f t="shared" si="25"/>
        <v>0.08</v>
      </c>
      <c r="BE80" s="507">
        <f>tabellen!$D$34</f>
        <v>7.3999999999999996E-2</v>
      </c>
      <c r="BF80" s="505">
        <f t="shared" si="57"/>
        <v>0</v>
      </c>
      <c r="BG80" s="508" t="e">
        <f>IF(V80/H80&lt;tabellen!$E$7,0,(V80-tabellen!$E$7*H80)/12*tabellen!$D$7)</f>
        <v>#DIV/0!</v>
      </c>
      <c r="BH80" s="508" t="e">
        <f>IF(V80/H80&lt;tabellen!$E$8,0,(V80-tabellen!$E$8*H80)/12*tabellen!$D$8)</f>
        <v>#DIV/0!</v>
      </c>
      <c r="BI80" s="509" t="e">
        <f t="shared" si="58"/>
        <v>#DIV/0!</v>
      </c>
      <c r="BJ80" s="510" t="e">
        <f>+W80/12-'[1]wgl tot'!BL80</f>
        <v>#DIV/0!</v>
      </c>
      <c r="BK80" s="510" t="e">
        <f>ROUND(IF('[1]wgl tot'!BM80&gt;[1]tabellen!$H$11,[1]tabellen!$H$11,'[1]wgl tot'!BM80)*[1]tabellen!$C$11,2)</f>
        <v>#DIV/0!</v>
      </c>
      <c r="BL80" s="510" t="e">
        <f>+'[1]wgl tot'!BM80+'[1]wgl tot'!BN80</f>
        <v>#DIV/0!</v>
      </c>
      <c r="BM80" s="511">
        <f t="shared" si="46"/>
        <v>1900</v>
      </c>
      <c r="BN80" s="511">
        <f t="shared" si="47"/>
        <v>1</v>
      </c>
      <c r="BO80" s="505">
        <f t="shared" si="48"/>
        <v>0</v>
      </c>
      <c r="BP80" s="480">
        <f t="shared" si="22"/>
        <v>22462</v>
      </c>
      <c r="BQ80" s="480">
        <f t="shared" ca="1" si="23"/>
        <v>43888.768521180558</v>
      </c>
      <c r="BR80" s="454"/>
      <c r="BS80" s="480"/>
      <c r="BT80" s="454"/>
      <c r="BU80" s="512"/>
      <c r="BV80" s="512"/>
      <c r="BW80" s="512"/>
      <c r="BX80" s="512"/>
      <c r="BY80" s="512"/>
      <c r="BZ80" s="512"/>
      <c r="CA80" s="444"/>
      <c r="CB80" s="444"/>
    </row>
    <row r="81" spans="1:80" s="456" customFormat="1" ht="12" customHeight="1" x14ac:dyDescent="0.2">
      <c r="A81" s="444"/>
      <c r="B81" s="445"/>
      <c r="C81" s="484"/>
      <c r="D81" s="493"/>
      <c r="E81" s="494"/>
      <c r="F81" s="495"/>
      <c r="G81" s="495"/>
      <c r="H81" s="496"/>
      <c r="I81" s="535"/>
      <c r="J81" s="495"/>
      <c r="K81" s="497"/>
      <c r="L81" s="497"/>
      <c r="M81" s="498">
        <f>IF(F81="",0,(VLOOKUP('wgl tot'!F81,saltab2019juni,G81+1,FALSE)))</f>
        <v>0</v>
      </c>
      <c r="N81" s="499">
        <f t="shared" si="37"/>
        <v>0</v>
      </c>
      <c r="O81" s="484"/>
      <c r="P81" s="498">
        <f>ROUND(IF((M81+Q81)*BD81&lt;H81*tabellen!$D$33,H81*tabellen!$D$33,(M81+R81)*BD81),2)</f>
        <v>0</v>
      </c>
      <c r="Q81" s="498">
        <f t="shared" si="38"/>
        <v>0</v>
      </c>
      <c r="R81" s="498">
        <f t="shared" si="39"/>
        <v>0</v>
      </c>
      <c r="S81" s="498">
        <f t="shared" si="40"/>
        <v>0</v>
      </c>
      <c r="T81" s="498">
        <f t="shared" si="59"/>
        <v>0</v>
      </c>
      <c r="U81" s="498">
        <f>ROUND(H81*tabellen!$D$27,2)</f>
        <v>0</v>
      </c>
      <c r="V81" s="500">
        <f t="shared" si="49"/>
        <v>0</v>
      </c>
      <c r="W81" s="499">
        <f t="shared" si="50"/>
        <v>0</v>
      </c>
      <c r="X81" s="484"/>
      <c r="Y81" s="500">
        <f t="shared" si="51"/>
        <v>0</v>
      </c>
      <c r="Z81" s="501">
        <v>0</v>
      </c>
      <c r="AA81" s="484"/>
      <c r="AB81" s="498">
        <f>IF(F81="",0,(IF(V81/H81&lt;tabellen!$E$7,0,(V81-tabellen!$E$7*H81)/12)*tabellen!$C$7))</f>
        <v>0</v>
      </c>
      <c r="AC81" s="498">
        <f>IF(F81="",0,(IF(V81/H81&lt;tabellen!$E$7,0,(V81-tabellen!$E$7*H81)/12)*tabellen!$C$8))</f>
        <v>0</v>
      </c>
      <c r="AD81" s="498">
        <f>V81/12*tabellen!$C$9</f>
        <v>0</v>
      </c>
      <c r="AE81" s="498">
        <f>IF(H81=0,0,IF(BJ81&gt;tabellen!$G$10/12,$G$10/12,BJ81)*(tabellen!$C$10+tabellen!$C$11))</f>
        <v>0</v>
      </c>
      <c r="AF81" s="498">
        <f t="shared" si="41"/>
        <v>0</v>
      </c>
      <c r="AG81" s="502">
        <f>IF(F81="",0,(IF(BJ81&gt;tabellen!$G$13*H81/12,tabellen!$G$13*H81/12,BJ81*tabellen!$C$13)))</f>
        <v>0</v>
      </c>
      <c r="AH81" s="484"/>
      <c r="AI81" s="502">
        <f>IF(F81="",0,IF(K81="j",tabellen!$C$14*BJ81,0))</f>
        <v>0</v>
      </c>
      <c r="AJ81" s="502">
        <f>IF(F81="",0,IF(L81="j",tabellen!$C$15*BJ81,0))</f>
        <v>0</v>
      </c>
      <c r="AK81" s="503">
        <v>0</v>
      </c>
      <c r="AL81" s="484"/>
      <c r="AM81" s="503">
        <v>0</v>
      </c>
      <c r="AN81" s="484"/>
      <c r="AO81" s="499">
        <f t="shared" si="52"/>
        <v>0</v>
      </c>
      <c r="AP81" s="499">
        <f t="shared" si="53"/>
        <v>0</v>
      </c>
      <c r="AQ81" s="484"/>
      <c r="AR81" s="504" t="str">
        <f t="shared" si="42"/>
        <v/>
      </c>
      <c r="AS81" s="504" t="str">
        <f t="shared" si="43"/>
        <v/>
      </c>
      <c r="AT81" s="484"/>
      <c r="AU81" s="453"/>
      <c r="AV81" s="444"/>
      <c r="AW81" s="444"/>
      <c r="AX81" s="505">
        <f t="shared" ca="1" si="54"/>
        <v>120</v>
      </c>
      <c r="AY81" s="505">
        <f t="shared" ca="1" si="55"/>
        <v>1</v>
      </c>
      <c r="AZ81" s="505">
        <f t="shared" ca="1" si="56"/>
        <v>27</v>
      </c>
      <c r="BA81" s="454">
        <f t="shared" si="44"/>
        <v>100</v>
      </c>
      <c r="BB81" s="454">
        <f t="shared" si="45"/>
        <v>0</v>
      </c>
      <c r="BC81" s="480">
        <v>42583</v>
      </c>
      <c r="BD81" s="506">
        <f t="shared" si="25"/>
        <v>0.08</v>
      </c>
      <c r="BE81" s="507">
        <f>tabellen!$D$34</f>
        <v>7.3999999999999996E-2</v>
      </c>
      <c r="BF81" s="505">
        <f t="shared" si="57"/>
        <v>0</v>
      </c>
      <c r="BG81" s="508" t="e">
        <f>IF(V81/H81&lt;tabellen!$E$7,0,(V81-tabellen!$E$7*H81)/12*tabellen!$D$7)</f>
        <v>#DIV/0!</v>
      </c>
      <c r="BH81" s="508" t="e">
        <f>IF(V81/H81&lt;tabellen!$E$8,0,(V81-tabellen!$E$8*H81)/12*tabellen!$D$8)</f>
        <v>#DIV/0!</v>
      </c>
      <c r="BI81" s="509" t="e">
        <f t="shared" si="58"/>
        <v>#DIV/0!</v>
      </c>
      <c r="BJ81" s="510" t="e">
        <f>+W81/12-'[1]wgl tot'!BL81</f>
        <v>#DIV/0!</v>
      </c>
      <c r="BK81" s="510" t="e">
        <f>ROUND(IF('[1]wgl tot'!BM81&gt;[1]tabellen!$H$11,[1]tabellen!$H$11,'[1]wgl tot'!BM81)*[1]tabellen!$C$11,2)</f>
        <v>#DIV/0!</v>
      </c>
      <c r="BL81" s="510" t="e">
        <f>+'[1]wgl tot'!BM81+'[1]wgl tot'!BN81</f>
        <v>#DIV/0!</v>
      </c>
      <c r="BM81" s="511">
        <f t="shared" si="46"/>
        <v>1900</v>
      </c>
      <c r="BN81" s="511">
        <f t="shared" si="47"/>
        <v>1</v>
      </c>
      <c r="BO81" s="505">
        <f t="shared" si="48"/>
        <v>0</v>
      </c>
      <c r="BP81" s="480">
        <f t="shared" si="22"/>
        <v>22462</v>
      </c>
      <c r="BQ81" s="480">
        <f t="shared" ca="1" si="23"/>
        <v>43888.768521180558</v>
      </c>
      <c r="BR81" s="454"/>
      <c r="BS81" s="480"/>
      <c r="BT81" s="454"/>
      <c r="BU81" s="512"/>
      <c r="BV81" s="512"/>
      <c r="BW81" s="512"/>
      <c r="BX81" s="512"/>
      <c r="BY81" s="512"/>
      <c r="BZ81" s="512"/>
      <c r="CA81" s="444"/>
      <c r="CB81" s="444"/>
    </row>
    <row r="82" spans="1:80" s="456" customFormat="1" ht="12" customHeight="1" x14ac:dyDescent="0.2">
      <c r="A82" s="444"/>
      <c r="B82" s="445"/>
      <c r="C82" s="484"/>
      <c r="D82" s="493"/>
      <c r="E82" s="494"/>
      <c r="F82" s="495"/>
      <c r="G82" s="495"/>
      <c r="H82" s="496"/>
      <c r="I82" s="535"/>
      <c r="J82" s="495"/>
      <c r="K82" s="497"/>
      <c r="L82" s="497"/>
      <c r="M82" s="498">
        <f>IF(F82="",0,(VLOOKUP('wgl tot'!F82,saltab2019juni,G82+1,FALSE)))</f>
        <v>0</v>
      </c>
      <c r="N82" s="499">
        <f t="shared" si="37"/>
        <v>0</v>
      </c>
      <c r="O82" s="484"/>
      <c r="P82" s="498">
        <f>ROUND(IF((M82+Q82)*BD82&lt;H82*tabellen!$D$33,H82*tabellen!$D$33,(M82+R82)*BD82),2)</f>
        <v>0</v>
      </c>
      <c r="Q82" s="498">
        <f t="shared" si="38"/>
        <v>0</v>
      </c>
      <c r="R82" s="498">
        <f t="shared" si="39"/>
        <v>0</v>
      </c>
      <c r="S82" s="498">
        <f t="shared" si="40"/>
        <v>0</v>
      </c>
      <c r="T82" s="498">
        <f t="shared" si="59"/>
        <v>0</v>
      </c>
      <c r="U82" s="498">
        <f>ROUND(H82*tabellen!$D$27,2)</f>
        <v>0</v>
      </c>
      <c r="V82" s="500">
        <f t="shared" si="49"/>
        <v>0</v>
      </c>
      <c r="W82" s="499">
        <f t="shared" si="50"/>
        <v>0</v>
      </c>
      <c r="X82" s="484"/>
      <c r="Y82" s="500">
        <f t="shared" si="51"/>
        <v>0</v>
      </c>
      <c r="Z82" s="501">
        <v>0</v>
      </c>
      <c r="AA82" s="484"/>
      <c r="AB82" s="498">
        <f>IF(F82="",0,(IF(V82/H82&lt;tabellen!$E$7,0,(V82-tabellen!$E$7*H82)/12)*tabellen!$C$7))</f>
        <v>0</v>
      </c>
      <c r="AC82" s="498">
        <f>IF(F82="",0,(IF(V82/H82&lt;tabellen!$E$7,0,(V82-tabellen!$E$7*H82)/12)*tabellen!$C$8))</f>
        <v>0</v>
      </c>
      <c r="AD82" s="498">
        <f>V82/12*tabellen!$C$9</f>
        <v>0</v>
      </c>
      <c r="AE82" s="498">
        <f>IF(H82=0,0,IF(BJ82&gt;tabellen!$G$10/12,$G$10/12,BJ82)*(tabellen!$C$10+tabellen!$C$11))</f>
        <v>0</v>
      </c>
      <c r="AF82" s="498">
        <f t="shared" si="41"/>
        <v>0</v>
      </c>
      <c r="AG82" s="502">
        <f>IF(F82="",0,(IF(BJ82&gt;tabellen!$G$13*H82/12,tabellen!$G$13*H82/12,BJ82*tabellen!$C$13)))</f>
        <v>0</v>
      </c>
      <c r="AH82" s="484"/>
      <c r="AI82" s="502">
        <f>IF(F82="",0,IF(K82="j",tabellen!$C$14*BJ82,0))</f>
        <v>0</v>
      </c>
      <c r="AJ82" s="502">
        <f>IF(F82="",0,IF(L82="j",tabellen!$C$15*BJ82,0))</f>
        <v>0</v>
      </c>
      <c r="AK82" s="503">
        <v>0</v>
      </c>
      <c r="AL82" s="484"/>
      <c r="AM82" s="503">
        <v>0</v>
      </c>
      <c r="AN82" s="484"/>
      <c r="AO82" s="499">
        <f t="shared" si="52"/>
        <v>0</v>
      </c>
      <c r="AP82" s="499">
        <f t="shared" si="53"/>
        <v>0</v>
      </c>
      <c r="AQ82" s="484"/>
      <c r="AR82" s="504" t="str">
        <f t="shared" si="42"/>
        <v/>
      </c>
      <c r="AS82" s="504" t="str">
        <f t="shared" si="43"/>
        <v/>
      </c>
      <c r="AT82" s="484"/>
      <c r="AU82" s="453"/>
      <c r="AV82" s="444"/>
      <c r="AW82" s="444"/>
      <c r="AX82" s="505">
        <f t="shared" ca="1" si="54"/>
        <v>120</v>
      </c>
      <c r="AY82" s="505">
        <f t="shared" ca="1" si="55"/>
        <v>1</v>
      </c>
      <c r="AZ82" s="505">
        <f t="shared" ca="1" si="56"/>
        <v>27</v>
      </c>
      <c r="BA82" s="454">
        <f t="shared" si="44"/>
        <v>100</v>
      </c>
      <c r="BB82" s="454">
        <f t="shared" si="45"/>
        <v>0</v>
      </c>
      <c r="BC82" s="480">
        <v>42583</v>
      </c>
      <c r="BD82" s="506">
        <f t="shared" si="25"/>
        <v>0.08</v>
      </c>
      <c r="BE82" s="507">
        <f>tabellen!$D$34</f>
        <v>7.3999999999999996E-2</v>
      </c>
      <c r="BF82" s="505">
        <f t="shared" si="57"/>
        <v>0</v>
      </c>
      <c r="BG82" s="508" t="e">
        <f>IF(V82/H82&lt;tabellen!$E$7,0,(V82-tabellen!$E$7*H82)/12*tabellen!$D$7)</f>
        <v>#DIV/0!</v>
      </c>
      <c r="BH82" s="508" t="e">
        <f>IF(V82/H82&lt;tabellen!$E$8,0,(V82-tabellen!$E$8*H82)/12*tabellen!$D$8)</f>
        <v>#DIV/0!</v>
      </c>
      <c r="BI82" s="509" t="e">
        <f t="shared" si="58"/>
        <v>#DIV/0!</v>
      </c>
      <c r="BJ82" s="510" t="e">
        <f>+W82/12-'[1]wgl tot'!BL82</f>
        <v>#DIV/0!</v>
      </c>
      <c r="BK82" s="510" t="e">
        <f>ROUND(IF('[1]wgl tot'!BM82&gt;[1]tabellen!$H$11,[1]tabellen!$H$11,'[1]wgl tot'!BM82)*[1]tabellen!$C$11,2)</f>
        <v>#DIV/0!</v>
      </c>
      <c r="BL82" s="510" t="e">
        <f>+'[1]wgl tot'!BM82+'[1]wgl tot'!BN82</f>
        <v>#DIV/0!</v>
      </c>
      <c r="BM82" s="511">
        <f t="shared" si="46"/>
        <v>1900</v>
      </c>
      <c r="BN82" s="511">
        <f t="shared" si="47"/>
        <v>1</v>
      </c>
      <c r="BO82" s="505">
        <f t="shared" si="48"/>
        <v>0</v>
      </c>
      <c r="BP82" s="480">
        <f t="shared" si="22"/>
        <v>22462</v>
      </c>
      <c r="BQ82" s="480">
        <f t="shared" ca="1" si="23"/>
        <v>43888.768521180558</v>
      </c>
      <c r="BR82" s="454"/>
      <c r="BS82" s="480"/>
      <c r="BT82" s="454"/>
      <c r="BU82" s="512"/>
      <c r="BV82" s="512"/>
      <c r="BW82" s="512"/>
      <c r="BX82" s="512"/>
      <c r="BY82" s="512"/>
      <c r="BZ82" s="512"/>
      <c r="CA82" s="444"/>
      <c r="CB82" s="444"/>
    </row>
    <row r="83" spans="1:80" s="456" customFormat="1" ht="12" customHeight="1" x14ac:dyDescent="0.2">
      <c r="A83" s="444"/>
      <c r="B83" s="445"/>
      <c r="C83" s="484"/>
      <c r="D83" s="493"/>
      <c r="E83" s="494"/>
      <c r="F83" s="495"/>
      <c r="G83" s="495"/>
      <c r="H83" s="496"/>
      <c r="I83" s="535"/>
      <c r="J83" s="495"/>
      <c r="K83" s="497"/>
      <c r="L83" s="497"/>
      <c r="M83" s="498">
        <f>IF(F83="",0,(VLOOKUP('wgl tot'!F83,saltab2019juni,G83+1,FALSE)))</f>
        <v>0</v>
      </c>
      <c r="N83" s="499">
        <f t="shared" si="37"/>
        <v>0</v>
      </c>
      <c r="O83" s="484"/>
      <c r="P83" s="498">
        <f>ROUND(IF((M83+Q83)*BD83&lt;H83*tabellen!$D$33,H83*tabellen!$D$33,(M83+R83)*BD83),2)</f>
        <v>0</v>
      </c>
      <c r="Q83" s="498">
        <f t="shared" si="38"/>
        <v>0</v>
      </c>
      <c r="R83" s="498">
        <f t="shared" si="39"/>
        <v>0</v>
      </c>
      <c r="S83" s="498">
        <f t="shared" si="40"/>
        <v>0</v>
      </c>
      <c r="T83" s="498">
        <f t="shared" si="59"/>
        <v>0</v>
      </c>
      <c r="U83" s="498">
        <f>ROUND(H83*tabellen!$D$27,2)</f>
        <v>0</v>
      </c>
      <c r="V83" s="500">
        <f t="shared" si="49"/>
        <v>0</v>
      </c>
      <c r="W83" s="499">
        <f t="shared" si="50"/>
        <v>0</v>
      </c>
      <c r="X83" s="484"/>
      <c r="Y83" s="500">
        <f t="shared" si="51"/>
        <v>0</v>
      </c>
      <c r="Z83" s="501">
        <v>0</v>
      </c>
      <c r="AA83" s="484"/>
      <c r="AB83" s="498">
        <f>IF(F83="",0,(IF(V83/H83&lt;tabellen!$E$7,0,(V83-tabellen!$E$7*H83)/12)*tabellen!$C$7))</f>
        <v>0</v>
      </c>
      <c r="AC83" s="498">
        <f>IF(F83="",0,(IF(V83/H83&lt;tabellen!$E$7,0,(V83-tabellen!$E$7*H83)/12)*tabellen!$C$8))</f>
        <v>0</v>
      </c>
      <c r="AD83" s="498">
        <f>V83/12*tabellen!$C$9</f>
        <v>0</v>
      </c>
      <c r="AE83" s="498">
        <f>IF(H83=0,0,IF(BJ83&gt;tabellen!$G$10/12,$G$10/12,BJ83)*(tabellen!$C$10+tabellen!$C$11))</f>
        <v>0</v>
      </c>
      <c r="AF83" s="498">
        <f t="shared" si="41"/>
        <v>0</v>
      </c>
      <c r="AG83" s="502">
        <f>IF(F83="",0,(IF(BJ83&gt;tabellen!$G$13*H83/12,tabellen!$G$13*H83/12,BJ83*tabellen!$C$13)))</f>
        <v>0</v>
      </c>
      <c r="AH83" s="484"/>
      <c r="AI83" s="502">
        <f>IF(F83="",0,IF(K83="j",tabellen!$C$14*BJ83,0))</f>
        <v>0</v>
      </c>
      <c r="AJ83" s="502">
        <f>IF(F83="",0,IF(L83="j",tabellen!$C$15*BJ83,0))</f>
        <v>0</v>
      </c>
      <c r="AK83" s="503">
        <v>0</v>
      </c>
      <c r="AL83" s="484"/>
      <c r="AM83" s="503">
        <v>0</v>
      </c>
      <c r="AN83" s="484"/>
      <c r="AO83" s="499">
        <f t="shared" si="52"/>
        <v>0</v>
      </c>
      <c r="AP83" s="499">
        <f t="shared" si="53"/>
        <v>0</v>
      </c>
      <c r="AQ83" s="484"/>
      <c r="AR83" s="504" t="str">
        <f t="shared" si="42"/>
        <v/>
      </c>
      <c r="AS83" s="504" t="str">
        <f t="shared" si="43"/>
        <v/>
      </c>
      <c r="AT83" s="484"/>
      <c r="AU83" s="453"/>
      <c r="AV83" s="444"/>
      <c r="AW83" s="444"/>
      <c r="AX83" s="505">
        <f t="shared" ca="1" si="54"/>
        <v>120</v>
      </c>
      <c r="AY83" s="505">
        <f t="shared" ca="1" si="55"/>
        <v>1</v>
      </c>
      <c r="AZ83" s="505">
        <f t="shared" ca="1" si="56"/>
        <v>27</v>
      </c>
      <c r="BA83" s="454">
        <f t="shared" si="44"/>
        <v>100</v>
      </c>
      <c r="BB83" s="454">
        <f t="shared" si="45"/>
        <v>0</v>
      </c>
      <c r="BC83" s="480">
        <v>42583</v>
      </c>
      <c r="BD83" s="506">
        <f t="shared" si="25"/>
        <v>0.08</v>
      </c>
      <c r="BE83" s="507">
        <f>tabellen!$D$34</f>
        <v>7.3999999999999996E-2</v>
      </c>
      <c r="BF83" s="505">
        <f t="shared" si="57"/>
        <v>0</v>
      </c>
      <c r="BG83" s="508" t="e">
        <f>IF(V83/H83&lt;tabellen!$E$7,0,(V83-tabellen!$E$7*H83)/12*tabellen!$D$7)</f>
        <v>#DIV/0!</v>
      </c>
      <c r="BH83" s="508" t="e">
        <f>IF(V83/H83&lt;tabellen!$E$8,0,(V83-tabellen!$E$8*H83)/12*tabellen!$D$8)</f>
        <v>#DIV/0!</v>
      </c>
      <c r="BI83" s="509" t="e">
        <f t="shared" si="58"/>
        <v>#DIV/0!</v>
      </c>
      <c r="BJ83" s="510" t="e">
        <f>+W83/12-'[1]wgl tot'!BL83</f>
        <v>#DIV/0!</v>
      </c>
      <c r="BK83" s="510" t="e">
        <f>ROUND(IF('[1]wgl tot'!BM83&gt;[1]tabellen!$H$11,[1]tabellen!$H$11,'[1]wgl tot'!BM83)*[1]tabellen!$C$11,2)</f>
        <v>#DIV/0!</v>
      </c>
      <c r="BL83" s="510" t="e">
        <f>+'[1]wgl tot'!BM83+'[1]wgl tot'!BN83</f>
        <v>#DIV/0!</v>
      </c>
      <c r="BM83" s="511">
        <f t="shared" si="46"/>
        <v>1900</v>
      </c>
      <c r="BN83" s="511">
        <f t="shared" si="47"/>
        <v>1</v>
      </c>
      <c r="BO83" s="505">
        <f t="shared" si="48"/>
        <v>0</v>
      </c>
      <c r="BP83" s="480">
        <f t="shared" si="22"/>
        <v>22462</v>
      </c>
      <c r="BQ83" s="480">
        <f t="shared" ca="1" si="23"/>
        <v>43888.768521180558</v>
      </c>
      <c r="BR83" s="454"/>
      <c r="BS83" s="480"/>
      <c r="BT83" s="454"/>
      <c r="BU83" s="512"/>
      <c r="BV83" s="512"/>
      <c r="BW83" s="512"/>
      <c r="BX83" s="512"/>
      <c r="BY83" s="512"/>
      <c r="BZ83" s="512"/>
      <c r="CA83" s="444"/>
      <c r="CB83" s="444"/>
    </row>
    <row r="84" spans="1:80" s="456" customFormat="1" ht="12" customHeight="1" x14ac:dyDescent="0.2">
      <c r="A84" s="444"/>
      <c r="B84" s="445"/>
      <c r="C84" s="484"/>
      <c r="D84" s="493"/>
      <c r="E84" s="494"/>
      <c r="F84" s="495"/>
      <c r="G84" s="495"/>
      <c r="H84" s="496"/>
      <c r="I84" s="535"/>
      <c r="J84" s="495"/>
      <c r="K84" s="497"/>
      <c r="L84" s="497"/>
      <c r="M84" s="498">
        <f>IF(F84="",0,(VLOOKUP('wgl tot'!F84,saltab2019juni,G84+1,FALSE)))</f>
        <v>0</v>
      </c>
      <c r="N84" s="499">
        <f t="shared" si="37"/>
        <v>0</v>
      </c>
      <c r="O84" s="484"/>
      <c r="P84" s="498">
        <f>ROUND(IF((M84+Q84)*BD84&lt;H84*tabellen!$D$33,H84*tabellen!$D$33,(M84+R84)*BD84),2)</f>
        <v>0</v>
      </c>
      <c r="Q84" s="498">
        <f t="shared" si="38"/>
        <v>0</v>
      </c>
      <c r="R84" s="498">
        <f t="shared" si="39"/>
        <v>0</v>
      </c>
      <c r="S84" s="498">
        <f t="shared" si="40"/>
        <v>0</v>
      </c>
      <c r="T84" s="498">
        <f t="shared" si="59"/>
        <v>0</v>
      </c>
      <c r="U84" s="498">
        <f>ROUND(H84*tabellen!$D$27,2)</f>
        <v>0</v>
      </c>
      <c r="V84" s="500">
        <f t="shared" si="49"/>
        <v>0</v>
      </c>
      <c r="W84" s="499">
        <f t="shared" si="50"/>
        <v>0</v>
      </c>
      <c r="X84" s="484"/>
      <c r="Y84" s="500">
        <f t="shared" si="51"/>
        <v>0</v>
      </c>
      <c r="Z84" s="501">
        <v>0</v>
      </c>
      <c r="AA84" s="484"/>
      <c r="AB84" s="498">
        <f>IF(F84="",0,(IF(V84/H84&lt;tabellen!$E$7,0,(V84-tabellen!$E$7*H84)/12)*tabellen!$C$7))</f>
        <v>0</v>
      </c>
      <c r="AC84" s="498">
        <f>IF(F84="",0,(IF(V84/H84&lt;tabellen!$E$7,0,(V84-tabellen!$E$7*H84)/12)*tabellen!$C$8))</f>
        <v>0</v>
      </c>
      <c r="AD84" s="498">
        <f>V84/12*tabellen!$C$9</f>
        <v>0</v>
      </c>
      <c r="AE84" s="498">
        <f>IF(H84=0,0,IF(BJ84&gt;tabellen!$G$10/12,$G$10/12,BJ84)*(tabellen!$C$10+tabellen!$C$11))</f>
        <v>0</v>
      </c>
      <c r="AF84" s="498">
        <f t="shared" si="41"/>
        <v>0</v>
      </c>
      <c r="AG84" s="502">
        <f>IF(F84="",0,(IF(BJ84&gt;tabellen!$G$13*H84/12,tabellen!$G$13*H84/12,BJ84*tabellen!$C$13)))</f>
        <v>0</v>
      </c>
      <c r="AH84" s="484"/>
      <c r="AI84" s="502">
        <f>IF(F84="",0,IF(K84="j",tabellen!$C$14*BJ84,0))</f>
        <v>0</v>
      </c>
      <c r="AJ84" s="502">
        <f>IF(F84="",0,IF(L84="j",tabellen!$C$15*BJ84,0))</f>
        <v>0</v>
      </c>
      <c r="AK84" s="503">
        <v>0</v>
      </c>
      <c r="AL84" s="484"/>
      <c r="AM84" s="503">
        <v>0</v>
      </c>
      <c r="AN84" s="484"/>
      <c r="AO84" s="499">
        <f t="shared" si="52"/>
        <v>0</v>
      </c>
      <c r="AP84" s="499">
        <f t="shared" si="53"/>
        <v>0</v>
      </c>
      <c r="AQ84" s="484"/>
      <c r="AR84" s="504" t="str">
        <f t="shared" si="42"/>
        <v/>
      </c>
      <c r="AS84" s="504" t="str">
        <f t="shared" si="43"/>
        <v/>
      </c>
      <c r="AT84" s="484"/>
      <c r="AU84" s="453"/>
      <c r="AV84" s="444"/>
      <c r="AW84" s="444"/>
      <c r="AX84" s="505">
        <f t="shared" ca="1" si="54"/>
        <v>120</v>
      </c>
      <c r="AY84" s="505">
        <f t="shared" ca="1" si="55"/>
        <v>1</v>
      </c>
      <c r="AZ84" s="505">
        <f t="shared" ca="1" si="56"/>
        <v>27</v>
      </c>
      <c r="BA84" s="454">
        <f t="shared" si="44"/>
        <v>100</v>
      </c>
      <c r="BB84" s="454">
        <f t="shared" si="45"/>
        <v>0</v>
      </c>
      <c r="BC84" s="480">
        <v>42583</v>
      </c>
      <c r="BD84" s="506">
        <f t="shared" si="25"/>
        <v>0.08</v>
      </c>
      <c r="BE84" s="507">
        <f>tabellen!$D$34</f>
        <v>7.3999999999999996E-2</v>
      </c>
      <c r="BF84" s="505">
        <f t="shared" si="57"/>
        <v>0</v>
      </c>
      <c r="BG84" s="508" t="e">
        <f>IF(V84/H84&lt;tabellen!$E$7,0,(V84-tabellen!$E$7*H84)/12*tabellen!$D$7)</f>
        <v>#DIV/0!</v>
      </c>
      <c r="BH84" s="508" t="e">
        <f>IF(V84/H84&lt;tabellen!$E$8,0,(V84-tabellen!$E$8*H84)/12*tabellen!$D$8)</f>
        <v>#DIV/0!</v>
      </c>
      <c r="BI84" s="509" t="e">
        <f t="shared" si="58"/>
        <v>#DIV/0!</v>
      </c>
      <c r="BJ84" s="510" t="e">
        <f>+W84/12-'[1]wgl tot'!BL84</f>
        <v>#DIV/0!</v>
      </c>
      <c r="BK84" s="510" t="e">
        <f>ROUND(IF('[1]wgl tot'!BM84&gt;[1]tabellen!$H$11,[1]tabellen!$H$11,'[1]wgl tot'!BM84)*[1]tabellen!$C$11,2)</f>
        <v>#DIV/0!</v>
      </c>
      <c r="BL84" s="510" t="e">
        <f>+'[1]wgl tot'!BM84+'[1]wgl tot'!BN84</f>
        <v>#DIV/0!</v>
      </c>
      <c r="BM84" s="511">
        <f t="shared" si="46"/>
        <v>1900</v>
      </c>
      <c r="BN84" s="511">
        <f t="shared" si="47"/>
        <v>1</v>
      </c>
      <c r="BO84" s="505">
        <f t="shared" si="48"/>
        <v>0</v>
      </c>
      <c r="BP84" s="480">
        <f t="shared" si="22"/>
        <v>22462</v>
      </c>
      <c r="BQ84" s="480">
        <f t="shared" ca="1" si="23"/>
        <v>43888.768521180558</v>
      </c>
      <c r="BR84" s="454"/>
      <c r="BS84" s="480"/>
      <c r="BT84" s="454"/>
      <c r="BU84" s="512"/>
      <c r="BV84" s="512"/>
      <c r="BW84" s="512"/>
      <c r="BX84" s="512"/>
      <c r="BY84" s="512"/>
      <c r="BZ84" s="512"/>
      <c r="CA84" s="444"/>
      <c r="CB84" s="444"/>
    </row>
    <row r="85" spans="1:80" s="456" customFormat="1" ht="12" customHeight="1" x14ac:dyDescent="0.2">
      <c r="A85" s="444"/>
      <c r="B85" s="445"/>
      <c r="C85" s="484"/>
      <c r="D85" s="493"/>
      <c r="E85" s="494"/>
      <c r="F85" s="495"/>
      <c r="G85" s="495"/>
      <c r="H85" s="496"/>
      <c r="I85" s="535"/>
      <c r="J85" s="495"/>
      <c r="K85" s="497"/>
      <c r="L85" s="497"/>
      <c r="M85" s="498">
        <f>IF(F85="",0,(VLOOKUP('wgl tot'!F85,saltab2019juni,G85+1,FALSE)))</f>
        <v>0</v>
      </c>
      <c r="N85" s="499">
        <f t="shared" si="37"/>
        <v>0</v>
      </c>
      <c r="O85" s="484"/>
      <c r="P85" s="498">
        <f>ROUND(IF((M85+Q85)*BD85&lt;H85*tabellen!$D$33,H85*tabellen!$D$33,(M85+R85)*BD85),2)</f>
        <v>0</v>
      </c>
      <c r="Q85" s="498">
        <f t="shared" si="38"/>
        <v>0</v>
      </c>
      <c r="R85" s="498">
        <f t="shared" si="39"/>
        <v>0</v>
      </c>
      <c r="S85" s="498">
        <f t="shared" si="40"/>
        <v>0</v>
      </c>
      <c r="T85" s="498">
        <f t="shared" si="59"/>
        <v>0</v>
      </c>
      <c r="U85" s="498">
        <f>ROUND(H85*tabellen!$D$27,2)</f>
        <v>0</v>
      </c>
      <c r="V85" s="500">
        <f t="shared" si="49"/>
        <v>0</v>
      </c>
      <c r="W85" s="499">
        <f t="shared" si="50"/>
        <v>0</v>
      </c>
      <c r="X85" s="484"/>
      <c r="Y85" s="500">
        <f t="shared" si="51"/>
        <v>0</v>
      </c>
      <c r="Z85" s="501">
        <v>0</v>
      </c>
      <c r="AA85" s="484"/>
      <c r="AB85" s="498">
        <f>IF(F85="",0,(IF(V85/H85&lt;tabellen!$E$7,0,(V85-tabellen!$E$7*H85)/12)*tabellen!$C$7))</f>
        <v>0</v>
      </c>
      <c r="AC85" s="498">
        <f>IF(F85="",0,(IF(V85/H85&lt;tabellen!$E$7,0,(V85-tabellen!$E$7*H85)/12)*tabellen!$C$8))</f>
        <v>0</v>
      </c>
      <c r="AD85" s="498">
        <f>V85/12*tabellen!$C$9</f>
        <v>0</v>
      </c>
      <c r="AE85" s="498">
        <f>IF(H85=0,0,IF(BJ85&gt;tabellen!$G$10/12,$G$10/12,BJ85)*(tabellen!$C$10+tabellen!$C$11))</f>
        <v>0</v>
      </c>
      <c r="AF85" s="498">
        <f t="shared" si="41"/>
        <v>0</v>
      </c>
      <c r="AG85" s="502">
        <f>IF(F85="",0,(IF(BJ85&gt;tabellen!$G$13*H85/12,tabellen!$G$13*H85/12,BJ85*tabellen!$C$13)))</f>
        <v>0</v>
      </c>
      <c r="AH85" s="484"/>
      <c r="AI85" s="502">
        <f>IF(F85="",0,IF(K85="j",tabellen!$C$14*BJ85,0))</f>
        <v>0</v>
      </c>
      <c r="AJ85" s="502">
        <f>IF(F85="",0,IF(L85="j",tabellen!$C$15*BJ85,0))</f>
        <v>0</v>
      </c>
      <c r="AK85" s="503">
        <v>0</v>
      </c>
      <c r="AL85" s="484"/>
      <c r="AM85" s="503">
        <v>0</v>
      </c>
      <c r="AN85" s="484"/>
      <c r="AO85" s="499">
        <f t="shared" si="52"/>
        <v>0</v>
      </c>
      <c r="AP85" s="499">
        <f t="shared" si="53"/>
        <v>0</v>
      </c>
      <c r="AQ85" s="484"/>
      <c r="AR85" s="504" t="str">
        <f t="shared" si="42"/>
        <v/>
      </c>
      <c r="AS85" s="504" t="str">
        <f t="shared" si="43"/>
        <v/>
      </c>
      <c r="AT85" s="484"/>
      <c r="AU85" s="453"/>
      <c r="AV85" s="444"/>
      <c r="AW85" s="444"/>
      <c r="AX85" s="505">
        <f t="shared" ca="1" si="54"/>
        <v>120</v>
      </c>
      <c r="AY85" s="505">
        <f t="shared" ca="1" si="55"/>
        <v>1</v>
      </c>
      <c r="AZ85" s="505">
        <f t="shared" ca="1" si="56"/>
        <v>27</v>
      </c>
      <c r="BA85" s="454">
        <f t="shared" si="44"/>
        <v>100</v>
      </c>
      <c r="BB85" s="454">
        <f t="shared" si="45"/>
        <v>0</v>
      </c>
      <c r="BC85" s="480">
        <v>42583</v>
      </c>
      <c r="BD85" s="506">
        <f t="shared" si="25"/>
        <v>0.08</v>
      </c>
      <c r="BE85" s="507">
        <f>tabellen!$D$34</f>
        <v>7.3999999999999996E-2</v>
      </c>
      <c r="BF85" s="505">
        <f t="shared" si="57"/>
        <v>0</v>
      </c>
      <c r="BG85" s="508" t="e">
        <f>IF(V85/H85&lt;tabellen!$E$7,0,(V85-tabellen!$E$7*H85)/12*tabellen!$D$7)</f>
        <v>#DIV/0!</v>
      </c>
      <c r="BH85" s="508" t="e">
        <f>IF(V85/H85&lt;tabellen!$E$8,0,(V85-tabellen!$E$8*H85)/12*tabellen!$D$8)</f>
        <v>#DIV/0!</v>
      </c>
      <c r="BI85" s="509" t="e">
        <f t="shared" si="58"/>
        <v>#DIV/0!</v>
      </c>
      <c r="BJ85" s="510" t="e">
        <f>+W85/12-'[1]wgl tot'!BL85</f>
        <v>#DIV/0!</v>
      </c>
      <c r="BK85" s="510" t="e">
        <f>ROUND(IF('[1]wgl tot'!BM85&gt;[1]tabellen!$H$11,[1]tabellen!$H$11,'[1]wgl tot'!BM85)*[1]tabellen!$C$11,2)</f>
        <v>#DIV/0!</v>
      </c>
      <c r="BL85" s="510" t="e">
        <f>+'[1]wgl tot'!BM85+'[1]wgl tot'!BN85</f>
        <v>#DIV/0!</v>
      </c>
      <c r="BM85" s="511">
        <f t="shared" si="46"/>
        <v>1900</v>
      </c>
      <c r="BN85" s="511">
        <f t="shared" si="47"/>
        <v>1</v>
      </c>
      <c r="BO85" s="505">
        <f t="shared" si="48"/>
        <v>0</v>
      </c>
      <c r="BP85" s="480">
        <f t="shared" si="22"/>
        <v>22462</v>
      </c>
      <c r="BQ85" s="480">
        <f t="shared" ca="1" si="23"/>
        <v>43888.768521180558</v>
      </c>
      <c r="BR85" s="454"/>
      <c r="BS85" s="480"/>
      <c r="BT85" s="454"/>
      <c r="BU85" s="512"/>
      <c r="BV85" s="512"/>
      <c r="BW85" s="512"/>
      <c r="BX85" s="512"/>
      <c r="BY85" s="512"/>
      <c r="BZ85" s="512"/>
      <c r="CA85" s="444"/>
      <c r="CB85" s="444"/>
    </row>
    <row r="86" spans="1:80" s="456" customFormat="1" ht="12" customHeight="1" x14ac:dyDescent="0.2">
      <c r="A86" s="444"/>
      <c r="B86" s="445"/>
      <c r="C86" s="484"/>
      <c r="D86" s="493"/>
      <c r="E86" s="494"/>
      <c r="F86" s="495"/>
      <c r="G86" s="495"/>
      <c r="H86" s="496"/>
      <c r="I86" s="535"/>
      <c r="J86" s="495"/>
      <c r="K86" s="497"/>
      <c r="L86" s="497"/>
      <c r="M86" s="498">
        <f>IF(F86="",0,(VLOOKUP('wgl tot'!F86,saltab2019juni,G86+1,FALSE)))</f>
        <v>0</v>
      </c>
      <c r="N86" s="499">
        <f t="shared" si="37"/>
        <v>0</v>
      </c>
      <c r="O86" s="484"/>
      <c r="P86" s="498">
        <f>ROUND(IF((M86+Q86)*BD86&lt;H86*tabellen!$D$33,H86*tabellen!$D$33,(M86+R86)*BD86),2)</f>
        <v>0</v>
      </c>
      <c r="Q86" s="498">
        <f t="shared" si="38"/>
        <v>0</v>
      </c>
      <c r="R86" s="498">
        <f t="shared" si="39"/>
        <v>0</v>
      </c>
      <c r="S86" s="498">
        <f t="shared" si="40"/>
        <v>0</v>
      </c>
      <c r="T86" s="498">
        <f t="shared" si="59"/>
        <v>0</v>
      </c>
      <c r="U86" s="498">
        <f>ROUND(H86*tabellen!$D$27,2)</f>
        <v>0</v>
      </c>
      <c r="V86" s="500">
        <f t="shared" si="49"/>
        <v>0</v>
      </c>
      <c r="W86" s="499">
        <f t="shared" si="50"/>
        <v>0</v>
      </c>
      <c r="X86" s="484"/>
      <c r="Y86" s="500">
        <f t="shared" si="51"/>
        <v>0</v>
      </c>
      <c r="Z86" s="501">
        <v>0</v>
      </c>
      <c r="AA86" s="484"/>
      <c r="AB86" s="498">
        <f>IF(F86="",0,(IF(V86/H86&lt;tabellen!$E$7,0,(V86-tabellen!$E$7*H86)/12)*tabellen!$C$7))</f>
        <v>0</v>
      </c>
      <c r="AC86" s="498">
        <f>IF(F86="",0,(IF(V86/H86&lt;tabellen!$E$7,0,(V86-tabellen!$E$7*H86)/12)*tabellen!$C$8))</f>
        <v>0</v>
      </c>
      <c r="AD86" s="498">
        <f>V86/12*tabellen!$C$9</f>
        <v>0</v>
      </c>
      <c r="AE86" s="498">
        <f>IF(H86=0,0,IF(BJ86&gt;tabellen!$G$10/12,$G$10/12,BJ86)*(tabellen!$C$10+tabellen!$C$11))</f>
        <v>0</v>
      </c>
      <c r="AF86" s="498">
        <f t="shared" si="41"/>
        <v>0</v>
      </c>
      <c r="AG86" s="502">
        <f>IF(F86="",0,(IF(BJ86&gt;tabellen!$G$13*H86/12,tabellen!$G$13*H86/12,BJ86*tabellen!$C$13)))</f>
        <v>0</v>
      </c>
      <c r="AH86" s="484"/>
      <c r="AI86" s="502">
        <f>IF(F86="",0,IF(K86="j",tabellen!$C$14*BJ86,0))</f>
        <v>0</v>
      </c>
      <c r="AJ86" s="502">
        <f>IF(F86="",0,IF(L86="j",tabellen!$C$15*BJ86,0))</f>
        <v>0</v>
      </c>
      <c r="AK86" s="503">
        <v>0</v>
      </c>
      <c r="AL86" s="484"/>
      <c r="AM86" s="503">
        <v>0</v>
      </c>
      <c r="AN86" s="484"/>
      <c r="AO86" s="499">
        <f t="shared" si="52"/>
        <v>0</v>
      </c>
      <c r="AP86" s="499">
        <f t="shared" si="53"/>
        <v>0</v>
      </c>
      <c r="AQ86" s="484"/>
      <c r="AR86" s="504" t="str">
        <f t="shared" si="42"/>
        <v/>
      </c>
      <c r="AS86" s="504" t="str">
        <f t="shared" si="43"/>
        <v/>
      </c>
      <c r="AT86" s="484"/>
      <c r="AU86" s="453"/>
      <c r="AV86" s="444"/>
      <c r="AW86" s="444"/>
      <c r="AX86" s="505">
        <f t="shared" ca="1" si="54"/>
        <v>120</v>
      </c>
      <c r="AY86" s="505">
        <f t="shared" ca="1" si="55"/>
        <v>1</v>
      </c>
      <c r="AZ86" s="505">
        <f t="shared" ca="1" si="56"/>
        <v>27</v>
      </c>
      <c r="BA86" s="454">
        <f t="shared" si="44"/>
        <v>100</v>
      </c>
      <c r="BB86" s="454">
        <f t="shared" si="45"/>
        <v>0</v>
      </c>
      <c r="BC86" s="480">
        <v>42583</v>
      </c>
      <c r="BD86" s="506">
        <f t="shared" si="25"/>
        <v>0.08</v>
      </c>
      <c r="BE86" s="507">
        <f>tabellen!$D$34</f>
        <v>7.3999999999999996E-2</v>
      </c>
      <c r="BF86" s="505">
        <f t="shared" si="57"/>
        <v>0</v>
      </c>
      <c r="BG86" s="508" t="e">
        <f>IF(V86/H86&lt;tabellen!$E$7,0,(V86-tabellen!$E$7*H86)/12*tabellen!$D$7)</f>
        <v>#DIV/0!</v>
      </c>
      <c r="BH86" s="508" t="e">
        <f>IF(V86/H86&lt;tabellen!$E$8,0,(V86-tabellen!$E$8*H86)/12*tabellen!$D$8)</f>
        <v>#DIV/0!</v>
      </c>
      <c r="BI86" s="509" t="e">
        <f t="shared" si="58"/>
        <v>#DIV/0!</v>
      </c>
      <c r="BJ86" s="510" t="e">
        <f>+W86/12-'[1]wgl tot'!BL86</f>
        <v>#DIV/0!</v>
      </c>
      <c r="BK86" s="510" t="e">
        <f>ROUND(IF('[1]wgl tot'!BM86&gt;[1]tabellen!$H$11,[1]tabellen!$H$11,'[1]wgl tot'!BM86)*[1]tabellen!$C$11,2)</f>
        <v>#DIV/0!</v>
      </c>
      <c r="BL86" s="510" t="e">
        <f>+'[1]wgl tot'!BM86+'[1]wgl tot'!BN86</f>
        <v>#DIV/0!</v>
      </c>
      <c r="BM86" s="511">
        <f t="shared" si="46"/>
        <v>1900</v>
      </c>
      <c r="BN86" s="511">
        <f t="shared" si="47"/>
        <v>1</v>
      </c>
      <c r="BO86" s="505">
        <f t="shared" si="48"/>
        <v>0</v>
      </c>
      <c r="BP86" s="480">
        <f t="shared" si="22"/>
        <v>22462</v>
      </c>
      <c r="BQ86" s="480">
        <f t="shared" ca="1" si="23"/>
        <v>43888.768521180558</v>
      </c>
      <c r="BR86" s="454"/>
      <c r="BS86" s="480"/>
      <c r="BT86" s="454"/>
      <c r="BU86" s="512"/>
      <c r="BV86" s="512"/>
      <c r="BW86" s="512"/>
      <c r="BX86" s="512"/>
      <c r="BY86" s="512"/>
      <c r="BZ86" s="512"/>
      <c r="CA86" s="444"/>
      <c r="CB86" s="444"/>
    </row>
    <row r="87" spans="1:80" s="456" customFormat="1" ht="12" customHeight="1" x14ac:dyDescent="0.2">
      <c r="A87" s="444"/>
      <c r="B87" s="445"/>
      <c r="C87" s="484"/>
      <c r="D87" s="485"/>
      <c r="E87" s="484"/>
      <c r="F87" s="484"/>
      <c r="G87" s="484"/>
      <c r="H87" s="484"/>
      <c r="I87" s="484"/>
      <c r="J87" s="484"/>
      <c r="K87" s="484"/>
      <c r="L87" s="484"/>
      <c r="M87" s="484"/>
      <c r="N87" s="484"/>
      <c r="O87" s="484"/>
      <c r="P87" s="484"/>
      <c r="Q87" s="484"/>
      <c r="R87" s="484"/>
      <c r="S87" s="484"/>
      <c r="T87" s="484"/>
      <c r="U87" s="484"/>
      <c r="V87" s="487"/>
      <c r="W87" s="484"/>
      <c r="X87" s="484"/>
      <c r="Y87" s="487"/>
      <c r="Z87" s="513"/>
      <c r="AA87" s="484"/>
      <c r="AB87" s="484"/>
      <c r="AC87" s="484"/>
      <c r="AD87" s="484"/>
      <c r="AE87" s="484"/>
      <c r="AF87" s="484"/>
      <c r="AG87" s="489"/>
      <c r="AH87" s="484"/>
      <c r="AI87" s="489"/>
      <c r="AJ87" s="489"/>
      <c r="AK87" s="514"/>
      <c r="AL87" s="484"/>
      <c r="AM87" s="484"/>
      <c r="AN87" s="484"/>
      <c r="AO87" s="484"/>
      <c r="AP87" s="484"/>
      <c r="AQ87" s="484"/>
      <c r="AR87" s="484"/>
      <c r="AS87" s="484"/>
      <c r="AT87" s="484"/>
      <c r="AU87" s="453"/>
      <c r="AV87" s="444"/>
      <c r="AW87" s="444"/>
      <c r="AX87" s="454"/>
      <c r="AY87" s="454"/>
      <c r="AZ87" s="454"/>
      <c r="BA87" s="454"/>
      <c r="BB87" s="454"/>
      <c r="BC87" s="454"/>
      <c r="BD87" s="454"/>
      <c r="BE87" s="454"/>
      <c r="BF87" s="454"/>
      <c r="BG87" s="454"/>
      <c r="BH87" s="454"/>
      <c r="BI87" s="454"/>
      <c r="BJ87" s="454"/>
      <c r="BK87" s="454"/>
      <c r="BL87" s="454"/>
      <c r="BM87" s="454"/>
      <c r="BN87" s="454"/>
      <c r="BO87" s="454"/>
      <c r="BP87" s="454"/>
      <c r="BQ87" s="454"/>
      <c r="BR87" s="455"/>
      <c r="BS87" s="455"/>
      <c r="BT87" s="455"/>
      <c r="BU87" s="454"/>
      <c r="BV87" s="454"/>
      <c r="BW87" s="454"/>
      <c r="BX87" s="454"/>
      <c r="BY87" s="454"/>
      <c r="BZ87" s="454"/>
      <c r="CA87" s="444"/>
      <c r="CB87" s="444"/>
    </row>
    <row r="88" spans="1:80" s="456" customFormat="1" ht="12" customHeight="1" x14ac:dyDescent="0.2">
      <c r="A88" s="444"/>
      <c r="B88" s="515"/>
      <c r="C88" s="516"/>
      <c r="D88" s="517"/>
      <c r="E88" s="516"/>
      <c r="F88" s="516"/>
      <c r="G88" s="516"/>
      <c r="H88" s="516"/>
      <c r="I88" s="516"/>
      <c r="J88" s="516"/>
      <c r="K88" s="516"/>
      <c r="L88" s="516"/>
      <c r="M88" s="516"/>
      <c r="N88" s="516"/>
      <c r="O88" s="516"/>
      <c r="P88" s="516"/>
      <c r="Q88" s="516"/>
      <c r="R88" s="516"/>
      <c r="S88" s="516"/>
      <c r="T88" s="516"/>
      <c r="U88" s="516"/>
      <c r="V88" s="518"/>
      <c r="W88" s="516"/>
      <c r="X88" s="516"/>
      <c r="Y88" s="518"/>
      <c r="Z88" s="519"/>
      <c r="AA88" s="516"/>
      <c r="AB88" s="516"/>
      <c r="AC88" s="516"/>
      <c r="AD88" s="516"/>
      <c r="AE88" s="516"/>
      <c r="AF88" s="516"/>
      <c r="AG88" s="520"/>
      <c r="AH88" s="516"/>
      <c r="AI88" s="520"/>
      <c r="AJ88" s="520"/>
      <c r="AK88" s="521"/>
      <c r="AL88" s="516"/>
      <c r="AM88" s="516"/>
      <c r="AN88" s="516"/>
      <c r="AO88" s="516"/>
      <c r="AP88" s="516"/>
      <c r="AQ88" s="516"/>
      <c r="AR88" s="516"/>
      <c r="AS88" s="516"/>
      <c r="AT88" s="516"/>
      <c r="AU88" s="522"/>
      <c r="AV88" s="444"/>
      <c r="AW88" s="444"/>
      <c r="AX88" s="454"/>
      <c r="AY88" s="454"/>
      <c r="AZ88" s="454"/>
      <c r="BA88" s="454"/>
      <c r="BB88" s="454"/>
      <c r="BC88" s="454"/>
      <c r="BD88" s="454"/>
      <c r="BE88" s="454"/>
      <c r="BF88" s="454"/>
      <c r="BG88" s="454"/>
      <c r="BH88" s="454"/>
      <c r="BI88" s="454"/>
      <c r="BJ88" s="454"/>
      <c r="BK88" s="454"/>
      <c r="BL88" s="454"/>
      <c r="BM88" s="454"/>
      <c r="BN88" s="454"/>
      <c r="BO88" s="454"/>
      <c r="BP88" s="454"/>
      <c r="BQ88" s="454"/>
      <c r="BR88" s="455"/>
      <c r="BS88" s="455"/>
      <c r="BT88" s="455"/>
      <c r="BU88" s="454"/>
      <c r="BV88" s="454"/>
      <c r="BW88" s="454"/>
      <c r="BX88" s="454"/>
      <c r="BY88" s="454"/>
      <c r="BZ88" s="454"/>
      <c r="CA88" s="444"/>
      <c r="CB88" s="444"/>
    </row>
    <row r="89" spans="1:80" s="401" customFormat="1" ht="13.5" customHeight="1" x14ac:dyDescent="0.2">
      <c r="D89" s="402"/>
      <c r="V89" s="403"/>
      <c r="Y89" s="403"/>
      <c r="Z89" s="404"/>
      <c r="AG89" s="405"/>
      <c r="AI89" s="405"/>
      <c r="AJ89" s="405"/>
      <c r="AK89" s="406"/>
      <c r="AX89" s="407"/>
      <c r="AY89" s="407"/>
      <c r="AZ89" s="407"/>
      <c r="BA89" s="407"/>
      <c r="BB89" s="407"/>
      <c r="BC89" s="407"/>
      <c r="BD89" s="407"/>
      <c r="BE89" s="407"/>
      <c r="BF89" s="407"/>
      <c r="BG89" s="407"/>
      <c r="BH89" s="407"/>
      <c r="BI89" s="407"/>
      <c r="BJ89" s="407"/>
      <c r="BK89" s="407"/>
      <c r="BL89" s="407"/>
      <c r="BM89" s="407"/>
      <c r="BN89" s="407"/>
      <c r="BO89" s="407"/>
      <c r="BP89" s="407"/>
      <c r="BQ89" s="407"/>
      <c r="BR89" s="408"/>
      <c r="BS89" s="408"/>
      <c r="BT89" s="408"/>
      <c r="BU89" s="407"/>
      <c r="BV89" s="407"/>
      <c r="BW89" s="407"/>
      <c r="BX89" s="407"/>
      <c r="BY89" s="407"/>
      <c r="BZ89" s="407"/>
    </row>
    <row r="90" spans="1:80" s="401" customFormat="1" ht="13.5" customHeight="1" x14ac:dyDescent="0.2">
      <c r="D90" s="402"/>
      <c r="V90" s="403"/>
      <c r="Y90" s="403"/>
      <c r="Z90" s="404"/>
      <c r="AG90" s="405"/>
      <c r="AI90" s="405"/>
      <c r="AJ90" s="405"/>
      <c r="AK90" s="406"/>
      <c r="AX90" s="407"/>
      <c r="AY90" s="407"/>
      <c r="AZ90" s="407"/>
      <c r="BA90" s="407"/>
      <c r="BB90" s="407"/>
      <c r="BC90" s="407"/>
      <c r="BD90" s="407"/>
      <c r="BE90" s="407"/>
      <c r="BF90" s="407"/>
      <c r="BG90" s="407"/>
      <c r="BH90" s="407"/>
      <c r="BI90" s="407"/>
      <c r="BJ90" s="407"/>
      <c r="BK90" s="407"/>
      <c r="BL90" s="407"/>
      <c r="BM90" s="407"/>
      <c r="BN90" s="407"/>
      <c r="BO90" s="407"/>
      <c r="BP90" s="407"/>
      <c r="BQ90" s="407"/>
      <c r="BR90" s="408"/>
      <c r="BS90" s="408"/>
      <c r="BT90" s="408"/>
      <c r="BU90" s="407"/>
      <c r="BV90" s="407"/>
      <c r="BW90" s="407"/>
      <c r="BX90" s="407"/>
      <c r="BY90" s="407"/>
      <c r="BZ90" s="407"/>
    </row>
    <row r="91" spans="1:80" s="523" customFormat="1" ht="13.5" customHeight="1" x14ac:dyDescent="0.2">
      <c r="C91" s="532" t="s">
        <v>5</v>
      </c>
      <c r="D91" s="524"/>
      <c r="P91" s="401"/>
      <c r="V91" s="525"/>
      <c r="Y91" s="525"/>
      <c r="Z91" s="404"/>
      <c r="AE91" s="401"/>
      <c r="AF91" s="401"/>
      <c r="AG91" s="405"/>
      <c r="AI91" s="405"/>
      <c r="AJ91" s="405"/>
      <c r="AK91" s="406"/>
      <c r="AX91" s="407"/>
      <c r="AY91" s="407"/>
      <c r="AZ91" s="407"/>
      <c r="BA91" s="407"/>
      <c r="BB91" s="407"/>
      <c r="BC91" s="407"/>
      <c r="BD91" s="407"/>
      <c r="BE91" s="407"/>
      <c r="BF91" s="407"/>
      <c r="BG91" s="407"/>
      <c r="BH91" s="407"/>
      <c r="BI91" s="407"/>
      <c r="BJ91" s="407"/>
      <c r="BK91" s="407"/>
      <c r="BL91" s="407"/>
      <c r="BM91" s="407"/>
      <c r="BN91" s="407"/>
      <c r="BO91" s="407"/>
      <c r="BP91" s="407"/>
      <c r="BQ91" s="407"/>
      <c r="BR91" s="408"/>
      <c r="BS91" s="408"/>
      <c r="BT91" s="408"/>
      <c r="BU91" s="407"/>
      <c r="BV91" s="407"/>
      <c r="BW91" s="407"/>
      <c r="BX91" s="407"/>
      <c r="BY91" s="407"/>
      <c r="BZ91" s="407"/>
    </row>
    <row r="92" spans="1:80" s="523" customFormat="1" ht="13.5" customHeight="1" x14ac:dyDescent="0.2">
      <c r="C92" s="532" t="s">
        <v>6</v>
      </c>
      <c r="D92" s="524"/>
      <c r="P92" s="401"/>
      <c r="V92" s="525"/>
      <c r="Y92" s="525"/>
      <c r="Z92" s="404"/>
      <c r="AE92" s="401"/>
      <c r="AF92" s="401"/>
      <c r="AG92" s="405"/>
      <c r="AI92" s="405"/>
      <c r="AJ92" s="405"/>
      <c r="AK92" s="406"/>
      <c r="AX92" s="407"/>
      <c r="AY92" s="407"/>
      <c r="AZ92" s="407"/>
      <c r="BA92" s="407"/>
      <c r="BB92" s="407"/>
      <c r="BC92" s="407"/>
      <c r="BD92" s="407"/>
      <c r="BE92" s="407"/>
      <c r="BF92" s="407"/>
      <c r="BG92" s="407"/>
      <c r="BH92" s="407"/>
      <c r="BI92" s="407"/>
      <c r="BJ92" s="407"/>
      <c r="BK92" s="407"/>
      <c r="BL92" s="407"/>
      <c r="BM92" s="407"/>
      <c r="BN92" s="407"/>
      <c r="BO92" s="407"/>
      <c r="BP92" s="407"/>
      <c r="BQ92" s="407"/>
      <c r="BR92" s="408"/>
      <c r="BS92" s="408"/>
      <c r="BT92" s="408"/>
      <c r="BU92" s="407"/>
      <c r="BV92" s="407"/>
      <c r="BW92" s="407"/>
      <c r="BX92" s="407"/>
      <c r="BY92" s="407"/>
      <c r="BZ92" s="407"/>
    </row>
    <row r="93" spans="1:80" s="523" customFormat="1" ht="13.5" customHeight="1" x14ac:dyDescent="0.2">
      <c r="C93" s="532" t="s">
        <v>7</v>
      </c>
      <c r="D93" s="524"/>
      <c r="P93" s="401"/>
      <c r="V93" s="525"/>
      <c r="Y93" s="525"/>
      <c r="Z93" s="404"/>
      <c r="AE93" s="401"/>
      <c r="AF93" s="401"/>
      <c r="AG93" s="405"/>
      <c r="AI93" s="405"/>
      <c r="AJ93" s="405"/>
      <c r="AK93" s="406"/>
      <c r="AX93" s="407"/>
      <c r="AY93" s="407"/>
      <c r="AZ93" s="407"/>
      <c r="BA93" s="407"/>
      <c r="BB93" s="407"/>
      <c r="BC93" s="407"/>
      <c r="BD93" s="407"/>
      <c r="BE93" s="407"/>
      <c r="BF93" s="407"/>
      <c r="BG93" s="407"/>
      <c r="BH93" s="407"/>
      <c r="BI93" s="407"/>
      <c r="BJ93" s="407"/>
      <c r="BK93" s="407"/>
      <c r="BL93" s="407"/>
      <c r="BM93" s="407"/>
      <c r="BN93" s="407"/>
      <c r="BO93" s="407"/>
      <c r="BP93" s="407"/>
      <c r="BQ93" s="407"/>
      <c r="BR93" s="408"/>
      <c r="BS93" s="408"/>
      <c r="BT93" s="408"/>
      <c r="BU93" s="407"/>
      <c r="BV93" s="407"/>
      <c r="BW93" s="407"/>
      <c r="BX93" s="407"/>
      <c r="BY93" s="407"/>
      <c r="BZ93" s="407"/>
    </row>
    <row r="94" spans="1:80" s="523" customFormat="1" ht="13.5" customHeight="1" x14ac:dyDescent="0.2">
      <c r="C94" s="532" t="s">
        <v>8</v>
      </c>
      <c r="D94" s="524"/>
      <c r="P94" s="401"/>
      <c r="V94" s="525"/>
      <c r="Y94" s="525"/>
      <c r="Z94" s="404"/>
      <c r="AE94" s="401"/>
      <c r="AF94" s="401"/>
      <c r="AG94" s="405"/>
      <c r="AI94" s="405"/>
      <c r="AJ94" s="405"/>
      <c r="AK94" s="406"/>
      <c r="AX94" s="407"/>
      <c r="AY94" s="407"/>
      <c r="AZ94" s="407"/>
      <c r="BA94" s="407"/>
      <c r="BB94" s="407"/>
      <c r="BC94" s="407"/>
      <c r="BD94" s="407"/>
      <c r="BE94" s="407"/>
      <c r="BF94" s="407"/>
      <c r="BG94" s="407"/>
      <c r="BH94" s="407"/>
      <c r="BI94" s="407"/>
      <c r="BJ94" s="407"/>
      <c r="BK94" s="407"/>
      <c r="BL94" s="407"/>
      <c r="BM94" s="407"/>
      <c r="BN94" s="407"/>
      <c r="BO94" s="407"/>
      <c r="BP94" s="407"/>
      <c r="BQ94" s="407"/>
      <c r="BR94" s="408"/>
      <c r="BS94" s="408"/>
      <c r="BT94" s="408"/>
      <c r="BU94" s="407"/>
      <c r="BV94" s="407"/>
      <c r="BW94" s="407"/>
      <c r="BX94" s="407"/>
      <c r="BY94" s="407"/>
      <c r="BZ94" s="407"/>
    </row>
    <row r="95" spans="1:80" s="523" customFormat="1" ht="13.5" customHeight="1" x14ac:dyDescent="0.2">
      <c r="C95" s="532">
        <v>1</v>
      </c>
      <c r="D95" s="524"/>
      <c r="P95" s="401"/>
      <c r="V95" s="525"/>
      <c r="Y95" s="525"/>
      <c r="Z95" s="404"/>
      <c r="AE95" s="401"/>
      <c r="AF95" s="401"/>
      <c r="AG95" s="405"/>
      <c r="AI95" s="405"/>
      <c r="AJ95" s="405"/>
      <c r="AK95" s="406"/>
      <c r="AX95" s="407"/>
      <c r="AY95" s="407"/>
      <c r="AZ95" s="407"/>
      <c r="BA95" s="407"/>
      <c r="BB95" s="407"/>
      <c r="BC95" s="407"/>
      <c r="BD95" s="407"/>
      <c r="BE95" s="407"/>
      <c r="BF95" s="407"/>
      <c r="BG95" s="407"/>
      <c r="BH95" s="407"/>
      <c r="BI95" s="407"/>
      <c r="BJ95" s="407"/>
      <c r="BK95" s="407"/>
      <c r="BL95" s="407"/>
      <c r="BM95" s="407"/>
      <c r="BN95" s="407"/>
      <c r="BO95" s="407"/>
      <c r="BP95" s="407"/>
      <c r="BQ95" s="407"/>
      <c r="BR95" s="408"/>
      <c r="BS95" s="408"/>
      <c r="BT95" s="408"/>
      <c r="BU95" s="407"/>
      <c r="BV95" s="407"/>
      <c r="BW95" s="407"/>
      <c r="BX95" s="407"/>
      <c r="BY95" s="407"/>
      <c r="BZ95" s="407"/>
    </row>
    <row r="96" spans="1:80" s="523" customFormat="1" ht="13.5" customHeight="1" x14ac:dyDescent="0.2">
      <c r="C96" s="532">
        <v>2</v>
      </c>
      <c r="D96" s="524"/>
      <c r="P96" s="401"/>
      <c r="V96" s="525"/>
      <c r="Y96" s="525"/>
      <c r="Z96" s="404"/>
      <c r="AE96" s="401"/>
      <c r="AF96" s="401"/>
      <c r="AG96" s="405"/>
      <c r="AI96" s="405"/>
      <c r="AJ96" s="405"/>
      <c r="AK96" s="406"/>
      <c r="AX96" s="407"/>
      <c r="AY96" s="407"/>
      <c r="AZ96" s="407"/>
      <c r="BA96" s="407"/>
      <c r="BB96" s="407"/>
      <c r="BC96" s="407"/>
      <c r="BD96" s="407"/>
      <c r="BE96" s="407"/>
      <c r="BF96" s="407"/>
      <c r="BG96" s="407"/>
      <c r="BH96" s="407"/>
      <c r="BI96" s="407"/>
      <c r="BJ96" s="407"/>
      <c r="BK96" s="407"/>
      <c r="BL96" s="407"/>
      <c r="BM96" s="407"/>
      <c r="BN96" s="407"/>
      <c r="BO96" s="407"/>
      <c r="BP96" s="407"/>
      <c r="BQ96" s="407"/>
      <c r="BR96" s="408"/>
      <c r="BS96" s="408"/>
      <c r="BT96" s="408"/>
      <c r="BU96" s="407"/>
      <c r="BV96" s="407"/>
      <c r="BW96" s="407"/>
      <c r="BX96" s="407"/>
      <c r="BY96" s="407"/>
      <c r="BZ96" s="407"/>
    </row>
    <row r="97" spans="3:78" s="523" customFormat="1" ht="13.5" customHeight="1" x14ac:dyDescent="0.2">
      <c r="C97" s="532">
        <v>3</v>
      </c>
      <c r="D97" s="524"/>
      <c r="P97" s="401"/>
      <c r="V97" s="525"/>
      <c r="Y97" s="525"/>
      <c r="Z97" s="404"/>
      <c r="AE97" s="401"/>
      <c r="AF97" s="401"/>
      <c r="AG97" s="405"/>
      <c r="AI97" s="405"/>
      <c r="AJ97" s="405"/>
      <c r="AK97" s="406"/>
      <c r="AX97" s="407"/>
      <c r="AY97" s="407"/>
      <c r="AZ97" s="407"/>
      <c r="BA97" s="407"/>
      <c r="BB97" s="407"/>
      <c r="BC97" s="407"/>
      <c r="BD97" s="407"/>
      <c r="BE97" s="407"/>
      <c r="BF97" s="407"/>
      <c r="BG97" s="407"/>
      <c r="BH97" s="407"/>
      <c r="BI97" s="407"/>
      <c r="BJ97" s="407"/>
      <c r="BK97" s="407"/>
      <c r="BL97" s="407"/>
      <c r="BM97" s="407"/>
      <c r="BN97" s="407"/>
      <c r="BO97" s="407"/>
      <c r="BP97" s="407"/>
      <c r="BQ97" s="407"/>
      <c r="BR97" s="408"/>
      <c r="BS97" s="408"/>
      <c r="BT97" s="408"/>
      <c r="BU97" s="407"/>
      <c r="BV97" s="407"/>
      <c r="BW97" s="407"/>
      <c r="BX97" s="407"/>
      <c r="BY97" s="407"/>
      <c r="BZ97" s="407"/>
    </row>
    <row r="98" spans="3:78" s="523" customFormat="1" ht="13.5" customHeight="1" x14ac:dyDescent="0.2">
      <c r="C98" s="532">
        <v>4</v>
      </c>
      <c r="D98" s="524"/>
      <c r="P98" s="401"/>
      <c r="V98" s="525"/>
      <c r="Y98" s="525"/>
      <c r="Z98" s="404"/>
      <c r="AE98" s="401"/>
      <c r="AF98" s="401"/>
      <c r="AG98" s="405"/>
      <c r="AI98" s="405"/>
      <c r="AJ98" s="405"/>
      <c r="AK98" s="406"/>
      <c r="AX98" s="407"/>
      <c r="AY98" s="407"/>
      <c r="AZ98" s="407"/>
      <c r="BA98" s="407"/>
      <c r="BB98" s="407"/>
      <c r="BC98" s="407"/>
      <c r="BD98" s="407"/>
      <c r="BE98" s="407"/>
      <c r="BF98" s="407"/>
      <c r="BG98" s="407"/>
      <c r="BH98" s="407"/>
      <c r="BI98" s="407"/>
      <c r="BJ98" s="407"/>
      <c r="BK98" s="407"/>
      <c r="BL98" s="407"/>
      <c r="BM98" s="407"/>
      <c r="BN98" s="407"/>
      <c r="BO98" s="407"/>
      <c r="BP98" s="407"/>
      <c r="BQ98" s="407"/>
      <c r="BR98" s="408"/>
      <c r="BS98" s="408"/>
      <c r="BT98" s="408"/>
      <c r="BU98" s="407"/>
      <c r="BV98" s="407"/>
      <c r="BW98" s="407"/>
      <c r="BX98" s="407"/>
      <c r="BY98" s="407"/>
      <c r="BZ98" s="407"/>
    </row>
    <row r="99" spans="3:78" s="523" customFormat="1" ht="13.5" customHeight="1" x14ac:dyDescent="0.2">
      <c r="C99" s="532">
        <v>5</v>
      </c>
      <c r="D99" s="524"/>
      <c r="P99" s="401"/>
      <c r="V99" s="525"/>
      <c r="Y99" s="525"/>
      <c r="Z99" s="404"/>
      <c r="AE99" s="401"/>
      <c r="AF99" s="401"/>
      <c r="AG99" s="405"/>
      <c r="AI99" s="405"/>
      <c r="AJ99" s="405"/>
      <c r="AK99" s="406"/>
      <c r="AX99" s="407"/>
      <c r="AY99" s="407"/>
      <c r="AZ99" s="407"/>
      <c r="BA99" s="407"/>
      <c r="BB99" s="407"/>
      <c r="BC99" s="407"/>
      <c r="BD99" s="407"/>
      <c r="BE99" s="407"/>
      <c r="BF99" s="407"/>
      <c r="BG99" s="407"/>
      <c r="BH99" s="407"/>
      <c r="BI99" s="407"/>
      <c r="BJ99" s="407"/>
      <c r="BK99" s="407"/>
      <c r="BL99" s="407"/>
      <c r="BM99" s="407"/>
      <c r="BN99" s="407"/>
      <c r="BO99" s="407"/>
      <c r="BP99" s="407"/>
      <c r="BQ99" s="407"/>
      <c r="BR99" s="408"/>
      <c r="BS99" s="408"/>
      <c r="BT99" s="408"/>
      <c r="BU99" s="407"/>
      <c r="BV99" s="407"/>
      <c r="BW99" s="407"/>
      <c r="BX99" s="407"/>
      <c r="BY99" s="407"/>
      <c r="BZ99" s="407"/>
    </row>
    <row r="100" spans="3:78" s="523" customFormat="1" ht="13.5" customHeight="1" x14ac:dyDescent="0.2">
      <c r="C100" s="532">
        <v>6</v>
      </c>
      <c r="D100" s="524"/>
      <c r="P100" s="401"/>
      <c r="V100" s="525"/>
      <c r="Y100" s="525"/>
      <c r="Z100" s="404"/>
      <c r="AE100" s="401"/>
      <c r="AF100" s="401"/>
      <c r="AG100" s="405"/>
      <c r="AI100" s="405"/>
      <c r="AJ100" s="405"/>
      <c r="AK100" s="406"/>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8"/>
      <c r="BS100" s="408"/>
      <c r="BT100" s="408"/>
      <c r="BU100" s="407"/>
      <c r="BV100" s="407"/>
      <c r="BW100" s="407"/>
      <c r="BX100" s="407"/>
      <c r="BY100" s="407"/>
      <c r="BZ100" s="407"/>
    </row>
    <row r="101" spans="3:78" s="523" customFormat="1" ht="13.5" customHeight="1" x14ac:dyDescent="0.2">
      <c r="C101" s="532">
        <v>7</v>
      </c>
      <c r="D101" s="524"/>
      <c r="P101" s="401"/>
      <c r="V101" s="525"/>
      <c r="Y101" s="525"/>
      <c r="Z101" s="404"/>
      <c r="AE101" s="401"/>
      <c r="AF101" s="401"/>
      <c r="AG101" s="405"/>
      <c r="AI101" s="405"/>
      <c r="AJ101" s="405"/>
      <c r="AK101" s="406"/>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8"/>
      <c r="BS101" s="408"/>
      <c r="BT101" s="408"/>
      <c r="BU101" s="407"/>
      <c r="BV101" s="407"/>
      <c r="BW101" s="407"/>
      <c r="BX101" s="407"/>
      <c r="BY101" s="407"/>
      <c r="BZ101" s="407"/>
    </row>
    <row r="102" spans="3:78" s="523" customFormat="1" ht="13.5" customHeight="1" x14ac:dyDescent="0.2">
      <c r="C102" s="532">
        <v>8</v>
      </c>
      <c r="D102" s="524"/>
      <c r="P102" s="401"/>
      <c r="V102" s="525"/>
      <c r="Y102" s="525"/>
      <c r="Z102" s="404"/>
      <c r="AE102" s="401"/>
      <c r="AF102" s="401"/>
      <c r="AG102" s="405"/>
      <c r="AI102" s="405"/>
      <c r="AJ102" s="405"/>
      <c r="AK102" s="406"/>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8"/>
      <c r="BS102" s="408"/>
      <c r="BT102" s="408"/>
      <c r="BU102" s="407"/>
      <c r="BV102" s="407"/>
      <c r="BW102" s="407"/>
      <c r="BX102" s="407"/>
      <c r="BY102" s="407"/>
      <c r="BZ102" s="407"/>
    </row>
    <row r="103" spans="3:78" s="523" customFormat="1" ht="13.5" customHeight="1" x14ac:dyDescent="0.2">
      <c r="C103" s="532">
        <v>9</v>
      </c>
      <c r="D103" s="524"/>
      <c r="P103" s="401"/>
      <c r="V103" s="525"/>
      <c r="Y103" s="525"/>
      <c r="Z103" s="404"/>
      <c r="AE103" s="401"/>
      <c r="AF103" s="401"/>
      <c r="AG103" s="405"/>
      <c r="AI103" s="405"/>
      <c r="AJ103" s="405"/>
      <c r="AK103" s="406"/>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8"/>
      <c r="BS103" s="408"/>
      <c r="BT103" s="408"/>
      <c r="BU103" s="407"/>
      <c r="BV103" s="407"/>
      <c r="BW103" s="407"/>
      <c r="BX103" s="407"/>
      <c r="BY103" s="407"/>
      <c r="BZ103" s="407"/>
    </row>
    <row r="104" spans="3:78" s="523" customFormat="1" ht="13.5" customHeight="1" x14ac:dyDescent="0.2">
      <c r="C104" s="532">
        <v>10</v>
      </c>
      <c r="D104" s="524"/>
      <c r="P104" s="401"/>
      <c r="V104" s="525"/>
      <c r="Y104" s="525"/>
      <c r="Z104" s="404"/>
      <c r="AE104" s="401"/>
      <c r="AF104" s="401"/>
      <c r="AG104" s="405"/>
      <c r="AI104" s="405"/>
      <c r="AJ104" s="405"/>
      <c r="AK104" s="406"/>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8"/>
      <c r="BS104" s="408"/>
      <c r="BT104" s="408"/>
      <c r="BU104" s="407"/>
      <c r="BV104" s="407"/>
      <c r="BW104" s="407"/>
      <c r="BX104" s="407"/>
      <c r="BY104" s="407"/>
      <c r="BZ104" s="407"/>
    </row>
    <row r="105" spans="3:78" s="523" customFormat="1" ht="13.5" customHeight="1" x14ac:dyDescent="0.2">
      <c r="C105" s="532">
        <v>11</v>
      </c>
      <c r="D105" s="524"/>
      <c r="P105" s="401"/>
      <c r="V105" s="525"/>
      <c r="Y105" s="525"/>
      <c r="Z105" s="404"/>
      <c r="AE105" s="401"/>
      <c r="AF105" s="401"/>
      <c r="AG105" s="405"/>
      <c r="AI105" s="405"/>
      <c r="AJ105" s="405"/>
      <c r="AK105" s="406"/>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8"/>
      <c r="BS105" s="408"/>
      <c r="BT105" s="408"/>
      <c r="BU105" s="407"/>
      <c r="BV105" s="407"/>
      <c r="BW105" s="407"/>
      <c r="BX105" s="407"/>
      <c r="BY105" s="407"/>
      <c r="BZ105" s="407"/>
    </row>
    <row r="106" spans="3:78" s="523" customFormat="1" ht="13.5" customHeight="1" x14ac:dyDescent="0.2">
      <c r="C106" s="532">
        <v>12</v>
      </c>
      <c r="D106" s="524"/>
      <c r="P106" s="401"/>
      <c r="V106" s="525"/>
      <c r="Y106" s="525"/>
      <c r="Z106" s="404"/>
      <c r="AE106" s="401"/>
      <c r="AF106" s="401"/>
      <c r="AG106" s="405"/>
      <c r="AI106" s="405"/>
      <c r="AJ106" s="405"/>
      <c r="AK106" s="406"/>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8"/>
      <c r="BS106" s="408"/>
      <c r="BT106" s="408"/>
      <c r="BU106" s="407"/>
      <c r="BV106" s="407"/>
      <c r="BW106" s="407"/>
      <c r="BX106" s="407"/>
      <c r="BY106" s="407"/>
      <c r="BZ106" s="407"/>
    </row>
    <row r="107" spans="3:78" s="523" customFormat="1" ht="13.5" customHeight="1" x14ac:dyDescent="0.2">
      <c r="C107" s="532">
        <v>13</v>
      </c>
      <c r="D107" s="524"/>
      <c r="P107" s="401"/>
      <c r="V107" s="525"/>
      <c r="Y107" s="525"/>
      <c r="Z107" s="404"/>
      <c r="AE107" s="401"/>
      <c r="AF107" s="401"/>
      <c r="AG107" s="405"/>
      <c r="AI107" s="405"/>
      <c r="AJ107" s="405"/>
      <c r="AK107" s="406"/>
      <c r="AX107" s="407"/>
      <c r="AY107" s="407"/>
      <c r="AZ107" s="407"/>
      <c r="BA107" s="407"/>
      <c r="BB107" s="407"/>
      <c r="BC107" s="407"/>
      <c r="BD107" s="407"/>
      <c r="BE107" s="407"/>
      <c r="BF107" s="407"/>
      <c r="BG107" s="407"/>
      <c r="BH107" s="407"/>
      <c r="BI107" s="407"/>
      <c r="BJ107" s="407"/>
      <c r="BK107" s="407"/>
      <c r="BL107" s="407"/>
      <c r="BM107" s="407"/>
      <c r="BN107" s="407"/>
      <c r="BO107" s="407"/>
      <c r="BP107" s="407"/>
      <c r="BQ107" s="407"/>
      <c r="BR107" s="408"/>
      <c r="BS107" s="408"/>
      <c r="BT107" s="408"/>
      <c r="BU107" s="407"/>
      <c r="BV107" s="407"/>
      <c r="BW107" s="407"/>
      <c r="BX107" s="407"/>
      <c r="BY107" s="407"/>
      <c r="BZ107" s="407"/>
    </row>
    <row r="108" spans="3:78" s="523" customFormat="1" ht="13.5" customHeight="1" x14ac:dyDescent="0.2">
      <c r="C108" s="532">
        <v>14</v>
      </c>
      <c r="D108" s="524"/>
      <c r="P108" s="401"/>
      <c r="V108" s="525"/>
      <c r="Y108" s="525"/>
      <c r="Z108" s="404"/>
      <c r="AE108" s="401"/>
      <c r="AF108" s="401"/>
      <c r="AG108" s="405"/>
      <c r="AI108" s="405"/>
      <c r="AJ108" s="405"/>
      <c r="AK108" s="406"/>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8"/>
      <c r="BS108" s="408"/>
      <c r="BT108" s="408"/>
      <c r="BU108" s="407"/>
      <c r="BV108" s="407"/>
      <c r="BW108" s="407"/>
      <c r="BX108" s="407"/>
      <c r="BY108" s="407"/>
      <c r="BZ108" s="407"/>
    </row>
    <row r="109" spans="3:78" s="523" customFormat="1" ht="13.5" customHeight="1" x14ac:dyDescent="0.2">
      <c r="C109" s="532">
        <v>15</v>
      </c>
      <c r="D109" s="524"/>
      <c r="P109" s="401"/>
      <c r="V109" s="525"/>
      <c r="Y109" s="525"/>
      <c r="Z109" s="404"/>
      <c r="AE109" s="401"/>
      <c r="AF109" s="401"/>
      <c r="AG109" s="405"/>
      <c r="AI109" s="405"/>
      <c r="AJ109" s="405"/>
      <c r="AK109" s="406"/>
      <c r="AX109" s="407"/>
      <c r="AY109" s="407"/>
      <c r="AZ109" s="407"/>
      <c r="BA109" s="407"/>
      <c r="BB109" s="407"/>
      <c r="BC109" s="407"/>
      <c r="BD109" s="407"/>
      <c r="BE109" s="407"/>
      <c r="BF109" s="407"/>
      <c r="BG109" s="407"/>
      <c r="BH109" s="407"/>
      <c r="BI109" s="407"/>
      <c r="BJ109" s="407"/>
      <c r="BK109" s="407"/>
      <c r="BL109" s="407"/>
      <c r="BM109" s="407"/>
      <c r="BN109" s="407"/>
      <c r="BO109" s="407"/>
      <c r="BP109" s="407"/>
      <c r="BQ109" s="407"/>
      <c r="BR109" s="408"/>
      <c r="BS109" s="408"/>
      <c r="BT109" s="408"/>
      <c r="BU109" s="407"/>
      <c r="BV109" s="407"/>
      <c r="BW109" s="407"/>
      <c r="BX109" s="407"/>
      <c r="BY109" s="407"/>
      <c r="BZ109" s="407"/>
    </row>
    <row r="110" spans="3:78" s="523" customFormat="1" ht="13.5" customHeight="1" x14ac:dyDescent="0.2">
      <c r="C110" s="532">
        <v>16</v>
      </c>
      <c r="D110" s="524"/>
      <c r="P110" s="401"/>
      <c r="V110" s="525"/>
      <c r="Y110" s="525"/>
      <c r="Z110" s="404"/>
      <c r="AE110" s="401"/>
      <c r="AF110" s="401"/>
      <c r="AG110" s="405"/>
      <c r="AI110" s="405"/>
      <c r="AJ110" s="405"/>
      <c r="AK110" s="406"/>
      <c r="AX110" s="407"/>
      <c r="AY110" s="407"/>
      <c r="AZ110" s="407"/>
      <c r="BA110" s="407"/>
      <c r="BB110" s="407"/>
      <c r="BC110" s="407"/>
      <c r="BD110" s="407"/>
      <c r="BE110" s="407"/>
      <c r="BF110" s="407"/>
      <c r="BG110" s="407"/>
      <c r="BH110" s="407"/>
      <c r="BI110" s="407"/>
      <c r="BJ110" s="407"/>
      <c r="BK110" s="407"/>
      <c r="BL110" s="407"/>
      <c r="BM110" s="407"/>
      <c r="BN110" s="407"/>
      <c r="BO110" s="407"/>
      <c r="BP110" s="407"/>
      <c r="BQ110" s="407"/>
      <c r="BR110" s="408"/>
      <c r="BS110" s="408"/>
      <c r="BT110" s="408"/>
      <c r="BU110" s="407"/>
      <c r="BV110" s="407"/>
      <c r="BW110" s="407"/>
      <c r="BX110" s="407"/>
      <c r="BY110" s="407"/>
      <c r="BZ110" s="407"/>
    </row>
    <row r="111" spans="3:78" s="523" customFormat="1" ht="13.5" customHeight="1" x14ac:dyDescent="0.2">
      <c r="C111" s="532">
        <v>17</v>
      </c>
      <c r="D111" s="524"/>
      <c r="P111" s="401"/>
      <c r="V111" s="525"/>
      <c r="Y111" s="525"/>
      <c r="Z111" s="404"/>
      <c r="AE111" s="401"/>
      <c r="AF111" s="401"/>
      <c r="AG111" s="405"/>
      <c r="AI111" s="405"/>
      <c r="AJ111" s="405"/>
      <c r="AK111" s="406"/>
      <c r="AX111" s="407"/>
      <c r="AY111" s="407"/>
      <c r="AZ111" s="407"/>
      <c r="BA111" s="407"/>
      <c r="BB111" s="407"/>
      <c r="BC111" s="407"/>
      <c r="BD111" s="407"/>
      <c r="BE111" s="407"/>
      <c r="BF111" s="407"/>
      <c r="BG111" s="407"/>
      <c r="BH111" s="407"/>
      <c r="BI111" s="407"/>
      <c r="BJ111" s="407"/>
      <c r="BK111" s="407"/>
      <c r="BL111" s="407"/>
      <c r="BM111" s="407"/>
      <c r="BN111" s="407"/>
      <c r="BO111" s="407"/>
      <c r="BP111" s="407"/>
      <c r="BQ111" s="407"/>
      <c r="BR111" s="408"/>
      <c r="BS111" s="408"/>
      <c r="BT111" s="408"/>
      <c r="BU111" s="407"/>
      <c r="BV111" s="407"/>
      <c r="BW111" s="407"/>
      <c r="BX111" s="407"/>
      <c r="BY111" s="407"/>
      <c r="BZ111" s="407"/>
    </row>
    <row r="112" spans="3:78" s="523" customFormat="1" ht="13.5" customHeight="1" x14ac:dyDescent="0.2">
      <c r="C112" s="532" t="s">
        <v>9</v>
      </c>
      <c r="D112" s="524"/>
      <c r="P112" s="401"/>
      <c r="V112" s="525"/>
      <c r="Y112" s="525"/>
      <c r="Z112" s="404"/>
      <c r="AE112" s="401"/>
      <c r="AF112" s="401"/>
      <c r="AG112" s="405"/>
      <c r="AI112" s="405"/>
      <c r="AJ112" s="405"/>
      <c r="AK112" s="406"/>
      <c r="AX112" s="407"/>
      <c r="AY112" s="407"/>
      <c r="AZ112" s="407"/>
      <c r="BA112" s="407"/>
      <c r="BB112" s="407"/>
      <c r="BC112" s="407"/>
      <c r="BD112" s="407"/>
      <c r="BE112" s="407"/>
      <c r="BF112" s="407"/>
      <c r="BG112" s="407"/>
      <c r="BH112" s="407"/>
      <c r="BI112" s="407"/>
      <c r="BJ112" s="407"/>
      <c r="BK112" s="407"/>
      <c r="BL112" s="407"/>
      <c r="BM112" s="407"/>
      <c r="BN112" s="407"/>
      <c r="BO112" s="407"/>
      <c r="BP112" s="407"/>
      <c r="BQ112" s="407"/>
      <c r="BR112" s="408"/>
      <c r="BS112" s="408"/>
      <c r="BT112" s="408"/>
      <c r="BU112" s="407"/>
      <c r="BV112" s="407"/>
      <c r="BW112" s="407"/>
      <c r="BX112" s="407"/>
      <c r="BY112" s="407"/>
      <c r="BZ112" s="407"/>
    </row>
    <row r="113" spans="3:78" s="523" customFormat="1" ht="13.5" customHeight="1" x14ac:dyDescent="0.2">
      <c r="C113" s="532" t="s">
        <v>10</v>
      </c>
      <c r="D113" s="524"/>
      <c r="P113" s="401"/>
      <c r="V113" s="525"/>
      <c r="Y113" s="525"/>
      <c r="Z113" s="404"/>
      <c r="AE113" s="401"/>
      <c r="AF113" s="401"/>
      <c r="AG113" s="405"/>
      <c r="AI113" s="405"/>
      <c r="AJ113" s="405"/>
      <c r="AK113" s="406"/>
      <c r="AX113" s="407"/>
      <c r="AY113" s="407"/>
      <c r="AZ113" s="407"/>
      <c r="BA113" s="407"/>
      <c r="BB113" s="407"/>
      <c r="BC113" s="407"/>
      <c r="BD113" s="407"/>
      <c r="BE113" s="407"/>
      <c r="BF113" s="407"/>
      <c r="BG113" s="407"/>
      <c r="BH113" s="407"/>
      <c r="BI113" s="407"/>
      <c r="BJ113" s="407"/>
      <c r="BK113" s="407"/>
      <c r="BL113" s="407"/>
      <c r="BM113" s="407"/>
      <c r="BN113" s="407"/>
      <c r="BO113" s="407"/>
      <c r="BP113" s="407"/>
      <c r="BQ113" s="407"/>
      <c r="BR113" s="408"/>
      <c r="BS113" s="408"/>
      <c r="BT113" s="408"/>
      <c r="BU113" s="407"/>
      <c r="BV113" s="407"/>
      <c r="BW113" s="407"/>
      <c r="BX113" s="407"/>
      <c r="BY113" s="407"/>
      <c r="BZ113" s="407"/>
    </row>
    <row r="114" spans="3:78" s="523" customFormat="1" ht="13.5" customHeight="1" x14ac:dyDescent="0.2">
      <c r="C114" s="532" t="s">
        <v>11</v>
      </c>
      <c r="D114" s="524"/>
      <c r="P114" s="401"/>
      <c r="V114" s="525"/>
      <c r="Y114" s="525"/>
      <c r="Z114" s="404"/>
      <c r="AE114" s="401"/>
      <c r="AF114" s="401"/>
      <c r="AG114" s="405"/>
      <c r="AI114" s="405"/>
      <c r="AJ114" s="405"/>
      <c r="AK114" s="406"/>
      <c r="AX114" s="407"/>
      <c r="AY114" s="407"/>
      <c r="AZ114" s="407"/>
      <c r="BA114" s="407"/>
      <c r="BB114" s="407"/>
      <c r="BC114" s="407"/>
      <c r="BD114" s="407"/>
      <c r="BE114" s="407"/>
      <c r="BF114" s="407"/>
      <c r="BG114" s="407"/>
      <c r="BH114" s="407"/>
      <c r="BI114" s="407"/>
      <c r="BJ114" s="407"/>
      <c r="BK114" s="407"/>
      <c r="BL114" s="407"/>
      <c r="BM114" s="407"/>
      <c r="BN114" s="407"/>
      <c r="BO114" s="407"/>
      <c r="BP114" s="407"/>
      <c r="BQ114" s="407"/>
      <c r="BR114" s="408"/>
      <c r="BS114" s="408"/>
      <c r="BT114" s="408"/>
      <c r="BU114" s="407"/>
      <c r="BV114" s="407"/>
      <c r="BW114" s="407"/>
      <c r="BX114" s="407"/>
      <c r="BY114" s="407"/>
      <c r="BZ114" s="407"/>
    </row>
    <row r="115" spans="3:78" s="523" customFormat="1" ht="13.5" customHeight="1" x14ac:dyDescent="0.2">
      <c r="C115" s="532" t="s">
        <v>12</v>
      </c>
      <c r="D115" s="524"/>
      <c r="P115" s="401"/>
      <c r="V115" s="525"/>
      <c r="Y115" s="525"/>
      <c r="Z115" s="404"/>
      <c r="AE115" s="401"/>
      <c r="AF115" s="401"/>
      <c r="AG115" s="405"/>
      <c r="AI115" s="405"/>
      <c r="AJ115" s="405"/>
      <c r="AK115" s="406"/>
      <c r="AX115" s="407"/>
      <c r="AY115" s="407"/>
      <c r="AZ115" s="407"/>
      <c r="BA115" s="407"/>
      <c r="BB115" s="407"/>
      <c r="BC115" s="407"/>
      <c r="BD115" s="407"/>
      <c r="BE115" s="407"/>
      <c r="BF115" s="407"/>
      <c r="BG115" s="407"/>
      <c r="BH115" s="407"/>
      <c r="BI115" s="407"/>
      <c r="BJ115" s="407"/>
      <c r="BK115" s="407"/>
      <c r="BL115" s="407"/>
      <c r="BM115" s="407"/>
      <c r="BN115" s="407"/>
      <c r="BO115" s="407"/>
      <c r="BP115" s="407"/>
      <c r="BQ115" s="407"/>
      <c r="BR115" s="408"/>
      <c r="BS115" s="408"/>
      <c r="BT115" s="408"/>
      <c r="BU115" s="407"/>
      <c r="BV115" s="407"/>
      <c r="BW115" s="407"/>
      <c r="BX115" s="407"/>
      <c r="BY115" s="407"/>
      <c r="BZ115" s="407"/>
    </row>
    <row r="116" spans="3:78" s="523" customFormat="1" ht="13.5" customHeight="1" x14ac:dyDescent="0.2">
      <c r="C116" s="526" t="s">
        <v>393</v>
      </c>
      <c r="D116" s="524"/>
      <c r="P116" s="401"/>
      <c r="V116" s="525"/>
      <c r="Y116" s="525"/>
      <c r="Z116" s="404"/>
      <c r="AE116" s="401"/>
      <c r="AF116" s="401"/>
      <c r="AG116" s="405"/>
      <c r="AI116" s="405"/>
      <c r="AJ116" s="405"/>
      <c r="AK116" s="406"/>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8"/>
      <c r="BS116" s="408"/>
      <c r="BT116" s="408"/>
      <c r="BU116" s="407"/>
      <c r="BV116" s="407"/>
      <c r="BW116" s="407"/>
      <c r="BX116" s="407"/>
      <c r="BY116" s="407"/>
      <c r="BZ116" s="407"/>
    </row>
    <row r="117" spans="3:78" s="523" customFormat="1" ht="13.5" customHeight="1" x14ac:dyDescent="0.2">
      <c r="C117" s="526">
        <v>1</v>
      </c>
      <c r="D117" s="524"/>
      <c r="P117" s="401"/>
      <c r="V117" s="525"/>
      <c r="Y117" s="525"/>
      <c r="Z117" s="404"/>
      <c r="AE117" s="401"/>
      <c r="AF117" s="401"/>
      <c r="AG117" s="405"/>
      <c r="AI117" s="405"/>
      <c r="AJ117" s="405"/>
      <c r="AK117" s="406"/>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8"/>
      <c r="BS117" s="408"/>
      <c r="BT117" s="408"/>
      <c r="BU117" s="407"/>
      <c r="BV117" s="407"/>
      <c r="BW117" s="407"/>
      <c r="BX117" s="407"/>
      <c r="BY117" s="407"/>
      <c r="BZ117" s="407"/>
    </row>
    <row r="118" spans="3:78" s="523" customFormat="1" ht="13.5" customHeight="1" x14ac:dyDescent="0.2">
      <c r="C118" s="526">
        <v>2</v>
      </c>
      <c r="D118" s="524"/>
      <c r="P118" s="401"/>
      <c r="V118" s="525"/>
      <c r="Y118" s="525"/>
      <c r="Z118" s="404"/>
      <c r="AE118" s="401"/>
      <c r="AF118" s="401"/>
      <c r="AG118" s="405"/>
      <c r="AI118" s="405"/>
      <c r="AJ118" s="405"/>
      <c r="AK118" s="406"/>
      <c r="AX118" s="407"/>
      <c r="AY118" s="407"/>
      <c r="AZ118" s="407"/>
      <c r="BA118" s="407"/>
      <c r="BB118" s="407"/>
      <c r="BC118" s="407"/>
      <c r="BD118" s="407"/>
      <c r="BE118" s="407"/>
      <c r="BF118" s="407"/>
      <c r="BG118" s="407"/>
      <c r="BH118" s="407"/>
      <c r="BI118" s="407"/>
      <c r="BJ118" s="407"/>
      <c r="BK118" s="407"/>
      <c r="BL118" s="407"/>
      <c r="BM118" s="407"/>
      <c r="BN118" s="407"/>
      <c r="BO118" s="407"/>
      <c r="BP118" s="407"/>
      <c r="BQ118" s="407"/>
      <c r="BR118" s="408"/>
      <c r="BS118" s="408"/>
      <c r="BT118" s="408"/>
      <c r="BU118" s="407"/>
      <c r="BV118" s="407"/>
      <c r="BW118" s="407"/>
      <c r="BX118" s="407"/>
      <c r="BY118" s="407"/>
      <c r="BZ118" s="407"/>
    </row>
    <row r="119" spans="3:78" s="523" customFormat="1" ht="13.5" customHeight="1" x14ac:dyDescent="0.2">
      <c r="C119" s="526">
        <v>3</v>
      </c>
      <c r="D119" s="524"/>
      <c r="P119" s="401"/>
      <c r="V119" s="525"/>
      <c r="Y119" s="525"/>
      <c r="Z119" s="404"/>
      <c r="AE119" s="401"/>
      <c r="AF119" s="401"/>
      <c r="AG119" s="405"/>
      <c r="AI119" s="405"/>
      <c r="AJ119" s="405"/>
      <c r="AK119" s="406"/>
      <c r="AX119" s="407"/>
      <c r="AY119" s="407"/>
      <c r="AZ119" s="407"/>
      <c r="BA119" s="407"/>
      <c r="BB119" s="407"/>
      <c r="BC119" s="407"/>
      <c r="BD119" s="407"/>
      <c r="BE119" s="407"/>
      <c r="BF119" s="407"/>
      <c r="BG119" s="407"/>
      <c r="BH119" s="407"/>
      <c r="BI119" s="407"/>
      <c r="BJ119" s="407"/>
      <c r="BK119" s="407"/>
      <c r="BL119" s="407"/>
      <c r="BM119" s="407"/>
      <c r="BN119" s="407"/>
      <c r="BO119" s="407"/>
      <c r="BP119" s="407"/>
      <c r="BQ119" s="407"/>
      <c r="BR119" s="408"/>
      <c r="BS119" s="408"/>
      <c r="BT119" s="408"/>
      <c r="BU119" s="407"/>
      <c r="BV119" s="407"/>
      <c r="BW119" s="407"/>
      <c r="BX119" s="407"/>
      <c r="BY119" s="407"/>
      <c r="BZ119" s="407"/>
    </row>
    <row r="120" spans="3:78" s="523" customFormat="1" ht="13.5" customHeight="1" x14ac:dyDescent="0.2">
      <c r="C120" s="526">
        <v>4</v>
      </c>
      <c r="D120" s="524"/>
      <c r="P120" s="401"/>
      <c r="V120" s="525"/>
      <c r="Y120" s="525"/>
      <c r="Z120" s="404"/>
      <c r="AE120" s="401"/>
      <c r="AF120" s="401"/>
      <c r="AG120" s="405"/>
      <c r="AI120" s="405"/>
      <c r="AJ120" s="405"/>
      <c r="AK120" s="406"/>
      <c r="AX120" s="407"/>
      <c r="AY120" s="407"/>
      <c r="AZ120" s="407"/>
      <c r="BA120" s="407"/>
      <c r="BB120" s="407"/>
      <c r="BC120" s="407"/>
      <c r="BD120" s="407"/>
      <c r="BE120" s="407"/>
      <c r="BF120" s="407"/>
      <c r="BG120" s="407"/>
      <c r="BH120" s="407"/>
      <c r="BI120" s="407"/>
      <c r="BJ120" s="407"/>
      <c r="BK120" s="407"/>
      <c r="BL120" s="407"/>
      <c r="BM120" s="407"/>
      <c r="BN120" s="407"/>
      <c r="BO120" s="407"/>
      <c r="BP120" s="407"/>
      <c r="BQ120" s="407"/>
      <c r="BR120" s="408"/>
      <c r="BS120" s="408"/>
      <c r="BT120" s="408"/>
      <c r="BU120" s="407"/>
      <c r="BV120" s="407"/>
      <c r="BW120" s="407"/>
      <c r="BX120" s="407"/>
      <c r="BY120" s="407"/>
      <c r="BZ120" s="407"/>
    </row>
    <row r="121" spans="3:78" s="523" customFormat="1" ht="13.5" customHeight="1" x14ac:dyDescent="0.2">
      <c r="C121" s="526">
        <v>5</v>
      </c>
      <c r="D121" s="524"/>
      <c r="P121" s="401"/>
      <c r="V121" s="525"/>
      <c r="Y121" s="525"/>
      <c r="Z121" s="404"/>
      <c r="AE121" s="401"/>
      <c r="AF121" s="401"/>
      <c r="AG121" s="405"/>
      <c r="AI121" s="405"/>
      <c r="AJ121" s="405"/>
      <c r="AK121" s="406"/>
      <c r="AX121" s="407"/>
      <c r="AY121" s="407"/>
      <c r="AZ121" s="407"/>
      <c r="BA121" s="407"/>
      <c r="BB121" s="407"/>
      <c r="BC121" s="407"/>
      <c r="BD121" s="407"/>
      <c r="BE121" s="407"/>
      <c r="BF121" s="407"/>
      <c r="BG121" s="407"/>
      <c r="BH121" s="407"/>
      <c r="BI121" s="407"/>
      <c r="BJ121" s="407"/>
      <c r="BK121" s="407"/>
      <c r="BL121" s="407"/>
      <c r="BM121" s="407"/>
      <c r="BN121" s="407"/>
      <c r="BO121" s="407"/>
      <c r="BP121" s="407"/>
      <c r="BQ121" s="407"/>
      <c r="BR121" s="408"/>
      <c r="BS121" s="408"/>
      <c r="BT121" s="408"/>
      <c r="BU121" s="407"/>
      <c r="BV121" s="407"/>
      <c r="BW121" s="407"/>
      <c r="BX121" s="407"/>
      <c r="BY121" s="407"/>
      <c r="BZ121" s="407"/>
    </row>
    <row r="122" spans="3:78" s="523" customFormat="1" ht="13.5" customHeight="1" x14ac:dyDescent="0.2">
      <c r="C122" s="526">
        <v>6</v>
      </c>
      <c r="D122" s="524"/>
      <c r="P122" s="401"/>
      <c r="V122" s="525"/>
      <c r="Y122" s="525"/>
      <c r="Z122" s="404"/>
      <c r="AE122" s="401"/>
      <c r="AF122" s="401"/>
      <c r="AG122" s="405"/>
      <c r="AI122" s="405"/>
      <c r="AJ122" s="405"/>
      <c r="AK122" s="406"/>
      <c r="AX122" s="407"/>
      <c r="AY122" s="407"/>
      <c r="AZ122" s="407"/>
      <c r="BA122" s="407"/>
      <c r="BB122" s="407"/>
      <c r="BC122" s="407"/>
      <c r="BD122" s="407"/>
      <c r="BE122" s="407"/>
      <c r="BF122" s="407"/>
      <c r="BG122" s="407"/>
      <c r="BH122" s="407"/>
      <c r="BI122" s="407"/>
      <c r="BJ122" s="407"/>
      <c r="BK122" s="407"/>
      <c r="BL122" s="407"/>
      <c r="BM122" s="407"/>
      <c r="BN122" s="407"/>
      <c r="BO122" s="407"/>
      <c r="BP122" s="407"/>
      <c r="BQ122" s="407"/>
      <c r="BR122" s="408"/>
      <c r="BS122" s="408"/>
      <c r="BT122" s="408"/>
      <c r="BU122" s="407"/>
      <c r="BV122" s="407"/>
      <c r="BW122" s="407"/>
      <c r="BX122" s="407"/>
      <c r="BY122" s="407"/>
      <c r="BZ122" s="407"/>
    </row>
    <row r="123" spans="3:78" s="523" customFormat="1" ht="13.5" customHeight="1" x14ac:dyDescent="0.2">
      <c r="C123" s="526">
        <v>7</v>
      </c>
      <c r="D123" s="524"/>
      <c r="P123" s="401"/>
      <c r="V123" s="525"/>
      <c r="Y123" s="525"/>
      <c r="Z123" s="404"/>
      <c r="AE123" s="401"/>
      <c r="AF123" s="401"/>
      <c r="AG123" s="405"/>
      <c r="AI123" s="405"/>
      <c r="AJ123" s="405"/>
      <c r="AK123" s="406"/>
      <c r="AX123" s="407"/>
      <c r="AY123" s="407"/>
      <c r="AZ123" s="407"/>
      <c r="BA123" s="407"/>
      <c r="BB123" s="407"/>
      <c r="BC123" s="407"/>
      <c r="BD123" s="407"/>
      <c r="BE123" s="407"/>
      <c r="BF123" s="407"/>
      <c r="BG123" s="407"/>
      <c r="BH123" s="407"/>
      <c r="BI123" s="407"/>
      <c r="BJ123" s="407"/>
      <c r="BK123" s="407"/>
      <c r="BL123" s="407"/>
      <c r="BM123" s="407"/>
      <c r="BN123" s="407"/>
      <c r="BO123" s="407"/>
      <c r="BP123" s="407"/>
      <c r="BQ123" s="407"/>
      <c r="BR123" s="408"/>
      <c r="BS123" s="408"/>
      <c r="BT123" s="408"/>
      <c r="BU123" s="407"/>
      <c r="BV123" s="407"/>
      <c r="BW123" s="407"/>
      <c r="BX123" s="407"/>
      <c r="BY123" s="407"/>
      <c r="BZ123" s="407"/>
    </row>
    <row r="124" spans="3:78" s="523" customFormat="1" ht="13.5" customHeight="1" x14ac:dyDescent="0.2">
      <c r="C124" s="526">
        <v>8</v>
      </c>
      <c r="D124" s="524"/>
      <c r="P124" s="401"/>
      <c r="V124" s="525"/>
      <c r="Y124" s="525"/>
      <c r="Z124" s="404"/>
      <c r="AE124" s="401"/>
      <c r="AF124" s="401"/>
      <c r="AG124" s="405"/>
      <c r="AI124" s="405"/>
      <c r="AJ124" s="405"/>
      <c r="AK124" s="406"/>
      <c r="AX124" s="407"/>
      <c r="AY124" s="407"/>
      <c r="AZ124" s="407"/>
      <c r="BA124" s="407"/>
      <c r="BB124" s="407"/>
      <c r="BC124" s="407"/>
      <c r="BD124" s="407"/>
      <c r="BE124" s="407"/>
      <c r="BF124" s="407"/>
      <c r="BG124" s="407"/>
      <c r="BH124" s="407"/>
      <c r="BI124" s="407"/>
      <c r="BJ124" s="407"/>
      <c r="BK124" s="407"/>
      <c r="BL124" s="407"/>
      <c r="BM124" s="407"/>
      <c r="BN124" s="407"/>
      <c r="BO124" s="407"/>
      <c r="BP124" s="407"/>
      <c r="BQ124" s="407"/>
      <c r="BR124" s="408"/>
      <c r="BS124" s="408"/>
      <c r="BT124" s="408"/>
      <c r="BU124" s="407"/>
      <c r="BV124" s="407"/>
      <c r="BW124" s="407"/>
      <c r="BX124" s="407"/>
      <c r="BY124" s="407"/>
      <c r="BZ124" s="407"/>
    </row>
    <row r="125" spans="3:78" s="523" customFormat="1" ht="13.5" customHeight="1" x14ac:dyDescent="0.2">
      <c r="C125" s="526">
        <v>9</v>
      </c>
      <c r="D125" s="524"/>
      <c r="P125" s="401"/>
      <c r="V125" s="525"/>
      <c r="Y125" s="525"/>
      <c r="Z125" s="404"/>
      <c r="AE125" s="401"/>
      <c r="AF125" s="401"/>
      <c r="AG125" s="405"/>
      <c r="AI125" s="405"/>
      <c r="AJ125" s="405"/>
      <c r="AK125" s="406"/>
      <c r="AX125" s="407"/>
      <c r="AY125" s="407"/>
      <c r="AZ125" s="407"/>
      <c r="BA125" s="407"/>
      <c r="BB125" s="407"/>
      <c r="BC125" s="407"/>
      <c r="BD125" s="407"/>
      <c r="BE125" s="407"/>
      <c r="BF125" s="407"/>
      <c r="BG125" s="407"/>
      <c r="BH125" s="407"/>
      <c r="BI125" s="407"/>
      <c r="BJ125" s="407"/>
      <c r="BK125" s="407"/>
      <c r="BL125" s="407"/>
      <c r="BM125" s="407"/>
      <c r="BN125" s="407"/>
      <c r="BO125" s="407"/>
      <c r="BP125" s="407"/>
      <c r="BQ125" s="407"/>
      <c r="BR125" s="408"/>
      <c r="BS125" s="408"/>
      <c r="BT125" s="408"/>
      <c r="BU125" s="407"/>
      <c r="BV125" s="407"/>
      <c r="BW125" s="407"/>
      <c r="BX125" s="407"/>
      <c r="BY125" s="407"/>
      <c r="BZ125" s="407"/>
    </row>
    <row r="126" spans="3:78" s="523" customFormat="1" ht="13.5" customHeight="1" x14ac:dyDescent="0.2">
      <c r="C126" s="526">
        <v>10</v>
      </c>
      <c r="D126" s="524"/>
      <c r="P126" s="401"/>
      <c r="V126" s="525"/>
      <c r="Y126" s="525"/>
      <c r="Z126" s="404"/>
      <c r="AE126" s="401"/>
      <c r="AF126" s="401"/>
      <c r="AG126" s="405"/>
      <c r="AI126" s="405"/>
      <c r="AJ126" s="405"/>
      <c r="AK126" s="406"/>
      <c r="AX126" s="407"/>
      <c r="AY126" s="407"/>
      <c r="AZ126" s="407"/>
      <c r="BA126" s="407"/>
      <c r="BB126" s="407"/>
      <c r="BC126" s="407"/>
      <c r="BD126" s="407"/>
      <c r="BE126" s="407"/>
      <c r="BF126" s="407"/>
      <c r="BG126" s="407"/>
      <c r="BH126" s="407"/>
      <c r="BI126" s="407"/>
      <c r="BJ126" s="407"/>
      <c r="BK126" s="407"/>
      <c r="BL126" s="407"/>
      <c r="BM126" s="407"/>
      <c r="BN126" s="407"/>
      <c r="BO126" s="407"/>
      <c r="BP126" s="407"/>
      <c r="BQ126" s="407"/>
      <c r="BR126" s="408"/>
      <c r="BS126" s="408"/>
      <c r="BT126" s="408"/>
      <c r="BU126" s="407"/>
      <c r="BV126" s="407"/>
      <c r="BW126" s="407"/>
      <c r="BX126" s="407"/>
      <c r="BY126" s="407"/>
      <c r="BZ126" s="407"/>
    </row>
    <row r="127" spans="3:78" s="523" customFormat="1" ht="13.5" customHeight="1" x14ac:dyDescent="0.2">
      <c r="C127" s="526">
        <v>11</v>
      </c>
      <c r="D127" s="524"/>
      <c r="P127" s="401"/>
      <c r="V127" s="525"/>
      <c r="Y127" s="525"/>
      <c r="Z127" s="404"/>
      <c r="AE127" s="401"/>
      <c r="AF127" s="401"/>
      <c r="AG127" s="405"/>
      <c r="AI127" s="405"/>
      <c r="AJ127" s="405"/>
      <c r="AK127" s="406"/>
      <c r="AX127" s="407"/>
      <c r="AY127" s="407"/>
      <c r="AZ127" s="407"/>
      <c r="BA127" s="407"/>
      <c r="BB127" s="407"/>
      <c r="BC127" s="407"/>
      <c r="BD127" s="407"/>
      <c r="BE127" s="407"/>
      <c r="BF127" s="407"/>
      <c r="BG127" s="407"/>
      <c r="BH127" s="407"/>
      <c r="BI127" s="407"/>
      <c r="BJ127" s="407"/>
      <c r="BK127" s="407"/>
      <c r="BL127" s="407"/>
      <c r="BM127" s="407"/>
      <c r="BN127" s="407"/>
      <c r="BO127" s="407"/>
      <c r="BP127" s="407"/>
      <c r="BQ127" s="407"/>
      <c r="BR127" s="408"/>
      <c r="BS127" s="408"/>
      <c r="BT127" s="408"/>
      <c r="BU127" s="407"/>
      <c r="BV127" s="407"/>
      <c r="BW127" s="407"/>
      <c r="BX127" s="407"/>
      <c r="BY127" s="407"/>
      <c r="BZ127" s="407"/>
    </row>
    <row r="128" spans="3:78" s="523" customFormat="1" ht="13.5" customHeight="1" x14ac:dyDescent="0.2">
      <c r="C128" s="526">
        <v>12</v>
      </c>
      <c r="D128" s="524"/>
      <c r="P128" s="401"/>
      <c r="V128" s="525"/>
      <c r="Y128" s="525"/>
      <c r="Z128" s="404"/>
      <c r="AE128" s="401"/>
      <c r="AF128" s="401"/>
      <c r="AG128" s="405"/>
      <c r="AI128" s="405"/>
      <c r="AJ128" s="405"/>
      <c r="AK128" s="406"/>
      <c r="AX128" s="407"/>
      <c r="AY128" s="407"/>
      <c r="AZ128" s="407"/>
      <c r="BA128" s="407"/>
      <c r="BB128" s="407"/>
      <c r="BC128" s="407"/>
      <c r="BD128" s="407"/>
      <c r="BE128" s="407"/>
      <c r="BF128" s="407"/>
      <c r="BG128" s="407"/>
      <c r="BH128" s="407"/>
      <c r="BI128" s="407"/>
      <c r="BJ128" s="407"/>
      <c r="BK128" s="407"/>
      <c r="BL128" s="407"/>
      <c r="BM128" s="407"/>
      <c r="BN128" s="407"/>
      <c r="BO128" s="407"/>
      <c r="BP128" s="407"/>
      <c r="BQ128" s="407"/>
      <c r="BR128" s="408"/>
      <c r="BS128" s="408"/>
      <c r="BT128" s="408"/>
      <c r="BU128" s="407"/>
      <c r="BV128" s="407"/>
      <c r="BW128" s="407"/>
      <c r="BX128" s="407"/>
      <c r="BY128" s="407"/>
      <c r="BZ128" s="407"/>
    </row>
    <row r="129" spans="3:78" s="523" customFormat="1" ht="13.5" customHeight="1" x14ac:dyDescent="0.2">
      <c r="C129" s="526">
        <v>13</v>
      </c>
      <c r="D129" s="524"/>
      <c r="P129" s="401"/>
      <c r="V129" s="525"/>
      <c r="Y129" s="525"/>
      <c r="Z129" s="404"/>
      <c r="AE129" s="401"/>
      <c r="AF129" s="401"/>
      <c r="AG129" s="405"/>
      <c r="AI129" s="405"/>
      <c r="AJ129" s="405"/>
      <c r="AK129" s="406"/>
      <c r="AX129" s="407"/>
      <c r="AY129" s="407"/>
      <c r="AZ129" s="407"/>
      <c r="BA129" s="407"/>
      <c r="BB129" s="407"/>
      <c r="BC129" s="407"/>
      <c r="BD129" s="407"/>
      <c r="BE129" s="407"/>
      <c r="BF129" s="407"/>
      <c r="BG129" s="407"/>
      <c r="BH129" s="407"/>
      <c r="BI129" s="407"/>
      <c r="BJ129" s="407"/>
      <c r="BK129" s="407"/>
      <c r="BL129" s="407"/>
      <c r="BM129" s="407"/>
      <c r="BN129" s="407"/>
      <c r="BO129" s="407"/>
      <c r="BP129" s="407"/>
      <c r="BQ129" s="407"/>
      <c r="BR129" s="408"/>
      <c r="BS129" s="408"/>
      <c r="BT129" s="408"/>
      <c r="BU129" s="407"/>
      <c r="BV129" s="407"/>
      <c r="BW129" s="407"/>
      <c r="BX129" s="407"/>
      <c r="BY129" s="407"/>
      <c r="BZ129" s="407"/>
    </row>
    <row r="130" spans="3:78" s="523" customFormat="1" ht="13.5" customHeight="1" x14ac:dyDescent="0.2">
      <c r="C130" s="526">
        <v>14</v>
      </c>
      <c r="D130" s="524"/>
      <c r="P130" s="401"/>
      <c r="V130" s="525"/>
      <c r="Y130" s="525"/>
      <c r="Z130" s="404"/>
      <c r="AE130" s="401"/>
      <c r="AF130" s="401"/>
      <c r="AG130" s="405"/>
      <c r="AI130" s="405"/>
      <c r="AJ130" s="405"/>
      <c r="AK130" s="406"/>
      <c r="AX130" s="407"/>
      <c r="AY130" s="407"/>
      <c r="AZ130" s="407"/>
      <c r="BA130" s="407"/>
      <c r="BB130" s="407"/>
      <c r="BC130" s="407"/>
      <c r="BD130" s="407"/>
      <c r="BE130" s="407"/>
      <c r="BF130" s="407"/>
      <c r="BG130" s="407"/>
      <c r="BH130" s="407"/>
      <c r="BI130" s="407"/>
      <c r="BJ130" s="407"/>
      <c r="BK130" s="407"/>
      <c r="BL130" s="407"/>
      <c r="BM130" s="407"/>
      <c r="BN130" s="407"/>
      <c r="BO130" s="407"/>
      <c r="BP130" s="407"/>
      <c r="BQ130" s="407"/>
      <c r="BR130" s="408"/>
      <c r="BS130" s="408"/>
      <c r="BT130" s="408"/>
      <c r="BU130" s="407"/>
      <c r="BV130" s="407"/>
      <c r="BW130" s="407"/>
      <c r="BX130" s="407"/>
      <c r="BY130" s="407"/>
      <c r="BZ130" s="407"/>
    </row>
    <row r="131" spans="3:78" s="523" customFormat="1" ht="13.5" customHeight="1" x14ac:dyDescent="0.2">
      <c r="C131" s="526">
        <v>15</v>
      </c>
      <c r="D131" s="524"/>
      <c r="P131" s="401"/>
      <c r="V131" s="525"/>
      <c r="Y131" s="525"/>
      <c r="Z131" s="404"/>
      <c r="AE131" s="401"/>
      <c r="AF131" s="401"/>
      <c r="AG131" s="405"/>
      <c r="AI131" s="405"/>
      <c r="AJ131" s="405"/>
      <c r="AK131" s="406"/>
      <c r="AX131" s="407"/>
      <c r="AY131" s="407"/>
      <c r="AZ131" s="407"/>
      <c r="BA131" s="407"/>
      <c r="BB131" s="407"/>
      <c r="BC131" s="407"/>
      <c r="BD131" s="407"/>
      <c r="BE131" s="407"/>
      <c r="BF131" s="407"/>
      <c r="BG131" s="407"/>
      <c r="BH131" s="407"/>
      <c r="BI131" s="407"/>
      <c r="BJ131" s="407"/>
      <c r="BK131" s="407"/>
      <c r="BL131" s="407"/>
      <c r="BM131" s="407"/>
      <c r="BN131" s="407"/>
      <c r="BO131" s="407"/>
      <c r="BP131" s="407"/>
      <c r="BQ131" s="407"/>
      <c r="BR131" s="408"/>
      <c r="BS131" s="408"/>
      <c r="BT131" s="408"/>
      <c r="BU131" s="407"/>
      <c r="BV131" s="407"/>
      <c r="BW131" s="407"/>
      <c r="BX131" s="407"/>
      <c r="BY131" s="407"/>
      <c r="BZ131" s="407"/>
    </row>
    <row r="132" spans="3:78" s="523" customFormat="1" ht="13.5" customHeight="1" x14ac:dyDescent="0.2">
      <c r="C132" s="526">
        <v>16</v>
      </c>
      <c r="D132" s="524"/>
      <c r="P132" s="401"/>
      <c r="V132" s="525"/>
      <c r="Y132" s="525"/>
      <c r="Z132" s="404"/>
      <c r="AE132" s="401"/>
      <c r="AF132" s="401"/>
      <c r="AG132" s="405"/>
      <c r="AI132" s="405"/>
      <c r="AJ132" s="405"/>
      <c r="AK132" s="406"/>
      <c r="AX132" s="407"/>
      <c r="AY132" s="407"/>
      <c r="AZ132" s="407"/>
      <c r="BA132" s="407"/>
      <c r="BB132" s="407"/>
      <c r="BC132" s="407"/>
      <c r="BD132" s="407"/>
      <c r="BE132" s="407"/>
      <c r="BF132" s="407"/>
      <c r="BG132" s="407"/>
      <c r="BH132" s="407"/>
      <c r="BI132" s="407"/>
      <c r="BJ132" s="407"/>
      <c r="BK132" s="407"/>
      <c r="BL132" s="407"/>
      <c r="BM132" s="407"/>
      <c r="BN132" s="407"/>
      <c r="BO132" s="407"/>
      <c r="BP132" s="407"/>
      <c r="BQ132" s="407"/>
      <c r="BR132" s="408"/>
      <c r="BS132" s="408"/>
      <c r="BT132" s="408"/>
      <c r="BU132" s="407"/>
      <c r="BV132" s="407"/>
      <c r="BW132" s="407"/>
      <c r="BX132" s="407"/>
      <c r="BY132" s="407"/>
      <c r="BZ132" s="407"/>
    </row>
    <row r="133" spans="3:78" s="523" customFormat="1" ht="13.5" customHeight="1" x14ac:dyDescent="0.2">
      <c r="C133" s="524"/>
      <c r="D133" s="524"/>
      <c r="P133" s="401"/>
      <c r="V133" s="525"/>
      <c r="Y133" s="525"/>
      <c r="Z133" s="404"/>
      <c r="AE133" s="401"/>
      <c r="AF133" s="401"/>
      <c r="AG133" s="405"/>
      <c r="AI133" s="405"/>
      <c r="AJ133" s="405"/>
      <c r="AK133" s="406"/>
      <c r="AX133" s="407"/>
      <c r="AY133" s="407"/>
      <c r="AZ133" s="407"/>
      <c r="BA133" s="407"/>
      <c r="BB133" s="407"/>
      <c r="BC133" s="407"/>
      <c r="BD133" s="407"/>
      <c r="BE133" s="407"/>
      <c r="BF133" s="407"/>
      <c r="BG133" s="407"/>
      <c r="BH133" s="407"/>
      <c r="BI133" s="407"/>
      <c r="BJ133" s="407"/>
      <c r="BK133" s="407"/>
      <c r="BL133" s="407"/>
      <c r="BM133" s="407"/>
      <c r="BN133" s="407"/>
      <c r="BO133" s="407"/>
      <c r="BP133" s="407"/>
      <c r="BQ133" s="407"/>
      <c r="BR133" s="408"/>
      <c r="BS133" s="408"/>
      <c r="BT133" s="408"/>
      <c r="BU133" s="407"/>
      <c r="BV133" s="407"/>
      <c r="BW133" s="407"/>
      <c r="BX133" s="407"/>
      <c r="BY133" s="407"/>
      <c r="BZ133" s="407"/>
    </row>
    <row r="134" spans="3:78" s="523" customFormat="1" ht="13.5" customHeight="1" x14ac:dyDescent="0.2">
      <c r="C134" s="524"/>
      <c r="D134" s="524"/>
      <c r="P134" s="401"/>
      <c r="V134" s="525"/>
      <c r="Y134" s="525"/>
      <c r="Z134" s="404"/>
      <c r="AE134" s="401"/>
      <c r="AF134" s="401"/>
      <c r="AG134" s="405"/>
      <c r="AI134" s="405"/>
      <c r="AJ134" s="405"/>
      <c r="AK134" s="406"/>
      <c r="AX134" s="407"/>
      <c r="AY134" s="407"/>
      <c r="AZ134" s="407"/>
      <c r="BA134" s="407"/>
      <c r="BB134" s="407"/>
      <c r="BC134" s="407"/>
      <c r="BD134" s="407"/>
      <c r="BE134" s="407"/>
      <c r="BF134" s="407"/>
      <c r="BG134" s="407"/>
      <c r="BH134" s="407"/>
      <c r="BI134" s="407"/>
      <c r="BJ134" s="407"/>
      <c r="BK134" s="407"/>
      <c r="BL134" s="407"/>
      <c r="BM134" s="407"/>
      <c r="BN134" s="407"/>
      <c r="BO134" s="407"/>
      <c r="BP134" s="407"/>
      <c r="BQ134" s="407"/>
      <c r="BR134" s="408"/>
      <c r="BS134" s="408"/>
      <c r="BT134" s="408"/>
      <c r="BU134" s="407"/>
      <c r="BV134" s="407"/>
      <c r="BW134" s="407"/>
      <c r="BX134" s="407"/>
      <c r="BY134" s="407"/>
      <c r="BZ134" s="407"/>
    </row>
    <row r="135" spans="3:78" s="401" customFormat="1" ht="13.5" customHeight="1" x14ac:dyDescent="0.2">
      <c r="D135" s="402"/>
      <c r="V135" s="403"/>
      <c r="Y135" s="403"/>
      <c r="Z135" s="404"/>
      <c r="AG135" s="405"/>
      <c r="AI135" s="405"/>
      <c r="AJ135" s="405"/>
      <c r="AK135" s="406"/>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8"/>
      <c r="BS135" s="408"/>
      <c r="BT135" s="408"/>
      <c r="BU135" s="407"/>
      <c r="BV135" s="407"/>
      <c r="BW135" s="407"/>
      <c r="BX135" s="407"/>
      <c r="BY135" s="407"/>
      <c r="BZ135" s="407"/>
    </row>
    <row r="136" spans="3:78" s="401" customFormat="1" ht="13.5" customHeight="1" x14ac:dyDescent="0.2">
      <c r="D136" s="402"/>
      <c r="V136" s="403"/>
      <c r="Y136" s="403"/>
      <c r="Z136" s="404"/>
      <c r="AG136" s="405"/>
      <c r="AI136" s="405"/>
      <c r="AJ136" s="405"/>
      <c r="AK136" s="406"/>
      <c r="AX136" s="407"/>
      <c r="AY136" s="407"/>
      <c r="AZ136" s="407"/>
      <c r="BA136" s="407"/>
      <c r="BB136" s="407"/>
      <c r="BC136" s="407"/>
      <c r="BD136" s="407"/>
      <c r="BE136" s="407"/>
      <c r="BF136" s="407"/>
      <c r="BG136" s="407"/>
      <c r="BH136" s="407"/>
      <c r="BI136" s="407"/>
      <c r="BJ136" s="407"/>
      <c r="BK136" s="407"/>
      <c r="BL136" s="407"/>
      <c r="BM136" s="407"/>
      <c r="BN136" s="407"/>
      <c r="BO136" s="407"/>
      <c r="BP136" s="407"/>
      <c r="BQ136" s="407"/>
      <c r="BR136" s="408"/>
      <c r="BS136" s="408"/>
      <c r="BT136" s="408"/>
      <c r="BU136" s="407"/>
      <c r="BV136" s="407"/>
      <c r="BW136" s="407"/>
      <c r="BX136" s="407"/>
      <c r="BY136" s="407"/>
      <c r="BZ136" s="407"/>
    </row>
    <row r="137" spans="3:78" s="401" customFormat="1" ht="13.5" customHeight="1" x14ac:dyDescent="0.2">
      <c r="D137" s="402"/>
      <c r="V137" s="403"/>
      <c r="Y137" s="403"/>
      <c r="Z137" s="404"/>
      <c r="AG137" s="405"/>
      <c r="AI137" s="405"/>
      <c r="AJ137" s="405"/>
      <c r="AK137" s="406"/>
      <c r="AX137" s="407"/>
      <c r="AY137" s="407"/>
      <c r="AZ137" s="407"/>
      <c r="BA137" s="407"/>
      <c r="BB137" s="407"/>
      <c r="BC137" s="407"/>
      <c r="BD137" s="407"/>
      <c r="BE137" s="407"/>
      <c r="BF137" s="407"/>
      <c r="BG137" s="407"/>
      <c r="BH137" s="407"/>
      <c r="BI137" s="407"/>
      <c r="BJ137" s="407"/>
      <c r="BK137" s="407"/>
      <c r="BL137" s="407"/>
      <c r="BM137" s="407"/>
      <c r="BN137" s="407"/>
      <c r="BO137" s="407"/>
      <c r="BP137" s="407"/>
      <c r="BQ137" s="407"/>
      <c r="BR137" s="408"/>
      <c r="BS137" s="408"/>
      <c r="BT137" s="408"/>
      <c r="BU137" s="407"/>
      <c r="BV137" s="407"/>
      <c r="BW137" s="407"/>
      <c r="BX137" s="407"/>
      <c r="BY137" s="407"/>
      <c r="BZ137" s="407"/>
    </row>
    <row r="138" spans="3:78" s="401" customFormat="1" ht="13.5" customHeight="1" x14ac:dyDescent="0.2">
      <c r="D138" s="402"/>
      <c r="V138" s="403"/>
      <c r="Y138" s="403"/>
      <c r="Z138" s="404"/>
      <c r="AG138" s="405"/>
      <c r="AI138" s="405"/>
      <c r="AJ138" s="405"/>
      <c r="AK138" s="406"/>
      <c r="AX138" s="407"/>
      <c r="AY138" s="407"/>
      <c r="AZ138" s="407"/>
      <c r="BA138" s="407"/>
      <c r="BB138" s="407"/>
      <c r="BC138" s="407"/>
      <c r="BD138" s="407"/>
      <c r="BE138" s="407"/>
      <c r="BF138" s="407"/>
      <c r="BG138" s="407"/>
      <c r="BH138" s="407"/>
      <c r="BI138" s="407"/>
      <c r="BJ138" s="407"/>
      <c r="BK138" s="407"/>
      <c r="BL138" s="407"/>
      <c r="BM138" s="407"/>
      <c r="BN138" s="407"/>
      <c r="BO138" s="407"/>
      <c r="BP138" s="407"/>
      <c r="BQ138" s="407"/>
      <c r="BR138" s="408"/>
      <c r="BS138" s="408"/>
      <c r="BT138" s="408"/>
      <c r="BU138" s="407"/>
      <c r="BV138" s="407"/>
      <c r="BW138" s="407"/>
      <c r="BX138" s="407"/>
      <c r="BY138" s="407"/>
      <c r="BZ138" s="407"/>
    </row>
    <row r="139" spans="3:78" s="401" customFormat="1" ht="13.5" customHeight="1" x14ac:dyDescent="0.2">
      <c r="D139" s="402"/>
      <c r="V139" s="403"/>
      <c r="Y139" s="403"/>
      <c r="Z139" s="404"/>
      <c r="AG139" s="405"/>
      <c r="AI139" s="405"/>
      <c r="AJ139" s="405"/>
      <c r="AK139" s="406"/>
      <c r="AX139" s="407"/>
      <c r="AY139" s="407"/>
      <c r="AZ139" s="407"/>
      <c r="BA139" s="407"/>
      <c r="BB139" s="407"/>
      <c r="BC139" s="407"/>
      <c r="BD139" s="407"/>
      <c r="BE139" s="407"/>
      <c r="BF139" s="407"/>
      <c r="BG139" s="407"/>
      <c r="BH139" s="407"/>
      <c r="BI139" s="407"/>
      <c r="BJ139" s="407"/>
      <c r="BK139" s="407"/>
      <c r="BL139" s="407"/>
      <c r="BM139" s="407"/>
      <c r="BN139" s="407"/>
      <c r="BO139" s="407"/>
      <c r="BP139" s="407"/>
      <c r="BQ139" s="407"/>
      <c r="BR139" s="408"/>
      <c r="BS139" s="408"/>
      <c r="BT139" s="408"/>
      <c r="BU139" s="407"/>
      <c r="BV139" s="407"/>
      <c r="BW139" s="407"/>
      <c r="BX139" s="407"/>
      <c r="BY139" s="407"/>
      <c r="BZ139" s="407"/>
    </row>
    <row r="140" spans="3:78" s="401" customFormat="1" ht="13.5" customHeight="1" x14ac:dyDescent="0.2">
      <c r="D140" s="402"/>
      <c r="V140" s="403"/>
      <c r="Y140" s="403"/>
      <c r="Z140" s="404"/>
      <c r="AG140" s="405"/>
      <c r="AI140" s="405"/>
      <c r="AJ140" s="405"/>
      <c r="AK140" s="406"/>
      <c r="AX140" s="407"/>
      <c r="AY140" s="407"/>
      <c r="AZ140" s="407"/>
      <c r="BA140" s="407"/>
      <c r="BB140" s="407"/>
      <c r="BC140" s="407"/>
      <c r="BD140" s="407"/>
      <c r="BE140" s="407"/>
      <c r="BF140" s="407"/>
      <c r="BG140" s="407"/>
      <c r="BH140" s="407"/>
      <c r="BI140" s="407"/>
      <c r="BJ140" s="407"/>
      <c r="BK140" s="407"/>
      <c r="BL140" s="407"/>
      <c r="BM140" s="407"/>
      <c r="BN140" s="407"/>
      <c r="BO140" s="407"/>
      <c r="BP140" s="407"/>
      <c r="BQ140" s="407"/>
      <c r="BR140" s="408"/>
      <c r="BS140" s="408"/>
      <c r="BT140" s="408"/>
      <c r="BU140" s="407"/>
      <c r="BV140" s="407"/>
      <c r="BW140" s="407"/>
      <c r="BX140" s="407"/>
      <c r="BY140" s="407"/>
      <c r="BZ140" s="407"/>
    </row>
    <row r="141" spans="3:78" s="401" customFormat="1" ht="13.5" customHeight="1" x14ac:dyDescent="0.2">
      <c r="D141" s="402"/>
      <c r="V141" s="403"/>
      <c r="Y141" s="403"/>
      <c r="Z141" s="404"/>
      <c r="AG141" s="405"/>
      <c r="AI141" s="405"/>
      <c r="AJ141" s="405"/>
      <c r="AK141" s="406"/>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8"/>
      <c r="BS141" s="408"/>
      <c r="BT141" s="408"/>
      <c r="BU141" s="407"/>
      <c r="BV141" s="407"/>
      <c r="BW141" s="407"/>
      <c r="BX141" s="407"/>
      <c r="BY141" s="407"/>
      <c r="BZ141" s="407"/>
    </row>
    <row r="142" spans="3:78" s="401" customFormat="1" ht="13.5" customHeight="1" x14ac:dyDescent="0.2">
      <c r="D142" s="402"/>
      <c r="V142" s="403"/>
      <c r="Y142" s="403"/>
      <c r="Z142" s="404"/>
      <c r="AG142" s="405"/>
      <c r="AI142" s="405"/>
      <c r="AJ142" s="405"/>
      <c r="AK142" s="406"/>
      <c r="AX142" s="407"/>
      <c r="AY142" s="407"/>
      <c r="AZ142" s="407"/>
      <c r="BA142" s="407"/>
      <c r="BB142" s="407"/>
      <c r="BC142" s="407"/>
      <c r="BD142" s="407"/>
      <c r="BE142" s="407"/>
      <c r="BF142" s="407"/>
      <c r="BG142" s="407"/>
      <c r="BH142" s="407"/>
      <c r="BI142" s="407"/>
      <c r="BJ142" s="407"/>
      <c r="BK142" s="407"/>
      <c r="BL142" s="407"/>
      <c r="BM142" s="407"/>
      <c r="BN142" s="407"/>
      <c r="BO142" s="407"/>
      <c r="BP142" s="407"/>
      <c r="BQ142" s="407"/>
      <c r="BR142" s="408"/>
      <c r="BS142" s="408"/>
      <c r="BT142" s="408"/>
      <c r="BU142" s="407"/>
      <c r="BV142" s="407"/>
      <c r="BW142" s="407"/>
      <c r="BX142" s="407"/>
      <c r="BY142" s="407"/>
      <c r="BZ142" s="407"/>
    </row>
    <row r="143" spans="3:78" s="401" customFormat="1" ht="13.5" customHeight="1" x14ac:dyDescent="0.2">
      <c r="D143" s="402"/>
      <c r="V143" s="403"/>
      <c r="Y143" s="403"/>
      <c r="Z143" s="404"/>
      <c r="AG143" s="405"/>
      <c r="AI143" s="405"/>
      <c r="AJ143" s="405"/>
      <c r="AK143" s="406"/>
      <c r="AX143" s="407"/>
      <c r="AY143" s="407"/>
      <c r="AZ143" s="407"/>
      <c r="BA143" s="407"/>
      <c r="BB143" s="407"/>
      <c r="BC143" s="407"/>
      <c r="BD143" s="407"/>
      <c r="BE143" s="407"/>
      <c r="BF143" s="407"/>
      <c r="BG143" s="407"/>
      <c r="BH143" s="407"/>
      <c r="BI143" s="407"/>
      <c r="BJ143" s="407"/>
      <c r="BK143" s="407"/>
      <c r="BL143" s="407"/>
      <c r="BM143" s="407"/>
      <c r="BN143" s="407"/>
      <c r="BO143" s="407"/>
      <c r="BP143" s="407"/>
      <c r="BQ143" s="407"/>
      <c r="BR143" s="408"/>
      <c r="BS143" s="408"/>
      <c r="BT143" s="408"/>
      <c r="BU143" s="407"/>
      <c r="BV143" s="407"/>
      <c r="BW143" s="407"/>
      <c r="BX143" s="407"/>
      <c r="BY143" s="407"/>
      <c r="BZ143" s="407"/>
    </row>
    <row r="144" spans="3:78" s="401" customFormat="1" ht="13.5" customHeight="1" x14ac:dyDescent="0.2">
      <c r="D144" s="402"/>
      <c r="V144" s="403"/>
      <c r="Y144" s="403"/>
      <c r="Z144" s="404"/>
      <c r="AG144" s="405"/>
      <c r="AI144" s="405"/>
      <c r="AJ144" s="405"/>
      <c r="AK144" s="406"/>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R144" s="408"/>
      <c r="BS144" s="408"/>
      <c r="BT144" s="408"/>
      <c r="BU144" s="407"/>
      <c r="BV144" s="407"/>
      <c r="BW144" s="407"/>
      <c r="BX144" s="407"/>
      <c r="BY144" s="407"/>
      <c r="BZ144" s="407"/>
    </row>
    <row r="145" spans="4:78" s="401" customFormat="1" ht="13.5" customHeight="1" x14ac:dyDescent="0.2">
      <c r="D145" s="402"/>
      <c r="V145" s="403"/>
      <c r="Y145" s="403"/>
      <c r="Z145" s="404"/>
      <c r="AG145" s="405"/>
      <c r="AI145" s="405"/>
      <c r="AJ145" s="405"/>
      <c r="AK145" s="406"/>
      <c r="AX145" s="407"/>
      <c r="AY145" s="407"/>
      <c r="AZ145" s="407"/>
      <c r="BA145" s="407"/>
      <c r="BB145" s="407"/>
      <c r="BC145" s="407"/>
      <c r="BD145" s="407"/>
      <c r="BE145" s="407"/>
      <c r="BF145" s="407"/>
      <c r="BG145" s="407"/>
      <c r="BH145" s="407"/>
      <c r="BI145" s="407"/>
      <c r="BJ145" s="407"/>
      <c r="BK145" s="407"/>
      <c r="BL145" s="407"/>
      <c r="BM145" s="407"/>
      <c r="BN145" s="407"/>
      <c r="BO145" s="407"/>
      <c r="BP145" s="407"/>
      <c r="BQ145" s="407"/>
      <c r="BR145" s="408"/>
      <c r="BS145" s="408"/>
      <c r="BT145" s="408"/>
      <c r="BU145" s="407"/>
      <c r="BV145" s="407"/>
      <c r="BW145" s="407"/>
      <c r="BX145" s="407"/>
      <c r="BY145" s="407"/>
      <c r="BZ145" s="407"/>
    </row>
    <row r="146" spans="4:78" s="401" customFormat="1" ht="13.5" customHeight="1" x14ac:dyDescent="0.2">
      <c r="D146" s="402"/>
      <c r="V146" s="403"/>
      <c r="Y146" s="403"/>
      <c r="Z146" s="404"/>
      <c r="AG146" s="405"/>
      <c r="AI146" s="405"/>
      <c r="AJ146" s="405"/>
      <c r="AK146" s="406"/>
      <c r="AX146" s="407"/>
      <c r="AY146" s="407"/>
      <c r="AZ146" s="407"/>
      <c r="BA146" s="407"/>
      <c r="BB146" s="407"/>
      <c r="BC146" s="407"/>
      <c r="BD146" s="407"/>
      <c r="BE146" s="407"/>
      <c r="BF146" s="407"/>
      <c r="BG146" s="407"/>
      <c r="BH146" s="407"/>
      <c r="BI146" s="407"/>
      <c r="BJ146" s="407"/>
      <c r="BK146" s="407"/>
      <c r="BL146" s="407"/>
      <c r="BM146" s="407"/>
      <c r="BN146" s="407"/>
      <c r="BO146" s="407"/>
      <c r="BP146" s="407"/>
      <c r="BQ146" s="407"/>
      <c r="BR146" s="408"/>
      <c r="BS146" s="408"/>
      <c r="BT146" s="408"/>
      <c r="BU146" s="407"/>
      <c r="BV146" s="407"/>
      <c r="BW146" s="407"/>
      <c r="BX146" s="407"/>
      <c r="BY146" s="407"/>
      <c r="BZ146" s="407"/>
    </row>
    <row r="147" spans="4:78" s="401" customFormat="1" ht="13.5" customHeight="1" x14ac:dyDescent="0.2">
      <c r="D147" s="402" t="b">
        <f>'[1]wgl tot'!BU12=DATE(E140+61,E141+6,E142)</f>
        <v>0</v>
      </c>
      <c r="V147" s="403"/>
      <c r="Y147" s="403"/>
      <c r="Z147" s="404"/>
      <c r="AG147" s="405"/>
      <c r="AI147" s="405"/>
      <c r="AJ147" s="405"/>
      <c r="AK147" s="406"/>
      <c r="AX147" s="407"/>
      <c r="AY147" s="407"/>
      <c r="AZ147" s="407"/>
      <c r="BA147" s="407"/>
      <c r="BB147" s="407"/>
      <c r="BC147" s="407"/>
      <c r="BD147" s="407"/>
      <c r="BE147" s="407"/>
      <c r="BF147" s="407"/>
      <c r="BG147" s="407"/>
      <c r="BH147" s="407"/>
      <c r="BI147" s="407"/>
      <c r="BJ147" s="407"/>
      <c r="BK147" s="407"/>
      <c r="BL147" s="407"/>
      <c r="BM147" s="407"/>
      <c r="BN147" s="407"/>
      <c r="BO147" s="407"/>
      <c r="BP147" s="407"/>
      <c r="BQ147" s="407"/>
      <c r="BR147" s="408"/>
      <c r="BS147" s="408"/>
      <c r="BT147" s="408"/>
      <c r="BU147" s="407"/>
      <c r="BV147" s="407"/>
      <c r="BW147" s="407"/>
      <c r="BX147" s="407"/>
      <c r="BY147" s="407"/>
      <c r="BZ147" s="407"/>
    </row>
    <row r="148" spans="4:78" s="401" customFormat="1" ht="13.5" customHeight="1" x14ac:dyDescent="0.2">
      <c r="D148" s="402"/>
      <c r="V148" s="403"/>
      <c r="Y148" s="403"/>
      <c r="Z148" s="404"/>
      <c r="AG148" s="405"/>
      <c r="AI148" s="405"/>
      <c r="AJ148" s="405"/>
      <c r="AK148" s="406"/>
      <c r="AX148" s="407"/>
      <c r="AY148" s="407"/>
      <c r="AZ148" s="407"/>
      <c r="BA148" s="407"/>
      <c r="BB148" s="407"/>
      <c r="BC148" s="407"/>
      <c r="BD148" s="407"/>
      <c r="BE148" s="407"/>
      <c r="BF148" s="407"/>
      <c r="BG148" s="407"/>
      <c r="BH148" s="407"/>
      <c r="BI148" s="407"/>
      <c r="BJ148" s="407"/>
      <c r="BK148" s="407"/>
      <c r="BL148" s="407"/>
      <c r="BM148" s="407"/>
      <c r="BN148" s="407"/>
      <c r="BO148" s="407"/>
      <c r="BP148" s="407"/>
      <c r="BQ148" s="407"/>
      <c r="BR148" s="408"/>
      <c r="BS148" s="408"/>
      <c r="BT148" s="408"/>
      <c r="BU148" s="407"/>
      <c r="BV148" s="407"/>
      <c r="BW148" s="407"/>
      <c r="BX148" s="407"/>
      <c r="BY148" s="407"/>
      <c r="BZ148" s="407"/>
    </row>
    <row r="149" spans="4:78" s="401" customFormat="1" ht="13.5" customHeight="1" x14ac:dyDescent="0.2">
      <c r="D149" s="402"/>
      <c r="V149" s="403"/>
      <c r="Y149" s="403"/>
      <c r="Z149" s="404"/>
      <c r="AG149" s="405"/>
      <c r="AI149" s="405"/>
      <c r="AJ149" s="405"/>
      <c r="AK149" s="406"/>
      <c r="AX149" s="407"/>
      <c r="AY149" s="407"/>
      <c r="AZ149" s="407"/>
      <c r="BA149" s="407"/>
      <c r="BB149" s="407"/>
      <c r="BC149" s="407"/>
      <c r="BD149" s="407"/>
      <c r="BE149" s="407"/>
      <c r="BF149" s="407"/>
      <c r="BG149" s="407"/>
      <c r="BH149" s="407"/>
      <c r="BI149" s="407"/>
      <c r="BJ149" s="407"/>
      <c r="BK149" s="407"/>
      <c r="BL149" s="407"/>
      <c r="BM149" s="407"/>
      <c r="BN149" s="407"/>
      <c r="BO149" s="407"/>
      <c r="BP149" s="407"/>
      <c r="BQ149" s="407"/>
      <c r="BR149" s="408"/>
      <c r="BS149" s="408"/>
      <c r="BT149" s="408"/>
      <c r="BU149" s="407"/>
      <c r="BV149" s="407"/>
      <c r="BW149" s="407"/>
      <c r="BX149" s="407"/>
      <c r="BY149" s="407"/>
      <c r="BZ149" s="407"/>
    </row>
  </sheetData>
  <sheetProtection algorithmName="SHA-512" hashValue="TzLkrXUtPj0R6aSvyLo+zlmPSGMLXJ9gWMH5omJXG6bc0Dww2Adbw52LJVmxBqQHR1o4STgSF1jg7jBVaBU/Tg==" saltValue="7e3TYGlYzdlNDmFmrwWd2g==" spinCount="100000" sheet="1" objects="1" scenarios="1"/>
  <mergeCells count="4">
    <mergeCell ref="F8:G8"/>
    <mergeCell ref="AK8:AK10"/>
    <mergeCell ref="AM8:AM10"/>
    <mergeCell ref="AO8:AP8"/>
  </mergeCells>
  <dataValidations count="7">
    <dataValidation type="list" allowBlank="1" showInputMessage="1" showErrorMessage="1" sqref="F13:F86">
      <formula1>$C$90:$C$132</formula1>
    </dataValidation>
    <dataValidation type="list" allowBlank="1" showInputMessage="1" showErrorMessage="1" sqref="J12:L86">
      <formula1>"j,n"</formula1>
    </dataValidation>
    <dataValidation type="list" allowBlank="1" showInputMessage="1" showErrorMessage="1" sqref="BB14:BB86">
      <formula1>"L10,L11,L12,L13"</formula1>
    </dataValidation>
    <dataValidation type="list" allowBlank="1" showInputMessage="1" showErrorMessage="1" sqref="F12">
      <formula1>$C$90:$C$115</formula1>
    </dataValidation>
    <dataValidation type="list" allowBlank="1" showInputMessage="1" showErrorMessage="1" sqref="BB12:BB13">
      <formula1>"LB,LC,LD,LE"</formula1>
    </dataValidation>
    <dataValidation type="list" allowBlank="1" showInputMessage="1" showErrorMessage="1" sqref="I12 I14:I86">
      <formula1>"leraar,directie,OOP S9,OOP &lt;S9"</formula1>
    </dataValidation>
    <dataValidation type="list" allowBlank="1" showInputMessage="1" showErrorMessage="1" sqref="I13">
      <formula1>"leraar,directie,OOP S9,OOP &lt;S9"</formula1>
    </dataValidation>
  </dataValidations>
  <pageMargins left="0.70866141732283472" right="0.70866141732283472" top="0.74803149606299213" bottom="0.74803149606299213" header="0.31496062992125984" footer="0.31496062992125984"/>
  <pageSetup paperSize="9" scale="3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8"/>
  <sheetViews>
    <sheetView workbookViewId="0">
      <selection sqref="A1:XFD1048576"/>
    </sheetView>
  </sheetViews>
  <sheetFormatPr defaultRowHeight="12.75" x14ac:dyDescent="0.2"/>
  <cols>
    <col min="2" max="10" width="12" customWidth="1"/>
  </cols>
  <sheetData>
    <row r="3" spans="2:7" ht="15" x14ac:dyDescent="0.2">
      <c r="B3" s="388" t="s">
        <v>318</v>
      </c>
      <c r="C3" s="389"/>
      <c r="D3" s="389"/>
      <c r="E3" s="389"/>
      <c r="F3" s="389"/>
      <c r="G3" s="389"/>
    </row>
    <row r="4" spans="2:7" ht="15" x14ac:dyDescent="0.2">
      <c r="B4" s="390" t="s">
        <v>335</v>
      </c>
      <c r="C4" s="389"/>
      <c r="D4" s="389"/>
      <c r="E4" s="389"/>
      <c r="F4" s="389"/>
      <c r="G4" s="389"/>
    </row>
    <row r="5" spans="2:7" ht="15" x14ac:dyDescent="0.2">
      <c r="B5" s="390" t="s">
        <v>320</v>
      </c>
      <c r="C5" s="389"/>
      <c r="D5" s="389"/>
      <c r="E5" s="389"/>
      <c r="F5" s="389"/>
      <c r="G5" s="389"/>
    </row>
    <row r="6" spans="2:7" ht="15" x14ac:dyDescent="0.2">
      <c r="B6" s="390" t="s">
        <v>321</v>
      </c>
      <c r="C6" s="389"/>
      <c r="D6" s="389"/>
      <c r="E6" s="389"/>
      <c r="F6" s="389"/>
      <c r="G6" s="389"/>
    </row>
    <row r="7" spans="2:7" x14ac:dyDescent="0.2">
      <c r="B7" s="389" t="s">
        <v>322</v>
      </c>
      <c r="C7" s="389"/>
      <c r="D7" s="389"/>
      <c r="E7" s="389"/>
      <c r="F7" s="389"/>
      <c r="G7" s="389"/>
    </row>
    <row r="8" spans="2:7" x14ac:dyDescent="0.2">
      <c r="B8" s="389" t="s">
        <v>323</v>
      </c>
      <c r="C8" s="389"/>
      <c r="D8" s="389"/>
      <c r="E8" s="389"/>
      <c r="F8" s="389"/>
      <c r="G8" s="389"/>
    </row>
    <row r="9" spans="2:7" ht="15" x14ac:dyDescent="0.2">
      <c r="B9" s="388" t="s">
        <v>319</v>
      </c>
      <c r="C9" s="389"/>
      <c r="D9" s="389"/>
      <c r="E9" s="389"/>
      <c r="F9" s="389"/>
      <c r="G9" s="389"/>
    </row>
    <row r="10" spans="2:7" ht="15" x14ac:dyDescent="0.2">
      <c r="B10" s="391" t="s">
        <v>324</v>
      </c>
      <c r="C10" s="389"/>
      <c r="D10" s="389"/>
      <c r="E10" s="389"/>
      <c r="F10" s="389"/>
      <c r="G10" s="389"/>
    </row>
    <row r="11" spans="2:7" ht="15" x14ac:dyDescent="0.2">
      <c r="B11" s="391" t="s">
        <v>325</v>
      </c>
      <c r="C11" s="389"/>
      <c r="D11" s="389"/>
      <c r="E11" s="389"/>
      <c r="F11" s="389"/>
      <c r="G11" s="389"/>
    </row>
    <row r="12" spans="2:7" ht="15" x14ac:dyDescent="0.2">
      <c r="B12" s="391" t="s">
        <v>326</v>
      </c>
      <c r="C12" s="389"/>
      <c r="D12" s="389"/>
      <c r="E12" s="389"/>
      <c r="F12" s="389"/>
      <c r="G12" s="389"/>
    </row>
    <row r="13" spans="2:7" ht="15" x14ac:dyDescent="0.2">
      <c r="B13" s="390" t="s">
        <v>336</v>
      </c>
      <c r="C13" s="389"/>
      <c r="D13" s="389"/>
      <c r="E13" s="389"/>
      <c r="F13" s="389"/>
      <c r="G13" s="389"/>
    </row>
    <row r="14" spans="2:7" ht="15" x14ac:dyDescent="0.2">
      <c r="B14" s="390" t="s">
        <v>327</v>
      </c>
      <c r="C14" s="389"/>
      <c r="D14" s="389"/>
      <c r="E14" s="389"/>
      <c r="F14" s="389"/>
      <c r="G14" s="389"/>
    </row>
    <row r="15" spans="2:7" ht="15" x14ac:dyDescent="0.2">
      <c r="B15" s="390" t="s">
        <v>337</v>
      </c>
      <c r="C15" s="389"/>
      <c r="D15" s="389"/>
      <c r="E15" s="389"/>
      <c r="F15" s="389"/>
      <c r="G15" s="389"/>
    </row>
    <row r="16" spans="2:7" ht="15" x14ac:dyDescent="0.2">
      <c r="B16" s="390" t="s">
        <v>338</v>
      </c>
      <c r="C16" s="389"/>
      <c r="D16" s="389"/>
      <c r="E16" s="389"/>
      <c r="F16" s="389"/>
      <c r="G16" s="389"/>
    </row>
    <row r="17" spans="2:7" ht="15" x14ac:dyDescent="0.2">
      <c r="B17" s="390" t="s">
        <v>328</v>
      </c>
      <c r="C17" s="389"/>
      <c r="D17" s="389"/>
      <c r="E17" s="389"/>
      <c r="F17" s="389"/>
      <c r="G17" s="389"/>
    </row>
    <row r="18" spans="2:7" ht="15" x14ac:dyDescent="0.2">
      <c r="B18" s="390" t="s">
        <v>339</v>
      </c>
      <c r="C18" s="389"/>
      <c r="D18" s="389"/>
      <c r="E18" s="389"/>
      <c r="F18" s="389"/>
      <c r="G18" s="389"/>
    </row>
    <row r="19" spans="2:7" ht="15" x14ac:dyDescent="0.2">
      <c r="B19" s="390" t="s">
        <v>340</v>
      </c>
      <c r="C19" s="389"/>
      <c r="D19" s="389"/>
      <c r="E19" s="389"/>
      <c r="F19" s="389"/>
      <c r="G19" s="389"/>
    </row>
    <row r="20" spans="2:7" ht="15" x14ac:dyDescent="0.2">
      <c r="B20" s="391"/>
      <c r="C20" s="389"/>
      <c r="D20" s="389"/>
      <c r="E20" s="389"/>
      <c r="F20" s="389"/>
      <c r="G20" s="389"/>
    </row>
    <row r="21" spans="2:7" ht="17.25" x14ac:dyDescent="0.2">
      <c r="B21" s="392" t="s">
        <v>341</v>
      </c>
      <c r="C21" s="389"/>
      <c r="D21" s="389"/>
      <c r="E21" s="389"/>
      <c r="F21" s="389"/>
      <c r="G21" s="389"/>
    </row>
    <row r="22" spans="2:7" x14ac:dyDescent="0.2">
      <c r="B22" s="389" t="s">
        <v>329</v>
      </c>
      <c r="C22" s="389"/>
      <c r="D22" s="389"/>
      <c r="E22" s="389"/>
      <c r="F22" s="389"/>
      <c r="G22" s="389"/>
    </row>
    <row r="23" spans="2:7" x14ac:dyDescent="0.2">
      <c r="B23" s="389" t="s">
        <v>330</v>
      </c>
      <c r="C23" s="389"/>
      <c r="D23" s="389"/>
      <c r="E23" s="389"/>
      <c r="F23" s="389"/>
      <c r="G23" s="389"/>
    </row>
    <row r="24" spans="2:7" x14ac:dyDescent="0.2">
      <c r="B24" s="389"/>
      <c r="C24" s="389"/>
      <c r="D24" s="389"/>
      <c r="E24" s="389"/>
      <c r="F24" s="389"/>
      <c r="G24" s="389"/>
    </row>
    <row r="25" spans="2:7" ht="15" x14ac:dyDescent="0.25">
      <c r="B25" s="393" t="s">
        <v>331</v>
      </c>
      <c r="C25" s="389"/>
      <c r="D25" s="389"/>
      <c r="E25" s="389"/>
      <c r="F25" s="389"/>
      <c r="G25" s="389"/>
    </row>
    <row r="26" spans="2:7" x14ac:dyDescent="0.2">
      <c r="B26" s="389" t="s">
        <v>332</v>
      </c>
      <c r="C26" s="389"/>
      <c r="D26" s="389"/>
      <c r="E26" s="389"/>
      <c r="F26" s="389"/>
      <c r="G26" s="389"/>
    </row>
    <row r="27" spans="2:7" x14ac:dyDescent="0.2">
      <c r="B27" s="389" t="s">
        <v>333</v>
      </c>
      <c r="C27" s="389"/>
      <c r="D27" s="389"/>
      <c r="E27" s="389"/>
      <c r="F27" s="389"/>
      <c r="G27" s="389"/>
    </row>
    <row r="28" spans="2:7" x14ac:dyDescent="0.2">
      <c r="B28" s="389" t="s">
        <v>334</v>
      </c>
      <c r="C28" s="389"/>
      <c r="D28" s="389"/>
      <c r="E28" s="389"/>
      <c r="F28" s="389"/>
      <c r="G28" s="38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16" customWidth="1"/>
    <col min="4" max="4" width="35.7109375" style="16" customWidth="1"/>
    <col min="5" max="8" width="12.85546875" style="16" customWidth="1"/>
    <col min="9" max="10" width="16" style="16" customWidth="1"/>
    <col min="11" max="13" width="2.7109375" style="16" customWidth="1"/>
    <col min="14" max="16384" width="9.140625" style="16"/>
  </cols>
  <sheetData>
    <row r="1" spans="2:12" thickBot="1" x14ac:dyDescent="0.25"/>
    <row r="2" spans="2:12" ht="12.75" x14ac:dyDescent="0.2">
      <c r="B2" s="19"/>
      <c r="C2" s="20"/>
      <c r="D2" s="20"/>
      <c r="E2" s="20"/>
      <c r="F2" s="20"/>
      <c r="G2" s="20"/>
      <c r="H2" s="20"/>
      <c r="I2" s="20"/>
      <c r="J2" s="20"/>
      <c r="K2" s="20"/>
      <c r="L2" s="23"/>
    </row>
    <row r="3" spans="2:12" ht="12.75" x14ac:dyDescent="0.2">
      <c r="B3" s="24"/>
      <c r="C3" s="25"/>
      <c r="D3" s="25"/>
      <c r="E3" s="25"/>
      <c r="F3" s="25"/>
      <c r="G3" s="25"/>
      <c r="H3" s="25"/>
      <c r="I3" s="25"/>
      <c r="J3" s="25"/>
      <c r="K3" s="25"/>
      <c r="L3" s="28"/>
    </row>
    <row r="4" spans="2:12" s="42" customFormat="1" ht="18" x14ac:dyDescent="0.25">
      <c r="B4" s="39"/>
      <c r="C4" s="30" t="s">
        <v>155</v>
      </c>
      <c r="D4" s="61"/>
      <c r="E4" s="61"/>
      <c r="F4" s="61"/>
      <c r="G4" s="62"/>
      <c r="H4" s="63"/>
      <c r="I4" s="61"/>
      <c r="J4" s="61"/>
      <c r="K4" s="61"/>
      <c r="L4" s="41"/>
    </row>
    <row r="5" spans="2:12" ht="12.75" x14ac:dyDescent="0.2">
      <c r="B5" s="24"/>
      <c r="C5" s="25"/>
      <c r="D5" s="25"/>
      <c r="E5" s="25"/>
      <c r="F5" s="25"/>
      <c r="G5" s="25"/>
      <c r="H5" s="25"/>
      <c r="I5" s="25"/>
      <c r="J5" s="25"/>
      <c r="K5" s="25"/>
      <c r="L5" s="28"/>
    </row>
    <row r="6" spans="2:12" ht="12.75" x14ac:dyDescent="0.2">
      <c r="B6" s="24"/>
      <c r="C6" s="25"/>
      <c r="D6" s="25"/>
      <c r="E6" s="25"/>
      <c r="F6" s="25"/>
      <c r="G6" s="25"/>
      <c r="H6" s="25"/>
      <c r="I6" s="25"/>
      <c r="J6" s="25"/>
      <c r="K6" s="25"/>
      <c r="L6" s="28"/>
    </row>
    <row r="7" spans="2:12" ht="12.75" x14ac:dyDescent="0.2">
      <c r="B7" s="24"/>
      <c r="C7" s="148"/>
      <c r="D7" s="148"/>
      <c r="E7" s="148"/>
      <c r="F7" s="148"/>
      <c r="G7" s="148"/>
      <c r="H7" s="148"/>
      <c r="I7" s="148"/>
      <c r="J7" s="148"/>
      <c r="K7" s="148"/>
      <c r="L7" s="28"/>
    </row>
    <row r="8" spans="2:12" ht="12.75" x14ac:dyDescent="0.2">
      <c r="B8" s="24"/>
      <c r="C8" s="148"/>
      <c r="D8" s="152" t="s">
        <v>42</v>
      </c>
      <c r="E8" s="148"/>
      <c r="F8" s="148"/>
      <c r="G8" s="148"/>
      <c r="H8" s="148"/>
      <c r="I8" s="148"/>
      <c r="J8" s="148"/>
      <c r="K8" s="148"/>
      <c r="L8" s="28"/>
    </row>
    <row r="9" spans="2:12" ht="12.75" x14ac:dyDescent="0.2">
      <c r="B9" s="24"/>
      <c r="C9" s="148"/>
      <c r="D9" s="148"/>
      <c r="E9" s="148"/>
      <c r="F9" s="148"/>
      <c r="G9" s="148"/>
      <c r="H9" s="148"/>
      <c r="I9" s="148"/>
      <c r="J9" s="148"/>
      <c r="K9" s="148"/>
      <c r="L9" s="28"/>
    </row>
    <row r="10" spans="2:12" ht="12.75" x14ac:dyDescent="0.2">
      <c r="B10" s="24"/>
      <c r="C10" s="148"/>
      <c r="D10" s="148" t="s">
        <v>156</v>
      </c>
      <c r="E10" s="148"/>
      <c r="F10" s="148"/>
      <c r="G10" s="148"/>
      <c r="H10" s="544" t="s">
        <v>157</v>
      </c>
      <c r="I10" s="545"/>
      <c r="J10" s="199"/>
      <c r="K10" s="148"/>
      <c r="L10" s="28"/>
    </row>
    <row r="11" spans="2:12" ht="12.75" x14ac:dyDescent="0.2">
      <c r="B11" s="24"/>
      <c r="C11" s="148"/>
      <c r="D11" s="148"/>
      <c r="E11" s="148"/>
      <c r="F11" s="148"/>
      <c r="G11" s="150"/>
      <c r="H11" s="150"/>
      <c r="I11" s="199"/>
      <c r="J11" s="199"/>
      <c r="K11" s="148"/>
      <c r="L11" s="28"/>
    </row>
    <row r="12" spans="2:12" s="42" customFormat="1" ht="12.75" x14ac:dyDescent="0.2">
      <c r="B12" s="39"/>
      <c r="C12" s="152"/>
      <c r="D12" s="152" t="s">
        <v>46</v>
      </c>
      <c r="E12" s="152"/>
      <c r="F12" s="152"/>
      <c r="G12" s="152"/>
      <c r="H12" s="152"/>
      <c r="I12" s="152"/>
      <c r="J12" s="152"/>
      <c r="K12" s="152"/>
      <c r="L12" s="41"/>
    </row>
    <row r="13" spans="2:12" ht="12.75" x14ac:dyDescent="0.2">
      <c r="B13" s="24"/>
      <c r="C13" s="148"/>
      <c r="D13" s="148" t="s">
        <v>47</v>
      </c>
      <c r="E13" s="148"/>
      <c r="F13" s="148"/>
      <c r="G13" s="151"/>
      <c r="H13" s="225" t="s">
        <v>6</v>
      </c>
      <c r="I13" s="166"/>
      <c r="J13" s="148"/>
      <c r="K13" s="148"/>
      <c r="L13" s="28"/>
    </row>
    <row r="14" spans="2:12" ht="12.75" x14ac:dyDescent="0.2">
      <c r="B14" s="24"/>
      <c r="C14" s="148"/>
      <c r="D14" s="148" t="s">
        <v>48</v>
      </c>
      <c r="E14" s="148"/>
      <c r="F14" s="148"/>
      <c r="G14" s="151"/>
      <c r="H14" s="206">
        <v>7</v>
      </c>
      <c r="I14" s="243" t="s">
        <v>198</v>
      </c>
      <c r="J14" s="242">
        <f>VLOOKUP(H$13,saltab2019jan,18,FALSE)</f>
        <v>12</v>
      </c>
      <c r="K14" s="148"/>
      <c r="L14" s="28"/>
    </row>
    <row r="15" spans="2:12" ht="12.75" x14ac:dyDescent="0.2">
      <c r="B15" s="24"/>
      <c r="C15" s="148"/>
      <c r="D15" s="148" t="s">
        <v>51</v>
      </c>
      <c r="E15" s="148"/>
      <c r="F15" s="148"/>
      <c r="G15" s="239"/>
      <c r="H15" s="207">
        <f>VLOOKUP(H13,saltab2019jan,H14+1,FALSE)</f>
        <v>3618</v>
      </c>
      <c r="I15" s="148"/>
      <c r="J15" s="148"/>
      <c r="K15" s="148"/>
      <c r="L15" s="28"/>
    </row>
    <row r="16" spans="2:12" ht="12.75" x14ac:dyDescent="0.2">
      <c r="B16" s="24"/>
      <c r="C16" s="148"/>
      <c r="D16" s="148" t="s">
        <v>52</v>
      </c>
      <c r="E16" s="148"/>
      <c r="F16" s="148"/>
      <c r="G16" s="240"/>
      <c r="H16" s="208">
        <v>1</v>
      </c>
      <c r="I16" s="148"/>
      <c r="J16" s="148"/>
      <c r="K16" s="148"/>
      <c r="L16" s="28"/>
    </row>
    <row r="17" spans="2:12" ht="12.75" x14ac:dyDescent="0.2">
      <c r="B17" s="24"/>
      <c r="C17" s="148"/>
      <c r="D17" s="148" t="s">
        <v>53</v>
      </c>
      <c r="E17" s="148"/>
      <c r="F17" s="148"/>
      <c r="G17" s="241"/>
      <c r="H17" s="217">
        <f>+H15*H16</f>
        <v>3618</v>
      </c>
      <c r="I17" s="148"/>
      <c r="J17" s="148"/>
      <c r="K17" s="148"/>
      <c r="L17" s="28"/>
    </row>
    <row r="18" spans="2:12" ht="12.75" x14ac:dyDescent="0.2">
      <c r="B18" s="24"/>
      <c r="C18" s="148"/>
      <c r="D18" s="148"/>
      <c r="E18" s="148"/>
      <c r="F18" s="148"/>
      <c r="G18" s="241"/>
      <c r="H18" s="241"/>
      <c r="I18" s="148"/>
      <c r="J18" s="148"/>
      <c r="K18" s="148"/>
      <c r="L18" s="28"/>
    </row>
    <row r="19" spans="2:12" ht="12.75" x14ac:dyDescent="0.2">
      <c r="B19" s="24"/>
      <c r="C19" s="25"/>
      <c r="D19" s="25"/>
      <c r="E19" s="25"/>
      <c r="F19" s="25"/>
      <c r="G19" s="25"/>
      <c r="H19" s="25"/>
      <c r="I19" s="25"/>
      <c r="J19" s="25"/>
      <c r="K19" s="25"/>
      <c r="L19" s="28"/>
    </row>
    <row r="20" spans="2:12" ht="12.75" x14ac:dyDescent="0.2">
      <c r="B20" s="24"/>
      <c r="C20" s="148"/>
      <c r="D20" s="148"/>
      <c r="E20" s="148"/>
      <c r="F20" s="148"/>
      <c r="G20" s="148"/>
      <c r="H20" s="148"/>
      <c r="I20" s="148"/>
      <c r="J20" s="148"/>
      <c r="K20" s="148"/>
      <c r="L20" s="28"/>
    </row>
    <row r="21" spans="2:12" s="42" customFormat="1" ht="12.75" x14ac:dyDescent="0.2">
      <c r="B21" s="39"/>
      <c r="C21" s="152"/>
      <c r="D21" s="152" t="s">
        <v>158</v>
      </c>
      <c r="E21" s="152"/>
      <c r="F21" s="152"/>
      <c r="G21" s="195"/>
      <c r="H21" s="195" t="s">
        <v>159</v>
      </c>
      <c r="I21" s="195" t="s">
        <v>160</v>
      </c>
      <c r="J21" s="169"/>
      <c r="K21" s="169"/>
      <c r="L21" s="41"/>
    </row>
    <row r="22" spans="2:12" ht="12.75" x14ac:dyDescent="0.2">
      <c r="B22" s="24"/>
      <c r="C22" s="148"/>
      <c r="D22" s="148"/>
      <c r="E22" s="148"/>
      <c r="F22" s="148"/>
      <c r="G22" s="151"/>
      <c r="H22" s="151"/>
      <c r="I22" s="151"/>
      <c r="J22" s="151"/>
      <c r="K22" s="151"/>
      <c r="L22" s="28"/>
    </row>
    <row r="23" spans="2:12" ht="12.75" x14ac:dyDescent="0.2">
      <c r="B23" s="24"/>
      <c r="C23" s="148"/>
      <c r="D23" s="148" t="s">
        <v>161</v>
      </c>
      <c r="E23" s="148"/>
      <c r="F23" s="148"/>
      <c r="G23" s="151"/>
      <c r="H23" s="226" t="s">
        <v>203</v>
      </c>
      <c r="I23" s="151"/>
      <c r="J23" s="151"/>
      <c r="K23" s="151"/>
      <c r="L23" s="28"/>
    </row>
    <row r="24" spans="2:12" ht="12.75" x14ac:dyDescent="0.2">
      <c r="B24" s="24"/>
      <c r="C24" s="148"/>
      <c r="D24" s="148"/>
      <c r="E24" s="148"/>
      <c r="F24" s="148"/>
      <c r="G24" s="151"/>
      <c r="H24" s="151"/>
      <c r="I24" s="151"/>
      <c r="J24" s="151"/>
      <c r="K24" s="151"/>
      <c r="L24" s="28"/>
    </row>
    <row r="25" spans="2:12" ht="12.75" x14ac:dyDescent="0.2">
      <c r="B25" s="24"/>
      <c r="C25" s="148"/>
      <c r="D25" s="148" t="s">
        <v>162</v>
      </c>
      <c r="E25" s="148"/>
      <c r="F25" s="148"/>
      <c r="G25" s="151"/>
      <c r="H25" s="227">
        <f>ROUND(415*H16,0)</f>
        <v>415</v>
      </c>
      <c r="I25" s="228">
        <f>ROUND(233*H16,0)</f>
        <v>233</v>
      </c>
      <c r="J25" s="151"/>
      <c r="K25" s="151"/>
      <c r="L25" s="28"/>
    </row>
    <row r="26" spans="2:12" ht="12.75" x14ac:dyDescent="0.2">
      <c r="B26" s="24"/>
      <c r="C26" s="148"/>
      <c r="D26" s="148" t="s">
        <v>163</v>
      </c>
      <c r="E26" s="148"/>
      <c r="F26" s="148"/>
      <c r="G26" s="151"/>
      <c r="H26" s="209">
        <v>415</v>
      </c>
      <c r="I26" s="205">
        <v>233</v>
      </c>
      <c r="J26" s="151"/>
      <c r="K26" s="151"/>
      <c r="L26" s="28"/>
    </row>
    <row r="27" spans="2:12" ht="12.75" x14ac:dyDescent="0.2">
      <c r="B27" s="24"/>
      <c r="C27" s="148"/>
      <c r="D27" s="148" t="s">
        <v>164</v>
      </c>
      <c r="E27" s="148"/>
      <c r="F27" s="148"/>
      <c r="G27" s="165"/>
      <c r="H27" s="210">
        <f>+H26/H25</f>
        <v>1</v>
      </c>
      <c r="I27" s="219">
        <f>+I26/I25</f>
        <v>1</v>
      </c>
      <c r="J27" s="151"/>
      <c r="K27" s="151"/>
      <c r="L27" s="28"/>
    </row>
    <row r="28" spans="2:12" ht="12.75" x14ac:dyDescent="0.2">
      <c r="B28" s="24"/>
      <c r="C28" s="148"/>
      <c r="D28" s="148" t="s">
        <v>165</v>
      </c>
      <c r="E28" s="148"/>
      <c r="F28" s="148"/>
      <c r="G28" s="151"/>
      <c r="H28" s="218">
        <v>6</v>
      </c>
      <c r="I28" s="151" t="str">
        <f>IF(H28&lt;2.999,"moet minimaal 3 gehele maanden zijn"," ")</f>
        <v xml:space="preserve"> </v>
      </c>
      <c r="J28" s="151"/>
      <c r="K28" s="151"/>
      <c r="L28" s="28"/>
    </row>
    <row r="29" spans="2:12" ht="12.75" x14ac:dyDescent="0.2">
      <c r="B29" s="24"/>
      <c r="C29" s="148"/>
      <c r="D29" s="148"/>
      <c r="E29" s="148"/>
      <c r="F29" s="148"/>
      <c r="G29" s="151"/>
      <c r="H29" s="151"/>
      <c r="I29" s="151"/>
      <c r="J29" s="151"/>
      <c r="K29" s="151"/>
      <c r="L29" s="28"/>
    </row>
    <row r="30" spans="2:12" ht="12.75" x14ac:dyDescent="0.2">
      <c r="B30" s="24"/>
      <c r="C30" s="148"/>
      <c r="D30" s="148" t="s">
        <v>166</v>
      </c>
      <c r="E30" s="148"/>
      <c r="F30" s="148"/>
      <c r="G30" s="244"/>
      <c r="H30" s="230">
        <f>ROUND(IF(H23="ja",+(I26/I25),H26/H25)*(3/H28)*H16,4)</f>
        <v>0.5</v>
      </c>
      <c r="I30" s="151"/>
      <c r="J30" s="239"/>
      <c r="K30" s="178"/>
      <c r="L30" s="28"/>
    </row>
    <row r="31" spans="2:12" ht="12.75" x14ac:dyDescent="0.2">
      <c r="B31" s="24"/>
      <c r="C31" s="148"/>
      <c r="D31" s="148" t="s">
        <v>167</v>
      </c>
      <c r="E31" s="148"/>
      <c r="F31" s="148"/>
      <c r="G31" s="165"/>
      <c r="H31" s="222">
        <f>ROUND(+IF(H23="ja",I26,H26)/ROUND((IF(H23="ja",233,415)*H16),0)*1.35/H28,4)</f>
        <v>0.22500000000000001</v>
      </c>
      <c r="I31" s="151"/>
      <c r="J31" s="229">
        <f>+H31*H17</f>
        <v>814.05000000000007</v>
      </c>
      <c r="K31" s="176">
        <f>+H30*0.45*H15</f>
        <v>814.05000000000007</v>
      </c>
      <c r="L31" s="28"/>
    </row>
    <row r="32" spans="2:12" ht="12.75" x14ac:dyDescent="0.2">
      <c r="B32" s="24"/>
      <c r="C32" s="148"/>
      <c r="D32" s="148"/>
      <c r="E32" s="148"/>
      <c r="F32" s="148"/>
      <c r="G32" s="165"/>
      <c r="H32" s="165"/>
      <c r="I32" s="151"/>
      <c r="J32" s="239"/>
      <c r="K32" s="176"/>
      <c r="L32" s="28"/>
    </row>
    <row r="33" spans="2:12" ht="12.75" x14ac:dyDescent="0.2">
      <c r="B33" s="24"/>
      <c r="C33" s="148"/>
      <c r="D33" s="148" t="s">
        <v>168</v>
      </c>
      <c r="E33" s="148"/>
      <c r="F33" s="148"/>
      <c r="G33" s="165"/>
      <c r="H33" s="234">
        <f>ROUND((3*I27/H28),4)-H31</f>
        <v>0.27500000000000002</v>
      </c>
      <c r="I33" s="151"/>
      <c r="J33" s="233">
        <f>+H33*H17</f>
        <v>994.95</v>
      </c>
      <c r="K33" s="176">
        <f>+H30*0.55*H15</f>
        <v>994.95</v>
      </c>
      <c r="L33" s="28"/>
    </row>
    <row r="34" spans="2:12" ht="12.75" x14ac:dyDescent="0.2">
      <c r="B34" s="24"/>
      <c r="C34" s="148"/>
      <c r="D34" s="148" t="s">
        <v>169</v>
      </c>
      <c r="E34" s="148"/>
      <c r="F34" s="148"/>
      <c r="G34" s="165"/>
      <c r="H34" s="211">
        <f>1-ROUND(1/0.45*H31,4)</f>
        <v>0.5</v>
      </c>
      <c r="I34" s="151"/>
      <c r="J34" s="212">
        <f>+H34*H17</f>
        <v>1809</v>
      </c>
      <c r="K34" s="178"/>
      <c r="L34" s="28"/>
    </row>
    <row r="35" spans="2:12" s="42" customFormat="1" ht="12.75" x14ac:dyDescent="0.2">
      <c r="B35" s="39"/>
      <c r="C35" s="152"/>
      <c r="D35" s="152" t="s">
        <v>170</v>
      </c>
      <c r="E35" s="152"/>
      <c r="F35" s="152"/>
      <c r="G35" s="245"/>
      <c r="H35" s="220">
        <f>+H33+H34</f>
        <v>0.77500000000000002</v>
      </c>
      <c r="I35" s="169"/>
      <c r="J35" s="213">
        <f>SUM(J33:J34)</f>
        <v>2803.95</v>
      </c>
      <c r="K35" s="195"/>
      <c r="L35" s="41"/>
    </row>
    <row r="36" spans="2:12" ht="12.75" x14ac:dyDescent="0.2">
      <c r="B36" s="24"/>
      <c r="C36" s="148"/>
      <c r="D36" s="188" t="s">
        <v>171</v>
      </c>
      <c r="E36" s="188"/>
      <c r="F36" s="188"/>
      <c r="G36" s="178"/>
      <c r="H36" s="178"/>
      <c r="I36" s="178"/>
      <c r="J36" s="221">
        <f>+J33*H28</f>
        <v>5969.7000000000007</v>
      </c>
      <c r="K36" s="178"/>
      <c r="L36" s="28"/>
    </row>
    <row r="37" spans="2:12" ht="12.75" x14ac:dyDescent="0.2">
      <c r="B37" s="24"/>
      <c r="C37" s="148"/>
      <c r="D37" s="148"/>
      <c r="E37" s="148"/>
      <c r="F37" s="148"/>
      <c r="G37" s="151"/>
      <c r="H37" s="151"/>
      <c r="I37" s="151"/>
      <c r="J37" s="239"/>
      <c r="K37" s="178"/>
      <c r="L37" s="28"/>
    </row>
    <row r="38" spans="2:12" s="42" customFormat="1" ht="12.75" x14ac:dyDescent="0.2">
      <c r="B38" s="39"/>
      <c r="C38" s="152"/>
      <c r="D38" s="152" t="s">
        <v>172</v>
      </c>
      <c r="E38" s="152"/>
      <c r="F38" s="152"/>
      <c r="G38" s="246"/>
      <c r="H38" s="231">
        <f>+tabellen!C29</f>
        <v>0.55000000000000004</v>
      </c>
      <c r="I38" s="169"/>
      <c r="J38" s="232">
        <f>+J36*(1+H38)</f>
        <v>9253.0350000000017</v>
      </c>
      <c r="K38" s="152"/>
      <c r="L38" s="41"/>
    </row>
    <row r="39" spans="2:12" ht="12.75" x14ac:dyDescent="0.2">
      <c r="B39" s="24"/>
      <c r="C39" s="148"/>
      <c r="D39" s="188" t="s">
        <v>59</v>
      </c>
      <c r="E39" s="188"/>
      <c r="F39" s="188"/>
      <c r="G39" s="188"/>
      <c r="H39" s="188"/>
      <c r="I39" s="188"/>
      <c r="J39" s="221">
        <f>+J38/H$28</f>
        <v>1542.1725000000004</v>
      </c>
      <c r="K39" s="171"/>
      <c r="L39" s="28"/>
    </row>
    <row r="40" spans="2:12" ht="12.75" x14ac:dyDescent="0.2">
      <c r="B40" s="24"/>
      <c r="C40" s="148"/>
      <c r="D40" s="148"/>
      <c r="E40" s="148"/>
      <c r="F40" s="148"/>
      <c r="G40" s="148"/>
      <c r="H40" s="148"/>
      <c r="I40" s="148"/>
      <c r="J40" s="247"/>
      <c r="K40" s="171"/>
      <c r="L40" s="28"/>
    </row>
    <row r="41" spans="2:12" ht="12.75" x14ac:dyDescent="0.2">
      <c r="B41" s="24"/>
      <c r="C41" s="25"/>
      <c r="D41" s="25"/>
      <c r="E41" s="25"/>
      <c r="F41" s="25"/>
      <c r="G41" s="25"/>
      <c r="H41" s="25"/>
      <c r="I41" s="25"/>
      <c r="J41" s="48"/>
      <c r="K41" s="48"/>
      <c r="L41" s="28"/>
    </row>
    <row r="42" spans="2:12" ht="12.75" x14ac:dyDescent="0.2">
      <c r="B42" s="24"/>
      <c r="C42" s="148"/>
      <c r="D42" s="148"/>
      <c r="E42" s="148"/>
      <c r="F42" s="148"/>
      <c r="G42" s="148"/>
      <c r="H42" s="148"/>
      <c r="I42" s="171"/>
      <c r="J42" s="148"/>
      <c r="K42" s="148"/>
      <c r="L42" s="28"/>
    </row>
    <row r="43" spans="2:12" s="42" customFormat="1" ht="12.75" x14ac:dyDescent="0.2">
      <c r="B43" s="64"/>
      <c r="C43" s="153"/>
      <c r="D43" s="152" t="s">
        <v>173</v>
      </c>
      <c r="E43" s="152"/>
      <c r="F43" s="152"/>
      <c r="G43" s="152"/>
      <c r="H43" s="152"/>
      <c r="I43" s="546"/>
      <c r="J43" s="547"/>
      <c r="K43" s="152"/>
      <c r="L43" s="41"/>
    </row>
    <row r="44" spans="2:12" ht="12.75" x14ac:dyDescent="0.2">
      <c r="B44" s="65"/>
      <c r="C44" s="166"/>
      <c r="D44" s="148"/>
      <c r="E44" s="148"/>
      <c r="F44" s="148"/>
      <c r="G44" s="148"/>
      <c r="H44" s="148"/>
      <c r="I44" s="250"/>
      <c r="J44" s="199"/>
      <c r="K44" s="148"/>
      <c r="L44" s="28"/>
    </row>
    <row r="45" spans="2:12" ht="12.75" x14ac:dyDescent="0.2">
      <c r="B45" s="24"/>
      <c r="C45" s="148"/>
      <c r="D45" s="148" t="s">
        <v>174</v>
      </c>
      <c r="E45" s="148"/>
      <c r="F45" s="148"/>
      <c r="G45" s="148"/>
      <c r="H45" s="148"/>
      <c r="I45" s="171"/>
      <c r="J45" s="148"/>
      <c r="K45" s="148"/>
      <c r="L45" s="28"/>
    </row>
    <row r="46" spans="2:12" ht="12.75" x14ac:dyDescent="0.2">
      <c r="B46" s="24"/>
      <c r="C46" s="148"/>
      <c r="D46" s="148" t="s">
        <v>175</v>
      </c>
      <c r="E46" s="148"/>
      <c r="F46" s="148"/>
      <c r="G46" s="248"/>
      <c r="H46" s="237">
        <v>600</v>
      </c>
      <c r="I46" s="251" t="s">
        <v>176</v>
      </c>
      <c r="J46" s="148"/>
      <c r="K46" s="148"/>
      <c r="L46" s="28"/>
    </row>
    <row r="47" spans="2:12" ht="12.75" x14ac:dyDescent="0.2">
      <c r="B47" s="24"/>
      <c r="C47" s="148"/>
      <c r="D47" s="148" t="s">
        <v>177</v>
      </c>
      <c r="E47" s="148"/>
      <c r="F47" s="148"/>
      <c r="G47" s="249"/>
      <c r="H47" s="223">
        <v>0.75</v>
      </c>
      <c r="I47" s="251" t="s">
        <v>176</v>
      </c>
      <c r="J47" s="148"/>
      <c r="K47" s="148"/>
      <c r="L47" s="28"/>
    </row>
    <row r="48" spans="2:12" ht="12.75" x14ac:dyDescent="0.2">
      <c r="B48" s="24"/>
      <c r="C48" s="148"/>
      <c r="D48" s="148"/>
      <c r="E48" s="151" t="s">
        <v>178</v>
      </c>
      <c r="F48" s="151" t="s">
        <v>179</v>
      </c>
      <c r="G48" s="148"/>
      <c r="H48" s="151"/>
      <c r="I48" s="251"/>
      <c r="J48" s="148"/>
      <c r="K48" s="148"/>
      <c r="L48" s="28"/>
    </row>
    <row r="49" spans="2:14" ht="12.75" x14ac:dyDescent="0.2">
      <c r="B49" s="24"/>
      <c r="C49" s="148"/>
      <c r="D49" s="148" t="s">
        <v>180</v>
      </c>
      <c r="E49" s="235">
        <v>20</v>
      </c>
      <c r="F49" s="236">
        <v>40</v>
      </c>
      <c r="G49" s="249"/>
      <c r="H49" s="238">
        <v>0.375</v>
      </c>
      <c r="I49" s="251" t="s">
        <v>181</v>
      </c>
      <c r="J49" s="148"/>
      <c r="K49" s="148"/>
      <c r="L49" s="28"/>
    </row>
    <row r="50" spans="2:14" ht="12.75" x14ac:dyDescent="0.2">
      <c r="B50" s="24"/>
      <c r="C50" s="148"/>
      <c r="D50" s="148" t="s">
        <v>182</v>
      </c>
      <c r="E50" s="148"/>
      <c r="F50" s="148"/>
      <c r="G50" s="148"/>
      <c r="H50" s="206">
        <v>1.8</v>
      </c>
      <c r="I50" s="251" t="s">
        <v>183</v>
      </c>
      <c r="J50" s="148"/>
      <c r="K50" s="148"/>
      <c r="L50" s="28"/>
    </row>
    <row r="51" spans="2:14" ht="12.75" x14ac:dyDescent="0.2">
      <c r="B51" s="24"/>
      <c r="C51" s="148"/>
      <c r="D51" s="148" t="s">
        <v>184</v>
      </c>
      <c r="E51" s="148"/>
      <c r="F51" s="148"/>
      <c r="G51" s="248"/>
      <c r="H51" s="215">
        <f>ROUND(H46*H47*H49*H50,0)</f>
        <v>304</v>
      </c>
      <c r="I51" s="251"/>
      <c r="J51" s="148"/>
      <c r="K51" s="148"/>
      <c r="L51" s="28"/>
    </row>
    <row r="52" spans="2:14" ht="12.75" x14ac:dyDescent="0.2">
      <c r="B52" s="24"/>
      <c r="C52" s="148"/>
      <c r="D52" s="148" t="s">
        <v>185</v>
      </c>
      <c r="E52" s="148"/>
      <c r="F52" s="148"/>
      <c r="G52" s="249"/>
      <c r="H52" s="214">
        <v>1</v>
      </c>
      <c r="I52" s="251" t="s">
        <v>186</v>
      </c>
      <c r="J52" s="148"/>
      <c r="K52" s="148"/>
      <c r="L52" s="28"/>
    </row>
    <row r="53" spans="2:14" ht="12.75" x14ac:dyDescent="0.2">
      <c r="B53" s="24"/>
      <c r="C53" s="148"/>
      <c r="D53" s="148" t="s">
        <v>187</v>
      </c>
      <c r="E53" s="148"/>
      <c r="F53" s="148"/>
      <c r="G53" s="248"/>
      <c r="H53" s="215">
        <f>ROUND(H51*H52/(F49-E49),0)</f>
        <v>15</v>
      </c>
      <c r="I53" s="251"/>
      <c r="J53" s="148"/>
      <c r="K53" s="148"/>
      <c r="L53" s="28"/>
    </row>
    <row r="54" spans="2:14" ht="12.75" x14ac:dyDescent="0.2">
      <c r="B54" s="24"/>
      <c r="C54" s="148"/>
      <c r="D54" s="148" t="s">
        <v>188</v>
      </c>
      <c r="E54" s="148"/>
      <c r="F54" s="148"/>
      <c r="G54" s="253"/>
      <c r="H54" s="216">
        <v>9000</v>
      </c>
      <c r="I54" s="251" t="s">
        <v>186</v>
      </c>
      <c r="J54" s="148"/>
      <c r="K54" s="148"/>
      <c r="L54" s="28"/>
    </row>
    <row r="55" spans="2:14" s="42" customFormat="1" ht="12.75" x14ac:dyDescent="0.2">
      <c r="B55" s="39"/>
      <c r="C55" s="152"/>
      <c r="D55" s="152" t="s">
        <v>189</v>
      </c>
      <c r="E55" s="152"/>
      <c r="F55" s="152"/>
      <c r="G55" s="254"/>
      <c r="H55" s="224">
        <f>+H53*H54</f>
        <v>135000</v>
      </c>
      <c r="I55" s="252" t="s">
        <v>190</v>
      </c>
      <c r="J55" s="152"/>
      <c r="K55" s="152"/>
      <c r="L55" s="41"/>
    </row>
    <row r="56" spans="2:14" ht="12.75" x14ac:dyDescent="0.2">
      <c r="B56" s="24"/>
      <c r="C56" s="148"/>
      <c r="D56" s="148"/>
      <c r="E56" s="148"/>
      <c r="F56" s="148"/>
      <c r="G56" s="148"/>
      <c r="H56" s="148"/>
      <c r="I56" s="171"/>
      <c r="J56" s="148"/>
      <c r="K56" s="148"/>
      <c r="L56" s="28"/>
    </row>
    <row r="57" spans="2:14" ht="12.75" x14ac:dyDescent="0.2">
      <c r="B57" s="24"/>
      <c r="C57" s="25"/>
      <c r="D57" s="25"/>
      <c r="E57" s="25"/>
      <c r="F57" s="25"/>
      <c r="G57" s="25"/>
      <c r="H57" s="25"/>
      <c r="I57" s="48"/>
      <c r="J57" s="25"/>
      <c r="K57" s="25"/>
      <c r="L57" s="28"/>
    </row>
    <row r="58" spans="2:14" thickBot="1" x14ac:dyDescent="0.25">
      <c r="B58" s="49"/>
      <c r="C58" s="50"/>
      <c r="D58" s="50"/>
      <c r="E58" s="50"/>
      <c r="F58" s="50"/>
      <c r="G58" s="50"/>
      <c r="H58" s="50"/>
      <c r="I58" s="66"/>
      <c r="J58" s="50"/>
      <c r="K58" s="53" t="s">
        <v>75</v>
      </c>
      <c r="L58" s="54"/>
    </row>
    <row r="59" spans="2:14" ht="12.75" x14ac:dyDescent="0.2">
      <c r="I59" s="67"/>
    </row>
    <row r="60" spans="2:14" ht="13.5" customHeight="1" x14ac:dyDescent="0.2">
      <c r="I60" s="67"/>
      <c r="N60" s="68" t="s">
        <v>5</v>
      </c>
    </row>
    <row r="61" spans="2:14" ht="13.5" customHeight="1" x14ac:dyDescent="0.2">
      <c r="I61" s="67"/>
      <c r="N61" s="68" t="s">
        <v>6</v>
      </c>
    </row>
    <row r="62" spans="2:14" ht="13.5" customHeight="1" x14ac:dyDescent="0.2">
      <c r="I62" s="67"/>
      <c r="N62" s="68" t="s">
        <v>7</v>
      </c>
    </row>
    <row r="63" spans="2:14" ht="13.5" customHeight="1" x14ac:dyDescent="0.2">
      <c r="I63" s="67"/>
      <c r="N63" s="68" t="s">
        <v>8</v>
      </c>
    </row>
    <row r="64" spans="2:14" ht="13.5" customHeight="1" x14ac:dyDescent="0.2">
      <c r="I64" s="67"/>
      <c r="N64" s="17">
        <v>1</v>
      </c>
    </row>
    <row r="65" spans="9:14" ht="13.5" customHeight="1" x14ac:dyDescent="0.2">
      <c r="I65" s="67"/>
      <c r="N65" s="17">
        <v>2</v>
      </c>
    </row>
    <row r="66" spans="9:14" ht="13.5" customHeight="1" x14ac:dyDescent="0.2">
      <c r="I66" s="67"/>
      <c r="N66" s="17">
        <v>3</v>
      </c>
    </row>
    <row r="67" spans="9:14" ht="13.5" customHeight="1" x14ac:dyDescent="0.2">
      <c r="I67" s="67"/>
      <c r="N67" s="17">
        <v>4</v>
      </c>
    </row>
    <row r="68" spans="9:14" ht="13.5" customHeight="1" x14ac:dyDescent="0.2">
      <c r="I68" s="67"/>
      <c r="N68" s="17">
        <v>5</v>
      </c>
    </row>
    <row r="69" spans="9:14" ht="13.5" customHeight="1" x14ac:dyDescent="0.2">
      <c r="I69" s="67"/>
      <c r="N69" s="17">
        <v>6</v>
      </c>
    </row>
    <row r="70" spans="9:14" ht="13.5" customHeight="1" x14ac:dyDescent="0.2">
      <c r="I70" s="67"/>
      <c r="N70" s="17">
        <v>7</v>
      </c>
    </row>
    <row r="71" spans="9:14" ht="13.5" customHeight="1" x14ac:dyDescent="0.2">
      <c r="I71" s="67"/>
      <c r="N71" s="17">
        <v>8</v>
      </c>
    </row>
    <row r="72" spans="9:14" ht="13.5" customHeight="1" x14ac:dyDescent="0.2">
      <c r="I72" s="67"/>
      <c r="N72" s="17">
        <v>9</v>
      </c>
    </row>
    <row r="73" spans="9:14" ht="13.5" customHeight="1" x14ac:dyDescent="0.2">
      <c r="I73" s="67"/>
      <c r="N73" s="17">
        <v>10</v>
      </c>
    </row>
    <row r="74" spans="9:14" ht="13.5" customHeight="1" x14ac:dyDescent="0.2">
      <c r="I74" s="67"/>
      <c r="N74" s="17">
        <v>11</v>
      </c>
    </row>
    <row r="75" spans="9:14" ht="13.5" customHeight="1" x14ac:dyDescent="0.2">
      <c r="I75" s="67"/>
      <c r="N75" s="17">
        <v>12</v>
      </c>
    </row>
    <row r="76" spans="9:14" ht="13.5" customHeight="1" x14ac:dyDescent="0.2">
      <c r="I76" s="67"/>
      <c r="N76" s="17">
        <v>13</v>
      </c>
    </row>
    <row r="77" spans="9:14" ht="13.5" customHeight="1" x14ac:dyDescent="0.2">
      <c r="I77" s="67"/>
      <c r="N77" s="17">
        <v>14</v>
      </c>
    </row>
    <row r="78" spans="9:14" ht="13.5" customHeight="1" x14ac:dyDescent="0.2">
      <c r="I78" s="67"/>
      <c r="N78" s="17">
        <v>15</v>
      </c>
    </row>
    <row r="79" spans="9:14" ht="13.5" customHeight="1" x14ac:dyDescent="0.2">
      <c r="I79" s="67"/>
      <c r="N79" s="17">
        <v>16</v>
      </c>
    </row>
    <row r="80" spans="9:14" ht="13.5" customHeight="1" x14ac:dyDescent="0.2">
      <c r="I80" s="67"/>
      <c r="N80" s="17">
        <v>17</v>
      </c>
    </row>
    <row r="81" spans="6:14" ht="13.5" customHeight="1" x14ac:dyDescent="0.2">
      <c r="I81" s="67"/>
      <c r="N81" s="17" t="s">
        <v>9</v>
      </c>
    </row>
    <row r="82" spans="6:14" ht="13.5" customHeight="1" x14ac:dyDescent="0.2">
      <c r="I82" s="67"/>
      <c r="N82" s="17" t="s">
        <v>10</v>
      </c>
    </row>
    <row r="83" spans="6:14" ht="13.5" customHeight="1" x14ac:dyDescent="0.2">
      <c r="I83" s="67"/>
      <c r="N83" s="17" t="s">
        <v>11</v>
      </c>
    </row>
    <row r="84" spans="6:14" ht="13.5" customHeight="1" x14ac:dyDescent="0.2">
      <c r="I84" s="67"/>
      <c r="N84" s="17" t="s">
        <v>12</v>
      </c>
    </row>
    <row r="85" spans="6:14" ht="13.5" customHeight="1" x14ac:dyDescent="0.2">
      <c r="I85" s="67"/>
    </row>
    <row r="86" spans="6:14" ht="13.5" customHeight="1" x14ac:dyDescent="0.2">
      <c r="I86" s="67"/>
    </row>
    <row r="87" spans="6:14" ht="13.5" customHeight="1" x14ac:dyDescent="0.2">
      <c r="I87" s="67"/>
    </row>
    <row r="88" spans="6:14" ht="13.5" customHeight="1" x14ac:dyDescent="0.2">
      <c r="F88" s="69"/>
      <c r="G88" s="70"/>
      <c r="I88" s="67"/>
    </row>
    <row r="89" spans="6:14" ht="13.5" customHeight="1" x14ac:dyDescent="0.2">
      <c r="F89" s="69"/>
      <c r="G89" s="70"/>
      <c r="I89" s="67"/>
    </row>
    <row r="90" spans="6:14" ht="13.5" customHeight="1" x14ac:dyDescent="0.2">
      <c r="F90" s="69"/>
      <c r="G90" s="70"/>
      <c r="I90" s="67"/>
    </row>
    <row r="91" spans="6:14" ht="13.5" customHeight="1" x14ac:dyDescent="0.2">
      <c r="F91" s="69"/>
      <c r="G91" s="70"/>
      <c r="I91" s="67"/>
    </row>
    <row r="92" spans="6:14" ht="12.75" x14ac:dyDescent="0.2">
      <c r="F92" s="71"/>
      <c r="G92" s="67"/>
      <c r="I92" s="67"/>
    </row>
    <row r="93" spans="6:14" ht="12.75" x14ac:dyDescent="0.2">
      <c r="F93" s="69"/>
      <c r="G93" s="67"/>
      <c r="I93" s="67"/>
    </row>
    <row r="94" spans="6:14" ht="12.75" x14ac:dyDescent="0.2">
      <c r="F94" s="72"/>
      <c r="I94" s="67"/>
    </row>
    <row r="95" spans="6:14" ht="12.75" x14ac:dyDescent="0.2">
      <c r="I95" s="67"/>
    </row>
    <row r="96" spans="6:14" ht="12.75" x14ac:dyDescent="0.2">
      <c r="I96" s="67"/>
    </row>
  </sheetData>
  <sheetProtection algorithmName="SHA-512" hashValue="wJIv1ROUvaXxtjbkImybTjBHSim+M6tPjd6moTYnuZnvcNHHKast5d/RAHvv7P4JcmktoKWTMAv2CZyMdIn0aQ==" saltValue="UId3Wv0XyZcVyhnlXaopxQ=="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7109375" style="73" customWidth="1"/>
    <col min="6" max="6" width="14.7109375" style="74" customWidth="1"/>
    <col min="7" max="7" width="2.7109375" style="74" customWidth="1"/>
    <col min="8" max="8" width="16.5703125" style="73" bestFit="1" customWidth="1"/>
    <col min="9" max="9" width="8.7109375" style="73" customWidth="1"/>
    <col min="10" max="12" width="2.7109375" style="73" customWidth="1"/>
    <col min="13" max="15" width="10.7109375" style="73" customWidth="1"/>
    <col min="16" max="16" width="6.140625" style="73" customWidth="1"/>
    <col min="17" max="17" width="8.140625" style="73" customWidth="1"/>
    <col min="18" max="18" width="2.42578125" style="73" customWidth="1"/>
    <col min="19" max="19" width="6.7109375" style="73" customWidth="1"/>
    <col min="20" max="20" width="10.7109375" style="73" customWidth="1"/>
    <col min="21" max="21" width="2.7109375" style="73" customWidth="1"/>
    <col min="22" max="22" width="10.7109375" style="73" customWidth="1"/>
    <col min="23" max="23" width="11.7109375" style="73" bestFit="1" customWidth="1"/>
    <col min="24" max="24" width="2.140625" style="73" customWidth="1"/>
    <col min="25" max="25" width="11.85546875" style="73" bestFit="1" customWidth="1"/>
    <col min="26" max="26" width="1.85546875" style="73" customWidth="1"/>
    <col min="27" max="27" width="4" style="73" bestFit="1" customWidth="1"/>
    <col min="28" max="29" width="10.7109375" style="73" customWidth="1"/>
    <col min="30" max="16384" width="9.7109375" style="73"/>
  </cols>
  <sheetData>
    <row r="1" spans="2:29" ht="12.75" customHeight="1" thickBot="1" x14ac:dyDescent="0.25"/>
    <row r="2" spans="2:29" ht="12.75" customHeight="1" x14ac:dyDescent="0.2">
      <c r="B2" s="19"/>
      <c r="C2" s="20"/>
      <c r="D2" s="20"/>
      <c r="E2" s="20"/>
      <c r="F2" s="22"/>
      <c r="G2" s="22"/>
      <c r="H2" s="20"/>
      <c r="I2" s="20"/>
      <c r="J2" s="20"/>
      <c r="K2" s="23"/>
    </row>
    <row r="3" spans="2:29" ht="12.75" customHeight="1" x14ac:dyDescent="0.2">
      <c r="B3" s="24"/>
      <c r="C3" s="25"/>
      <c r="D3" s="25"/>
      <c r="E3" s="25"/>
      <c r="F3" s="27"/>
      <c r="G3" s="27"/>
      <c r="H3" s="25"/>
      <c r="I3" s="25"/>
      <c r="J3" s="25"/>
      <c r="K3" s="28"/>
    </row>
    <row r="4" spans="2:29" ht="18" customHeight="1" x14ac:dyDescent="0.25">
      <c r="B4" s="24"/>
      <c r="C4" s="30" t="s">
        <v>191</v>
      </c>
      <c r="D4" s="25"/>
      <c r="E4" s="25"/>
      <c r="F4" s="62"/>
      <c r="G4" s="62"/>
      <c r="H4" s="63"/>
      <c r="I4" s="25"/>
      <c r="J4" s="25"/>
      <c r="K4" s="28"/>
    </row>
    <row r="5" spans="2:29" s="79" customFormat="1" ht="12.75" customHeight="1" x14ac:dyDescent="0.2">
      <c r="B5" s="75"/>
      <c r="C5" s="76" t="s">
        <v>253</v>
      </c>
      <c r="D5" s="76"/>
      <c r="E5" s="76"/>
      <c r="F5" s="77"/>
      <c r="G5" s="77"/>
      <c r="H5" s="76"/>
      <c r="I5" s="76"/>
      <c r="J5" s="76"/>
      <c r="K5" s="78"/>
    </row>
    <row r="6" spans="2:29" ht="12.75" customHeight="1" x14ac:dyDescent="0.2">
      <c r="B6" s="24"/>
      <c r="C6" s="76"/>
      <c r="D6" s="61"/>
      <c r="E6" s="25"/>
      <c r="F6" s="27"/>
      <c r="G6" s="27"/>
      <c r="H6" s="25"/>
      <c r="I6" s="25"/>
      <c r="J6" s="25"/>
      <c r="K6" s="28"/>
    </row>
    <row r="7" spans="2:29" ht="12.75" customHeight="1" x14ac:dyDescent="0.2">
      <c r="B7" s="24"/>
      <c r="C7" s="148"/>
      <c r="D7" s="152"/>
      <c r="E7" s="148"/>
      <c r="F7" s="151"/>
      <c r="G7" s="151"/>
      <c r="H7" s="148"/>
      <c r="I7" s="148"/>
      <c r="J7" s="148"/>
      <c r="K7" s="28"/>
    </row>
    <row r="8" spans="2:29" ht="12.75" customHeight="1" x14ac:dyDescent="0.2">
      <c r="B8" s="24"/>
      <c r="C8" s="148"/>
      <c r="D8" s="148" t="s">
        <v>156</v>
      </c>
      <c r="E8" s="148"/>
      <c r="F8" s="548" t="s">
        <v>44</v>
      </c>
      <c r="G8" s="549"/>
      <c r="H8" s="545"/>
      <c r="I8" s="148"/>
      <c r="J8" s="148"/>
      <c r="K8" s="28"/>
    </row>
    <row r="9" spans="2:29" ht="12.75" customHeight="1" x14ac:dyDescent="0.25">
      <c r="B9" s="24"/>
      <c r="C9" s="148"/>
      <c r="D9" s="262" t="s">
        <v>192</v>
      </c>
      <c r="E9" s="262"/>
      <c r="F9" s="80" t="s">
        <v>31</v>
      </c>
      <c r="G9" s="270"/>
      <c r="H9" s="263"/>
      <c r="I9" s="148"/>
      <c r="J9" s="148"/>
      <c r="K9" s="28"/>
    </row>
    <row r="10" spans="2:29" ht="12.75" customHeight="1" x14ac:dyDescent="0.2">
      <c r="B10" s="24"/>
      <c r="C10" s="148"/>
      <c r="D10" s="152"/>
      <c r="E10" s="148"/>
      <c r="F10" s="151"/>
      <c r="G10" s="151"/>
      <c r="H10" s="199"/>
      <c r="I10" s="148"/>
      <c r="J10" s="148"/>
      <c r="K10" s="28"/>
    </row>
    <row r="11" spans="2:29" ht="12.75" customHeight="1" x14ac:dyDescent="0.2">
      <c r="B11" s="24"/>
      <c r="C11" s="25"/>
      <c r="D11" s="61"/>
      <c r="E11" s="25"/>
      <c r="F11" s="27"/>
      <c r="G11" s="27"/>
      <c r="H11" s="81"/>
      <c r="I11" s="25"/>
      <c r="J11" s="25"/>
      <c r="K11" s="28"/>
    </row>
    <row r="12" spans="2:29" ht="12.75" customHeight="1" x14ac:dyDescent="0.2">
      <c r="B12" s="24"/>
      <c r="C12" s="148"/>
      <c r="D12" s="152"/>
      <c r="E12" s="148"/>
      <c r="F12" s="151"/>
      <c r="G12" s="151"/>
      <c r="H12" s="199"/>
      <c r="I12" s="148"/>
      <c r="J12" s="148"/>
      <c r="K12" s="28"/>
      <c r="P12" s="82" t="s">
        <v>193</v>
      </c>
      <c r="Q12" s="83"/>
      <c r="R12" s="83"/>
      <c r="S12" s="83"/>
      <c r="T12" s="83"/>
      <c r="U12" s="83"/>
      <c r="V12" s="83"/>
      <c r="W12" s="83"/>
      <c r="X12" s="83"/>
      <c r="Y12" s="83"/>
      <c r="Z12" s="83"/>
      <c r="AA12" s="83"/>
      <c r="AB12" s="83"/>
      <c r="AC12" s="84"/>
    </row>
    <row r="13" spans="2:29" ht="12.75" customHeight="1" x14ac:dyDescent="0.2">
      <c r="B13" s="24"/>
      <c r="C13" s="148"/>
      <c r="D13" s="152" t="s">
        <v>194</v>
      </c>
      <c r="E13" s="148"/>
      <c r="F13" s="151"/>
      <c r="G13" s="151"/>
      <c r="H13" s="148"/>
      <c r="I13" s="148"/>
      <c r="J13" s="148"/>
      <c r="K13" s="28"/>
      <c r="P13" s="83"/>
      <c r="Q13" s="83"/>
      <c r="R13" s="83"/>
      <c r="S13" s="83"/>
      <c r="T13" s="83"/>
      <c r="U13" s="83"/>
      <c r="V13" s="83"/>
      <c r="W13" s="83"/>
      <c r="X13" s="83"/>
      <c r="Y13" s="83"/>
      <c r="Z13" s="83"/>
      <c r="AA13" s="83"/>
      <c r="AB13" s="83"/>
      <c r="AC13" s="83"/>
    </row>
    <row r="14" spans="2:29" ht="12.75" customHeight="1" x14ac:dyDescent="0.2">
      <c r="B14" s="24"/>
      <c r="C14" s="148"/>
      <c r="D14" s="152"/>
      <c r="E14" s="148"/>
      <c r="F14" s="151"/>
      <c r="G14" s="151"/>
      <c r="H14" s="148"/>
      <c r="I14" s="148"/>
      <c r="J14" s="148"/>
      <c r="K14" s="28"/>
      <c r="P14" s="83" t="s">
        <v>195</v>
      </c>
      <c r="Q14" s="83"/>
      <c r="R14" s="83"/>
      <c r="S14" s="83" t="s">
        <v>196</v>
      </c>
      <c r="T14" s="83"/>
      <c r="U14" s="83"/>
      <c r="V14" s="83"/>
      <c r="W14" s="83"/>
      <c r="X14" s="83"/>
      <c r="Y14" s="83" t="s">
        <v>197</v>
      </c>
      <c r="Z14" s="83"/>
      <c r="AA14" s="83"/>
      <c r="AB14" s="83"/>
      <c r="AC14" s="84"/>
    </row>
    <row r="15" spans="2:29" ht="12.75" customHeight="1" x14ac:dyDescent="0.2">
      <c r="B15" s="24"/>
      <c r="C15" s="148"/>
      <c r="D15" s="148" t="s">
        <v>47</v>
      </c>
      <c r="E15" s="148"/>
      <c r="F15" s="259">
        <v>7</v>
      </c>
      <c r="G15" s="265"/>
      <c r="H15" s="148"/>
      <c r="I15" s="148"/>
      <c r="J15" s="148"/>
      <c r="K15" s="28"/>
      <c r="P15" s="83">
        <f t="shared" ref="P15:P60" si="0">+$F$29</f>
        <v>8</v>
      </c>
      <c r="Q15" s="83">
        <f>+$F$30+AA15</f>
        <v>8</v>
      </c>
      <c r="R15" s="83"/>
      <c r="S15" s="83">
        <f t="shared" ref="S15:S60" si="1">+$F$15</f>
        <v>7</v>
      </c>
      <c r="T15" s="83">
        <f>+$F$16+AA15</f>
        <v>12</v>
      </c>
      <c r="U15" s="83"/>
      <c r="V15" s="85">
        <f t="shared" ref="V15:V60" si="2">IF(AA15+1&gt;$F$44,0,IF(Q15&gt;$I$30,VLOOKUP($P15,saltab2019jan,$I$30+1,FALSE),VLOOKUP($P15,saltab2019jan,Q15+1,FALSE))*12*(1+F$42))</f>
        <v>55651.200000000004</v>
      </c>
      <c r="W15" s="85">
        <f t="shared" ref="W15:W60" si="3">IF(AA15+1&gt;$F$44,0,IF(T15&gt;$I$16,VLOOKUP($S15,saltab2019jan,$I$16+1,FALSE),VLOOKUP($S15,saltab2019jan,T15+1,FALSE))*12*(1+F$42))</f>
        <v>54367.8</v>
      </c>
      <c r="X15" s="83"/>
      <c r="Y15" s="85">
        <f t="shared" ref="Y15:Y60" si="4">+V15-W15</f>
        <v>1283.4000000000015</v>
      </c>
      <c r="Z15" s="83"/>
      <c r="AA15" s="83">
        <v>0</v>
      </c>
      <c r="AB15" s="83"/>
      <c r="AC15" s="84" t="s">
        <v>5</v>
      </c>
    </row>
    <row r="16" spans="2:29" ht="12.75" customHeight="1" x14ac:dyDescent="0.2">
      <c r="B16" s="24"/>
      <c r="C16" s="148"/>
      <c r="D16" s="148" t="s">
        <v>48</v>
      </c>
      <c r="E16" s="148"/>
      <c r="F16" s="206">
        <v>12</v>
      </c>
      <c r="G16" s="151"/>
      <c r="H16" s="243" t="s">
        <v>198</v>
      </c>
      <c r="I16" s="242">
        <f>VLOOKUP(F$15,saltab2019jan,18,FALSE)</f>
        <v>12</v>
      </c>
      <c r="J16" s="148"/>
      <c r="K16" s="28"/>
      <c r="P16" s="83">
        <f t="shared" si="0"/>
        <v>8</v>
      </c>
      <c r="Q16" s="83">
        <f t="shared" ref="Q16:Q60" si="5">+$F$30+AA16</f>
        <v>9</v>
      </c>
      <c r="R16" s="83"/>
      <c r="S16" s="83">
        <f t="shared" si="1"/>
        <v>7</v>
      </c>
      <c r="T16" s="83">
        <f t="shared" ref="T16:T60" si="6">+$F$16+AA16</f>
        <v>13</v>
      </c>
      <c r="U16" s="83"/>
      <c r="V16" s="85">
        <f t="shared" si="2"/>
        <v>56785.8</v>
      </c>
      <c r="W16" s="85">
        <f t="shared" si="3"/>
        <v>54367.8</v>
      </c>
      <c r="X16" s="83"/>
      <c r="Y16" s="85">
        <f t="shared" si="4"/>
        <v>2418</v>
      </c>
      <c r="Z16" s="83"/>
      <c r="AA16" s="83">
        <v>1</v>
      </c>
      <c r="AB16" s="86"/>
      <c r="AC16" s="84" t="s">
        <v>6</v>
      </c>
    </row>
    <row r="17" spans="2:29" ht="12.75" customHeight="1" x14ac:dyDescent="0.2">
      <c r="B17" s="24"/>
      <c r="C17" s="148"/>
      <c r="D17" s="148" t="s">
        <v>51</v>
      </c>
      <c r="E17" s="148"/>
      <c r="F17" s="212">
        <f>VLOOKUP(F15,saltab2019jan,IF(F16&gt;15,16,F16+1),FALSE)</f>
        <v>2923</v>
      </c>
      <c r="G17" s="239"/>
      <c r="H17" s="264"/>
      <c r="I17" s="178"/>
      <c r="J17" s="148"/>
      <c r="K17" s="28"/>
      <c r="P17" s="83">
        <f t="shared" si="0"/>
        <v>8</v>
      </c>
      <c r="Q17" s="83">
        <f t="shared" si="5"/>
        <v>10</v>
      </c>
      <c r="R17" s="83"/>
      <c r="S17" s="83">
        <f t="shared" si="1"/>
        <v>7</v>
      </c>
      <c r="T17" s="83">
        <f t="shared" si="6"/>
        <v>14</v>
      </c>
      <c r="U17" s="83"/>
      <c r="V17" s="85">
        <f t="shared" si="2"/>
        <v>58013.4</v>
      </c>
      <c r="W17" s="85">
        <f t="shared" si="3"/>
        <v>54367.8</v>
      </c>
      <c r="X17" s="83"/>
      <c r="Y17" s="85">
        <f t="shared" si="4"/>
        <v>3645.5999999999985</v>
      </c>
      <c r="Z17" s="83"/>
      <c r="AA17" s="83">
        <v>2</v>
      </c>
      <c r="AB17" s="83"/>
      <c r="AC17" s="84" t="s">
        <v>7</v>
      </c>
    </row>
    <row r="18" spans="2:29" ht="12.75" customHeight="1" x14ac:dyDescent="0.2">
      <c r="B18" s="24"/>
      <c r="C18" s="148"/>
      <c r="D18" s="148" t="s">
        <v>199</v>
      </c>
      <c r="E18" s="148"/>
      <c r="F18" s="212">
        <f>IF(F16=I16,VLOOKUP(F9,bindingstoelage,3,FALSE),0)+IF(F9="leraar",1,0)*IF(F16=I16,IF(F15="LB",tabellen!D22,IF(F15="LC",tabellen!D23,IF(F15="LD",tabellen!D24,0))),0)</f>
        <v>20.65</v>
      </c>
      <c r="G18" s="239"/>
      <c r="H18" s="264"/>
      <c r="I18" s="178"/>
      <c r="J18" s="148"/>
      <c r="K18" s="28"/>
      <c r="P18" s="83">
        <f t="shared" si="0"/>
        <v>8</v>
      </c>
      <c r="Q18" s="83">
        <f t="shared" si="5"/>
        <v>11</v>
      </c>
      <c r="R18" s="83"/>
      <c r="S18" s="83">
        <f t="shared" si="1"/>
        <v>7</v>
      </c>
      <c r="T18" s="83">
        <f t="shared" si="6"/>
        <v>15</v>
      </c>
      <c r="U18" s="83"/>
      <c r="V18" s="85">
        <f t="shared" si="2"/>
        <v>59222.400000000001</v>
      </c>
      <c r="W18" s="85">
        <f t="shared" si="3"/>
        <v>54367.8</v>
      </c>
      <c r="X18" s="83"/>
      <c r="Y18" s="85">
        <f t="shared" si="4"/>
        <v>4854.5999999999985</v>
      </c>
      <c r="Z18" s="83"/>
      <c r="AA18" s="83">
        <v>3</v>
      </c>
      <c r="AB18" s="83"/>
      <c r="AC18" s="84" t="s">
        <v>8</v>
      </c>
    </row>
    <row r="19" spans="2:29" ht="12.75" customHeight="1" x14ac:dyDescent="0.2">
      <c r="B19" s="24"/>
      <c r="C19" s="148"/>
      <c r="D19" s="152" t="s">
        <v>52</v>
      </c>
      <c r="E19" s="148"/>
      <c r="F19" s="255">
        <v>1</v>
      </c>
      <c r="G19" s="244"/>
      <c r="H19" s="264"/>
      <c r="I19" s="178"/>
      <c r="J19" s="148"/>
      <c r="K19" s="28"/>
      <c r="P19" s="83">
        <f t="shared" si="0"/>
        <v>8</v>
      </c>
      <c r="Q19" s="83">
        <f t="shared" si="5"/>
        <v>12</v>
      </c>
      <c r="R19" s="83"/>
      <c r="S19" s="83">
        <f t="shared" si="1"/>
        <v>7</v>
      </c>
      <c r="T19" s="83">
        <f t="shared" si="6"/>
        <v>16</v>
      </c>
      <c r="U19" s="83"/>
      <c r="V19" s="85">
        <f t="shared" si="2"/>
        <v>60357</v>
      </c>
      <c r="W19" s="85">
        <f t="shared" si="3"/>
        <v>54367.8</v>
      </c>
      <c r="X19" s="83"/>
      <c r="Y19" s="85">
        <f t="shared" si="4"/>
        <v>5989.1999999999971</v>
      </c>
      <c r="Z19" s="83"/>
      <c r="AA19" s="83">
        <v>4</v>
      </c>
      <c r="AB19" s="83"/>
      <c r="AC19" s="84">
        <v>1</v>
      </c>
    </row>
    <row r="20" spans="2:29" ht="12.75" customHeight="1" x14ac:dyDescent="0.2">
      <c r="B20" s="24"/>
      <c r="C20" s="148"/>
      <c r="D20" s="148" t="s">
        <v>53</v>
      </c>
      <c r="E20" s="148"/>
      <c r="F20" s="258">
        <f>ROUND(+(F17+F18)*F19,2)</f>
        <v>2943.65</v>
      </c>
      <c r="G20" s="239"/>
      <c r="H20" s="264"/>
      <c r="I20" s="178"/>
      <c r="J20" s="148"/>
      <c r="K20" s="28"/>
      <c r="P20" s="83">
        <f t="shared" si="0"/>
        <v>8</v>
      </c>
      <c r="Q20" s="83">
        <f t="shared" si="5"/>
        <v>13</v>
      </c>
      <c r="R20" s="83"/>
      <c r="S20" s="83">
        <f t="shared" si="1"/>
        <v>7</v>
      </c>
      <c r="T20" s="83">
        <f t="shared" si="6"/>
        <v>17</v>
      </c>
      <c r="U20" s="83"/>
      <c r="V20" s="85">
        <f t="shared" si="2"/>
        <v>61435.8</v>
      </c>
      <c r="W20" s="85">
        <f t="shared" si="3"/>
        <v>54367.8</v>
      </c>
      <c r="X20" s="83"/>
      <c r="Y20" s="85">
        <f t="shared" si="4"/>
        <v>7068</v>
      </c>
      <c r="Z20" s="83"/>
      <c r="AA20" s="83">
        <v>5</v>
      </c>
      <c r="AB20" s="83"/>
      <c r="AC20" s="84">
        <v>2</v>
      </c>
    </row>
    <row r="21" spans="2:29" ht="12.75" customHeight="1" x14ac:dyDescent="0.2">
      <c r="B21" s="24"/>
      <c r="C21" s="148"/>
      <c r="D21" s="148"/>
      <c r="E21" s="148"/>
      <c r="F21" s="239"/>
      <c r="G21" s="239"/>
      <c r="H21" s="264"/>
      <c r="I21" s="178"/>
      <c r="J21" s="148"/>
      <c r="K21" s="28"/>
      <c r="P21" s="83">
        <f t="shared" si="0"/>
        <v>8</v>
      </c>
      <c r="Q21" s="83">
        <f t="shared" si="5"/>
        <v>14</v>
      </c>
      <c r="R21" s="83"/>
      <c r="S21" s="83">
        <f t="shared" si="1"/>
        <v>7</v>
      </c>
      <c r="T21" s="83">
        <f t="shared" si="6"/>
        <v>18</v>
      </c>
      <c r="U21" s="83"/>
      <c r="V21" s="85">
        <f t="shared" si="2"/>
        <v>61435.8</v>
      </c>
      <c r="W21" s="85">
        <f t="shared" si="3"/>
        <v>54367.8</v>
      </c>
      <c r="X21" s="83"/>
      <c r="Y21" s="85">
        <f t="shared" si="4"/>
        <v>7068</v>
      </c>
      <c r="Z21" s="83"/>
      <c r="AA21" s="83">
        <v>6</v>
      </c>
      <c r="AB21" s="83"/>
      <c r="AC21" s="84">
        <v>3</v>
      </c>
    </row>
    <row r="22" spans="2:29" ht="12.75" customHeight="1" x14ac:dyDescent="0.2">
      <c r="B22" s="24"/>
      <c r="C22" s="148"/>
      <c r="D22" s="152" t="s">
        <v>254</v>
      </c>
      <c r="E22" s="148"/>
      <c r="F22" s="225">
        <v>49</v>
      </c>
      <c r="G22" s="151"/>
      <c r="H22" s="264"/>
      <c r="I22" s="178"/>
      <c r="J22" s="148"/>
      <c r="K22" s="28"/>
      <c r="P22" s="83">
        <f t="shared" si="0"/>
        <v>8</v>
      </c>
      <c r="Q22" s="83">
        <f t="shared" si="5"/>
        <v>15</v>
      </c>
      <c r="R22" s="83"/>
      <c r="S22" s="83">
        <f t="shared" si="1"/>
        <v>7</v>
      </c>
      <c r="T22" s="83">
        <f t="shared" si="6"/>
        <v>19</v>
      </c>
      <c r="U22" s="83"/>
      <c r="V22" s="85">
        <f t="shared" si="2"/>
        <v>61435.8</v>
      </c>
      <c r="W22" s="85">
        <f t="shared" si="3"/>
        <v>54367.8</v>
      </c>
      <c r="X22" s="83"/>
      <c r="Y22" s="85">
        <f t="shared" si="4"/>
        <v>7068</v>
      </c>
      <c r="Z22" s="83"/>
      <c r="AA22" s="83">
        <v>7</v>
      </c>
      <c r="AB22" s="83"/>
      <c r="AC22" s="84">
        <v>4</v>
      </c>
    </row>
    <row r="23" spans="2:29" ht="12.75" customHeight="1" x14ac:dyDescent="0.2">
      <c r="B23" s="24"/>
      <c r="C23" s="148"/>
      <c r="D23" s="148" t="s">
        <v>200</v>
      </c>
      <c r="E23" s="148"/>
      <c r="F23" s="218">
        <v>66</v>
      </c>
      <c r="G23" s="151"/>
      <c r="H23" s="264"/>
      <c r="I23" s="178"/>
      <c r="J23" s="148"/>
      <c r="K23" s="28"/>
      <c r="P23" s="83">
        <f t="shared" si="0"/>
        <v>8</v>
      </c>
      <c r="Q23" s="83">
        <f t="shared" si="5"/>
        <v>16</v>
      </c>
      <c r="R23" s="83"/>
      <c r="S23" s="83">
        <f t="shared" si="1"/>
        <v>7</v>
      </c>
      <c r="T23" s="83">
        <f t="shared" si="6"/>
        <v>20</v>
      </c>
      <c r="U23" s="83"/>
      <c r="V23" s="85">
        <f t="shared" si="2"/>
        <v>61435.8</v>
      </c>
      <c r="W23" s="85">
        <f t="shared" si="3"/>
        <v>54367.8</v>
      </c>
      <c r="X23" s="83"/>
      <c r="Y23" s="85">
        <f t="shared" si="4"/>
        <v>7068</v>
      </c>
      <c r="Z23" s="83"/>
      <c r="AA23" s="83">
        <v>8</v>
      </c>
      <c r="AB23" s="83"/>
      <c r="AC23" s="84">
        <v>5</v>
      </c>
    </row>
    <row r="24" spans="2:29" ht="12.75" customHeight="1" x14ac:dyDescent="0.2">
      <c r="B24" s="24"/>
      <c r="C24" s="148"/>
      <c r="D24" s="148"/>
      <c r="E24" s="148"/>
      <c r="F24" s="151"/>
      <c r="G24" s="151"/>
      <c r="H24" s="264"/>
      <c r="I24" s="178"/>
      <c r="J24" s="148"/>
      <c r="K24" s="28"/>
      <c r="P24" s="83">
        <f t="shared" si="0"/>
        <v>8</v>
      </c>
      <c r="Q24" s="83">
        <f t="shared" si="5"/>
        <v>17</v>
      </c>
      <c r="R24" s="83"/>
      <c r="S24" s="83">
        <f t="shared" si="1"/>
        <v>7</v>
      </c>
      <c r="T24" s="83">
        <f t="shared" si="6"/>
        <v>21</v>
      </c>
      <c r="U24" s="83"/>
      <c r="V24" s="85">
        <f t="shared" si="2"/>
        <v>61435.8</v>
      </c>
      <c r="W24" s="85">
        <f t="shared" si="3"/>
        <v>54367.8</v>
      </c>
      <c r="X24" s="83"/>
      <c r="Y24" s="85">
        <f t="shared" si="4"/>
        <v>7068</v>
      </c>
      <c r="Z24" s="83"/>
      <c r="AA24" s="83">
        <v>9</v>
      </c>
      <c r="AB24" s="83"/>
      <c r="AC24" s="84">
        <v>6</v>
      </c>
    </row>
    <row r="25" spans="2:29" ht="12.75" customHeight="1" x14ac:dyDescent="0.2">
      <c r="B25" s="24"/>
      <c r="C25" s="25"/>
      <c r="D25" s="25"/>
      <c r="E25" s="25"/>
      <c r="F25" s="27"/>
      <c r="G25" s="27"/>
      <c r="H25" s="87"/>
      <c r="I25" s="77"/>
      <c r="J25" s="25"/>
      <c r="K25" s="28"/>
      <c r="P25" s="83">
        <f t="shared" si="0"/>
        <v>8</v>
      </c>
      <c r="Q25" s="83">
        <f t="shared" si="5"/>
        <v>18</v>
      </c>
      <c r="R25" s="83"/>
      <c r="S25" s="83">
        <f t="shared" si="1"/>
        <v>7</v>
      </c>
      <c r="T25" s="83">
        <f t="shared" si="6"/>
        <v>22</v>
      </c>
      <c r="U25" s="83"/>
      <c r="V25" s="85">
        <f t="shared" si="2"/>
        <v>61435.8</v>
      </c>
      <c r="W25" s="85">
        <f t="shared" si="3"/>
        <v>54367.8</v>
      </c>
      <c r="X25" s="83"/>
      <c r="Y25" s="85">
        <f t="shared" si="4"/>
        <v>7068</v>
      </c>
      <c r="Z25" s="83"/>
      <c r="AA25" s="83">
        <v>10</v>
      </c>
      <c r="AB25" s="83"/>
      <c r="AC25" s="84">
        <v>7</v>
      </c>
    </row>
    <row r="26" spans="2:29" ht="12.75" customHeight="1" x14ac:dyDescent="0.2">
      <c r="B26" s="24"/>
      <c r="C26" s="148"/>
      <c r="D26" s="148"/>
      <c r="E26" s="148"/>
      <c r="F26" s="151"/>
      <c r="G26" s="151"/>
      <c r="H26" s="264"/>
      <c r="I26" s="178"/>
      <c r="J26" s="148"/>
      <c r="K26" s="28"/>
      <c r="P26" s="83">
        <f t="shared" si="0"/>
        <v>8</v>
      </c>
      <c r="Q26" s="83">
        <f t="shared" si="5"/>
        <v>19</v>
      </c>
      <c r="R26" s="83"/>
      <c r="S26" s="83">
        <f t="shared" si="1"/>
        <v>7</v>
      </c>
      <c r="T26" s="83">
        <f t="shared" si="6"/>
        <v>23</v>
      </c>
      <c r="U26" s="83"/>
      <c r="V26" s="85">
        <f t="shared" si="2"/>
        <v>61435.8</v>
      </c>
      <c r="W26" s="85">
        <f t="shared" si="3"/>
        <v>54367.8</v>
      </c>
      <c r="X26" s="83"/>
      <c r="Y26" s="85">
        <f t="shared" si="4"/>
        <v>7068</v>
      </c>
      <c r="Z26" s="83"/>
      <c r="AA26" s="83">
        <v>11</v>
      </c>
      <c r="AB26" s="83"/>
      <c r="AC26" s="84">
        <v>8</v>
      </c>
    </row>
    <row r="27" spans="2:29" ht="12.75" customHeight="1" x14ac:dyDescent="0.2">
      <c r="B27" s="24"/>
      <c r="C27" s="148"/>
      <c r="D27" s="152" t="s">
        <v>201</v>
      </c>
      <c r="E27" s="148"/>
      <c r="F27" s="151"/>
      <c r="G27" s="151"/>
      <c r="H27" s="264"/>
      <c r="I27" s="178"/>
      <c r="J27" s="148"/>
      <c r="K27" s="28"/>
      <c r="P27" s="83">
        <f t="shared" si="0"/>
        <v>8</v>
      </c>
      <c r="Q27" s="83">
        <f t="shared" si="5"/>
        <v>20</v>
      </c>
      <c r="R27" s="83"/>
      <c r="S27" s="83">
        <f t="shared" si="1"/>
        <v>7</v>
      </c>
      <c r="T27" s="83">
        <f t="shared" si="6"/>
        <v>24</v>
      </c>
      <c r="U27" s="83"/>
      <c r="V27" s="85">
        <f t="shared" si="2"/>
        <v>61435.8</v>
      </c>
      <c r="W27" s="85">
        <f t="shared" si="3"/>
        <v>54367.8</v>
      </c>
      <c r="X27" s="83"/>
      <c r="Y27" s="85">
        <f t="shared" si="4"/>
        <v>7068</v>
      </c>
      <c r="Z27" s="83"/>
      <c r="AA27" s="83">
        <v>12</v>
      </c>
      <c r="AB27" s="83"/>
      <c r="AC27" s="84">
        <v>9</v>
      </c>
    </row>
    <row r="28" spans="2:29" ht="12.75" customHeight="1" x14ac:dyDescent="0.2">
      <c r="B28" s="24"/>
      <c r="C28" s="148"/>
      <c r="D28" s="152"/>
      <c r="E28" s="148"/>
      <c r="F28" s="151"/>
      <c r="G28" s="151"/>
      <c r="H28" s="264"/>
      <c r="I28" s="178"/>
      <c r="J28" s="148"/>
      <c r="K28" s="28"/>
      <c r="P28" s="83">
        <f t="shared" si="0"/>
        <v>8</v>
      </c>
      <c r="Q28" s="83">
        <f t="shared" si="5"/>
        <v>21</v>
      </c>
      <c r="R28" s="83"/>
      <c r="S28" s="83">
        <f t="shared" si="1"/>
        <v>7</v>
      </c>
      <c r="T28" s="83">
        <f t="shared" si="6"/>
        <v>25</v>
      </c>
      <c r="U28" s="83"/>
      <c r="V28" s="85">
        <f t="shared" si="2"/>
        <v>61435.8</v>
      </c>
      <c r="W28" s="85">
        <f t="shared" si="3"/>
        <v>54367.8</v>
      </c>
      <c r="X28" s="83"/>
      <c r="Y28" s="85">
        <f t="shared" si="4"/>
        <v>7068</v>
      </c>
      <c r="Z28" s="83"/>
      <c r="AA28" s="83">
        <v>13</v>
      </c>
      <c r="AB28" s="83"/>
      <c r="AC28" s="84">
        <v>10</v>
      </c>
    </row>
    <row r="29" spans="2:29" ht="12.75" customHeight="1" x14ac:dyDescent="0.2">
      <c r="B29" s="24"/>
      <c r="C29" s="148"/>
      <c r="D29" s="148" t="s">
        <v>47</v>
      </c>
      <c r="E29" s="148"/>
      <c r="F29" s="259">
        <v>8</v>
      </c>
      <c r="G29" s="265"/>
      <c r="H29" s="264"/>
      <c r="I29" s="178"/>
      <c r="J29" s="148"/>
      <c r="K29" s="28"/>
      <c r="P29" s="83">
        <f t="shared" si="0"/>
        <v>8</v>
      </c>
      <c r="Q29" s="83">
        <f t="shared" si="5"/>
        <v>22</v>
      </c>
      <c r="R29" s="83"/>
      <c r="S29" s="83">
        <f t="shared" si="1"/>
        <v>7</v>
      </c>
      <c r="T29" s="83">
        <f t="shared" si="6"/>
        <v>26</v>
      </c>
      <c r="U29" s="83"/>
      <c r="V29" s="85">
        <f t="shared" si="2"/>
        <v>61435.8</v>
      </c>
      <c r="W29" s="85">
        <f t="shared" si="3"/>
        <v>54367.8</v>
      </c>
      <c r="X29" s="83"/>
      <c r="Y29" s="85">
        <f t="shared" si="4"/>
        <v>7068</v>
      </c>
      <c r="Z29" s="83"/>
      <c r="AA29" s="83">
        <v>14</v>
      </c>
      <c r="AB29" s="83"/>
      <c r="AC29" s="84">
        <v>11</v>
      </c>
    </row>
    <row r="30" spans="2:29" ht="12.75" customHeight="1" x14ac:dyDescent="0.2">
      <c r="B30" s="24"/>
      <c r="C30" s="148"/>
      <c r="D30" s="148" t="s">
        <v>48</v>
      </c>
      <c r="E30" s="148"/>
      <c r="F30" s="206">
        <v>8</v>
      </c>
      <c r="G30" s="151"/>
      <c r="H30" s="243" t="s">
        <v>198</v>
      </c>
      <c r="I30" s="242">
        <f>VLOOKUP(F29,saltab2019jan,18,FALSE)</f>
        <v>13</v>
      </c>
      <c r="J30" s="148"/>
      <c r="K30" s="28"/>
      <c r="P30" s="83">
        <f t="shared" si="0"/>
        <v>8</v>
      </c>
      <c r="Q30" s="83">
        <f t="shared" si="5"/>
        <v>23</v>
      </c>
      <c r="R30" s="83"/>
      <c r="S30" s="83">
        <f t="shared" si="1"/>
        <v>7</v>
      </c>
      <c r="T30" s="83">
        <f t="shared" si="6"/>
        <v>27</v>
      </c>
      <c r="U30" s="83"/>
      <c r="V30" s="85">
        <f t="shared" si="2"/>
        <v>61435.8</v>
      </c>
      <c r="W30" s="85">
        <f t="shared" si="3"/>
        <v>54367.8</v>
      </c>
      <c r="X30" s="83"/>
      <c r="Y30" s="85">
        <f t="shared" si="4"/>
        <v>7068</v>
      </c>
      <c r="Z30" s="83"/>
      <c r="AA30" s="83">
        <v>15</v>
      </c>
      <c r="AB30" s="83"/>
      <c r="AC30" s="84">
        <v>12</v>
      </c>
    </row>
    <row r="31" spans="2:29" ht="12.75" customHeight="1" x14ac:dyDescent="0.2">
      <c r="B31" s="24"/>
      <c r="C31" s="148"/>
      <c r="D31" s="148" t="s">
        <v>51</v>
      </c>
      <c r="E31" s="148"/>
      <c r="F31" s="258">
        <f>VLOOKUP(F29,saltab2019jan,IF(F30&gt;15,16,F30+1),FALSE)</f>
        <v>2992</v>
      </c>
      <c r="G31" s="239"/>
      <c r="H31" s="148"/>
      <c r="I31" s="148"/>
      <c r="J31" s="148"/>
      <c r="K31" s="28"/>
      <c r="P31" s="83">
        <f t="shared" si="0"/>
        <v>8</v>
      </c>
      <c r="Q31" s="83">
        <f t="shared" si="5"/>
        <v>24</v>
      </c>
      <c r="R31" s="83"/>
      <c r="S31" s="83">
        <f t="shared" si="1"/>
        <v>7</v>
      </c>
      <c r="T31" s="83">
        <f t="shared" si="6"/>
        <v>28</v>
      </c>
      <c r="U31" s="83"/>
      <c r="V31" s="85">
        <f t="shared" si="2"/>
        <v>61435.8</v>
      </c>
      <c r="W31" s="85">
        <f t="shared" si="3"/>
        <v>54367.8</v>
      </c>
      <c r="X31" s="83"/>
      <c r="Y31" s="85">
        <f t="shared" si="4"/>
        <v>7068</v>
      </c>
      <c r="Z31" s="83"/>
      <c r="AA31" s="83">
        <v>16</v>
      </c>
      <c r="AB31" s="83"/>
      <c r="AC31" s="84">
        <v>13</v>
      </c>
    </row>
    <row r="32" spans="2:29" ht="12.75" customHeight="1" x14ac:dyDescent="0.2">
      <c r="B32" s="24"/>
      <c r="C32" s="148"/>
      <c r="D32" s="148"/>
      <c r="E32" s="148"/>
      <c r="F32" s="239"/>
      <c r="G32" s="239"/>
      <c r="H32" s="148"/>
      <c r="I32" s="148"/>
      <c r="J32" s="148"/>
      <c r="K32" s="28"/>
      <c r="P32" s="83">
        <f t="shared" si="0"/>
        <v>8</v>
      </c>
      <c r="Q32" s="83">
        <f t="shared" si="5"/>
        <v>25</v>
      </c>
      <c r="R32" s="83"/>
      <c r="S32" s="83">
        <f t="shared" si="1"/>
        <v>7</v>
      </c>
      <c r="T32" s="83">
        <f t="shared" si="6"/>
        <v>29</v>
      </c>
      <c r="U32" s="83"/>
      <c r="V32" s="85">
        <f t="shared" si="2"/>
        <v>0</v>
      </c>
      <c r="W32" s="85">
        <f t="shared" si="3"/>
        <v>0</v>
      </c>
      <c r="X32" s="83"/>
      <c r="Y32" s="85">
        <f t="shared" si="4"/>
        <v>0</v>
      </c>
      <c r="Z32" s="83"/>
      <c r="AA32" s="83">
        <v>17</v>
      </c>
      <c r="AB32" s="83"/>
      <c r="AC32" s="84">
        <v>14</v>
      </c>
    </row>
    <row r="33" spans="2:29" ht="12.75" customHeight="1" x14ac:dyDescent="0.2">
      <c r="B33" s="24"/>
      <c r="C33" s="148"/>
      <c r="D33" s="152" t="s">
        <v>202</v>
      </c>
      <c r="E33" s="148"/>
      <c r="F33" s="260" t="s">
        <v>203</v>
      </c>
      <c r="G33" s="266"/>
      <c r="H33" s="148"/>
      <c r="I33" s="148"/>
      <c r="J33" s="148"/>
      <c r="K33" s="28"/>
      <c r="P33" s="83">
        <f t="shared" si="0"/>
        <v>8</v>
      </c>
      <c r="Q33" s="83">
        <f t="shared" si="5"/>
        <v>26</v>
      </c>
      <c r="R33" s="83"/>
      <c r="S33" s="83">
        <f t="shared" si="1"/>
        <v>7</v>
      </c>
      <c r="T33" s="83">
        <f t="shared" si="6"/>
        <v>30</v>
      </c>
      <c r="U33" s="83"/>
      <c r="V33" s="85">
        <f t="shared" si="2"/>
        <v>0</v>
      </c>
      <c r="W33" s="85">
        <f t="shared" si="3"/>
        <v>0</v>
      </c>
      <c r="X33" s="83"/>
      <c r="Y33" s="85">
        <f t="shared" si="4"/>
        <v>0</v>
      </c>
      <c r="Z33" s="83"/>
      <c r="AA33" s="83">
        <v>18</v>
      </c>
      <c r="AB33" s="83"/>
      <c r="AC33" s="84">
        <v>15</v>
      </c>
    </row>
    <row r="34" spans="2:29" ht="12.75" customHeight="1" x14ac:dyDescent="0.2">
      <c r="B34" s="24"/>
      <c r="C34" s="148"/>
      <c r="D34" s="148" t="s">
        <v>204</v>
      </c>
      <c r="E34" s="148"/>
      <c r="F34" s="256">
        <v>0</v>
      </c>
      <c r="G34" s="266"/>
      <c r="H34" s="148"/>
      <c r="I34" s="148"/>
      <c r="J34" s="148"/>
      <c r="K34" s="28"/>
      <c r="P34" s="83">
        <f t="shared" si="0"/>
        <v>8</v>
      </c>
      <c r="Q34" s="83">
        <f t="shared" si="5"/>
        <v>27</v>
      </c>
      <c r="R34" s="83"/>
      <c r="S34" s="83">
        <f t="shared" si="1"/>
        <v>7</v>
      </c>
      <c r="T34" s="83">
        <f t="shared" si="6"/>
        <v>31</v>
      </c>
      <c r="U34" s="83"/>
      <c r="V34" s="85">
        <f t="shared" si="2"/>
        <v>0</v>
      </c>
      <c r="W34" s="85">
        <f t="shared" si="3"/>
        <v>0</v>
      </c>
      <c r="X34" s="83"/>
      <c r="Y34" s="85">
        <f t="shared" si="4"/>
        <v>0</v>
      </c>
      <c r="Z34" s="83"/>
      <c r="AA34" s="83">
        <v>19</v>
      </c>
      <c r="AB34" s="83"/>
      <c r="AC34" s="84">
        <v>16</v>
      </c>
    </row>
    <row r="35" spans="2:29" ht="12.75" customHeight="1" x14ac:dyDescent="0.2">
      <c r="B35" s="24"/>
      <c r="C35" s="148"/>
      <c r="D35" s="148" t="s">
        <v>53</v>
      </c>
      <c r="E35" s="148"/>
      <c r="F35" s="258">
        <f>ROUND(IF(F33="ja",F31*F34,F31*F19),2)</f>
        <v>2992</v>
      </c>
      <c r="G35" s="239"/>
      <c r="H35" s="148"/>
      <c r="I35" s="148"/>
      <c r="J35" s="148"/>
      <c r="K35" s="28"/>
      <c r="P35" s="83">
        <f t="shared" si="0"/>
        <v>8</v>
      </c>
      <c r="Q35" s="83">
        <f t="shared" si="5"/>
        <v>28</v>
      </c>
      <c r="R35" s="83"/>
      <c r="S35" s="83">
        <f t="shared" si="1"/>
        <v>7</v>
      </c>
      <c r="T35" s="83">
        <f t="shared" si="6"/>
        <v>32</v>
      </c>
      <c r="U35" s="83"/>
      <c r="V35" s="85">
        <f t="shared" si="2"/>
        <v>0</v>
      </c>
      <c r="W35" s="85">
        <f t="shared" si="3"/>
        <v>0</v>
      </c>
      <c r="X35" s="83"/>
      <c r="Y35" s="85">
        <f t="shared" si="4"/>
        <v>0</v>
      </c>
      <c r="Z35" s="83"/>
      <c r="AA35" s="83">
        <v>20</v>
      </c>
      <c r="AB35" s="83"/>
      <c r="AC35" s="84">
        <v>17</v>
      </c>
    </row>
    <row r="36" spans="2:29" ht="12.75" customHeight="1" x14ac:dyDescent="0.2">
      <c r="B36" s="24"/>
      <c r="C36" s="148"/>
      <c r="D36" s="148"/>
      <c r="E36" s="148"/>
      <c r="F36" s="151"/>
      <c r="G36" s="151"/>
      <c r="H36" s="148"/>
      <c r="I36" s="148"/>
      <c r="J36" s="148"/>
      <c r="K36" s="28"/>
      <c r="P36" s="83">
        <f t="shared" si="0"/>
        <v>8</v>
      </c>
      <c r="Q36" s="83">
        <f t="shared" si="5"/>
        <v>29</v>
      </c>
      <c r="R36" s="83"/>
      <c r="S36" s="83">
        <f t="shared" si="1"/>
        <v>7</v>
      </c>
      <c r="T36" s="83">
        <f t="shared" si="6"/>
        <v>33</v>
      </c>
      <c r="U36" s="83"/>
      <c r="V36" s="85">
        <f t="shared" si="2"/>
        <v>0</v>
      </c>
      <c r="W36" s="85">
        <f t="shared" si="3"/>
        <v>0</v>
      </c>
      <c r="X36" s="83"/>
      <c r="Y36" s="85">
        <f t="shared" si="4"/>
        <v>0</v>
      </c>
      <c r="Z36" s="83"/>
      <c r="AA36" s="83">
        <v>21</v>
      </c>
      <c r="AB36" s="83"/>
      <c r="AC36" s="84" t="s">
        <v>9</v>
      </c>
    </row>
    <row r="37" spans="2:29" ht="12.75" customHeight="1" x14ac:dyDescent="0.2">
      <c r="B37" s="24"/>
      <c r="C37" s="25"/>
      <c r="D37" s="25"/>
      <c r="E37" s="25"/>
      <c r="F37" s="27"/>
      <c r="G37" s="27"/>
      <c r="H37" s="25"/>
      <c r="I37" s="25"/>
      <c r="J37" s="25"/>
      <c r="K37" s="28"/>
      <c r="P37" s="83">
        <f t="shared" si="0"/>
        <v>8</v>
      </c>
      <c r="Q37" s="83">
        <f t="shared" si="5"/>
        <v>30</v>
      </c>
      <c r="R37" s="83"/>
      <c r="S37" s="83">
        <f t="shared" si="1"/>
        <v>7</v>
      </c>
      <c r="T37" s="83">
        <f t="shared" si="6"/>
        <v>34</v>
      </c>
      <c r="U37" s="83"/>
      <c r="V37" s="85">
        <f t="shared" si="2"/>
        <v>0</v>
      </c>
      <c r="W37" s="85">
        <f t="shared" si="3"/>
        <v>0</v>
      </c>
      <c r="X37" s="83"/>
      <c r="Y37" s="85">
        <f t="shared" si="4"/>
        <v>0</v>
      </c>
      <c r="Z37" s="83"/>
      <c r="AA37" s="83">
        <v>22</v>
      </c>
      <c r="AB37" s="83"/>
      <c r="AC37" s="84" t="s">
        <v>10</v>
      </c>
    </row>
    <row r="38" spans="2:29" ht="12.75" customHeight="1" x14ac:dyDescent="0.2">
      <c r="B38" s="24"/>
      <c r="C38" s="148"/>
      <c r="D38" s="148"/>
      <c r="E38" s="148"/>
      <c r="F38" s="151"/>
      <c r="G38" s="151"/>
      <c r="H38" s="148"/>
      <c r="I38" s="148"/>
      <c r="J38" s="148"/>
      <c r="K38" s="28"/>
      <c r="P38" s="83">
        <f t="shared" si="0"/>
        <v>8</v>
      </c>
      <c r="Q38" s="83">
        <f t="shared" si="5"/>
        <v>31</v>
      </c>
      <c r="R38" s="83"/>
      <c r="S38" s="83">
        <f t="shared" si="1"/>
        <v>7</v>
      </c>
      <c r="T38" s="83">
        <f t="shared" si="6"/>
        <v>35</v>
      </c>
      <c r="U38" s="83"/>
      <c r="V38" s="85">
        <f t="shared" si="2"/>
        <v>0</v>
      </c>
      <c r="W38" s="85">
        <f t="shared" si="3"/>
        <v>0</v>
      </c>
      <c r="X38" s="83"/>
      <c r="Y38" s="85">
        <f t="shared" si="4"/>
        <v>0</v>
      </c>
      <c r="Z38" s="83"/>
      <c r="AA38" s="83">
        <v>23</v>
      </c>
      <c r="AB38" s="83"/>
      <c r="AC38" s="84" t="s">
        <v>11</v>
      </c>
    </row>
    <row r="39" spans="2:29" ht="12.75" customHeight="1" x14ac:dyDescent="0.2">
      <c r="B39" s="24"/>
      <c r="C39" s="148"/>
      <c r="D39" s="152" t="s">
        <v>205</v>
      </c>
      <c r="E39" s="148"/>
      <c r="F39" s="151"/>
      <c r="G39" s="151"/>
      <c r="H39" s="148"/>
      <c r="I39" s="148"/>
      <c r="J39" s="148"/>
      <c r="K39" s="28"/>
      <c r="P39" s="83">
        <f t="shared" si="0"/>
        <v>8</v>
      </c>
      <c r="Q39" s="83">
        <f t="shared" si="5"/>
        <v>32</v>
      </c>
      <c r="R39" s="83"/>
      <c r="S39" s="83">
        <f t="shared" si="1"/>
        <v>7</v>
      </c>
      <c r="T39" s="83">
        <f t="shared" si="6"/>
        <v>36</v>
      </c>
      <c r="U39" s="83"/>
      <c r="V39" s="85">
        <f t="shared" si="2"/>
        <v>0</v>
      </c>
      <c r="W39" s="85">
        <f t="shared" si="3"/>
        <v>0</v>
      </c>
      <c r="X39" s="83"/>
      <c r="Y39" s="85">
        <f t="shared" si="4"/>
        <v>0</v>
      </c>
      <c r="Z39" s="83"/>
      <c r="AA39" s="83">
        <v>24</v>
      </c>
      <c r="AB39" s="83"/>
      <c r="AC39" s="84" t="s">
        <v>12</v>
      </c>
    </row>
    <row r="40" spans="2:29" ht="12.75" customHeight="1" x14ac:dyDescent="0.2">
      <c r="B40" s="24"/>
      <c r="C40" s="148"/>
      <c r="D40" s="148"/>
      <c r="E40" s="148"/>
      <c r="F40" s="151"/>
      <c r="G40" s="151"/>
      <c r="H40" s="148"/>
      <c r="I40" s="148"/>
      <c r="J40" s="148"/>
      <c r="K40" s="28"/>
      <c r="P40" s="83">
        <f t="shared" si="0"/>
        <v>8</v>
      </c>
      <c r="Q40" s="83">
        <f t="shared" si="5"/>
        <v>33</v>
      </c>
      <c r="R40" s="83"/>
      <c r="S40" s="83">
        <f t="shared" si="1"/>
        <v>7</v>
      </c>
      <c r="T40" s="83">
        <f t="shared" si="6"/>
        <v>37</v>
      </c>
      <c r="U40" s="83"/>
      <c r="V40" s="85">
        <f t="shared" si="2"/>
        <v>0</v>
      </c>
      <c r="W40" s="85">
        <f t="shared" si="3"/>
        <v>0</v>
      </c>
      <c r="X40" s="83"/>
      <c r="Y40" s="85">
        <f t="shared" si="4"/>
        <v>0</v>
      </c>
      <c r="Z40" s="83"/>
      <c r="AA40" s="83">
        <v>25</v>
      </c>
      <c r="AB40" s="83"/>
      <c r="AC40" s="83"/>
    </row>
    <row r="41" spans="2:29" ht="12.75" customHeight="1" x14ac:dyDescent="0.2">
      <c r="B41" s="24"/>
      <c r="C41" s="148"/>
      <c r="D41" s="148" t="s">
        <v>206</v>
      </c>
      <c r="E41" s="148"/>
      <c r="F41" s="233">
        <f>+F35-F20</f>
        <v>48.349999999999909</v>
      </c>
      <c r="G41" s="239"/>
      <c r="H41" s="148"/>
      <c r="I41" s="148"/>
      <c r="J41" s="148"/>
      <c r="K41" s="28"/>
      <c r="P41" s="83">
        <f t="shared" si="0"/>
        <v>8</v>
      </c>
      <c r="Q41" s="83">
        <f t="shared" si="5"/>
        <v>34</v>
      </c>
      <c r="R41" s="83"/>
      <c r="S41" s="83">
        <f t="shared" si="1"/>
        <v>7</v>
      </c>
      <c r="T41" s="83">
        <f t="shared" si="6"/>
        <v>38</v>
      </c>
      <c r="U41" s="83"/>
      <c r="V41" s="85">
        <f t="shared" si="2"/>
        <v>0</v>
      </c>
      <c r="W41" s="85">
        <f t="shared" si="3"/>
        <v>0</v>
      </c>
      <c r="X41" s="83"/>
      <c r="Y41" s="85">
        <f t="shared" si="4"/>
        <v>0</v>
      </c>
      <c r="Z41" s="83"/>
      <c r="AA41" s="83">
        <v>26</v>
      </c>
      <c r="AB41" s="83"/>
      <c r="AC41" s="88" t="s">
        <v>29</v>
      </c>
    </row>
    <row r="42" spans="2:29" ht="12.75" customHeight="1" x14ac:dyDescent="0.2">
      <c r="B42" s="24"/>
      <c r="C42" s="148"/>
      <c r="D42" s="148" t="s">
        <v>207</v>
      </c>
      <c r="E42" s="148"/>
      <c r="F42" s="214">
        <f>+tabellen!C29</f>
        <v>0.55000000000000004</v>
      </c>
      <c r="G42" s="267"/>
      <c r="H42" s="148"/>
      <c r="I42" s="148"/>
      <c r="J42" s="148"/>
      <c r="K42" s="28"/>
      <c r="P42" s="83">
        <f t="shared" si="0"/>
        <v>8</v>
      </c>
      <c r="Q42" s="83">
        <f t="shared" si="5"/>
        <v>35</v>
      </c>
      <c r="R42" s="83"/>
      <c r="S42" s="83">
        <f t="shared" si="1"/>
        <v>7</v>
      </c>
      <c r="T42" s="83">
        <f t="shared" si="6"/>
        <v>39</v>
      </c>
      <c r="U42" s="83"/>
      <c r="V42" s="85">
        <f t="shared" si="2"/>
        <v>0</v>
      </c>
      <c r="W42" s="85">
        <f t="shared" si="3"/>
        <v>0</v>
      </c>
      <c r="X42" s="83"/>
      <c r="Y42" s="85">
        <f t="shared" si="4"/>
        <v>0</v>
      </c>
      <c r="Z42" s="83"/>
      <c r="AA42" s="83">
        <v>27</v>
      </c>
      <c r="AB42" s="83"/>
      <c r="AC42" s="88" t="s">
        <v>30</v>
      </c>
    </row>
    <row r="43" spans="2:29" ht="12.75" customHeight="1" x14ac:dyDescent="0.2">
      <c r="B43" s="24"/>
      <c r="C43" s="148"/>
      <c r="D43" s="148" t="s">
        <v>208</v>
      </c>
      <c r="E43" s="148"/>
      <c r="F43" s="213">
        <f>+F41*12*(1+F42)</f>
        <v>899.30999999999835</v>
      </c>
      <c r="G43" s="239"/>
      <c r="H43" s="148"/>
      <c r="I43" s="148"/>
      <c r="J43" s="148"/>
      <c r="K43" s="28"/>
      <c r="P43" s="83">
        <f t="shared" si="0"/>
        <v>8</v>
      </c>
      <c r="Q43" s="83">
        <f t="shared" si="5"/>
        <v>36</v>
      </c>
      <c r="R43" s="83"/>
      <c r="S43" s="83">
        <f t="shared" si="1"/>
        <v>7</v>
      </c>
      <c r="T43" s="83">
        <f t="shared" si="6"/>
        <v>40</v>
      </c>
      <c r="U43" s="83"/>
      <c r="V43" s="85">
        <f t="shared" si="2"/>
        <v>0</v>
      </c>
      <c r="W43" s="85">
        <f t="shared" si="3"/>
        <v>0</v>
      </c>
      <c r="X43" s="83"/>
      <c r="Y43" s="85">
        <f t="shared" si="4"/>
        <v>0</v>
      </c>
      <c r="Z43" s="83"/>
      <c r="AA43" s="83">
        <v>28</v>
      </c>
      <c r="AB43" s="83"/>
      <c r="AC43" s="88" t="s">
        <v>31</v>
      </c>
    </row>
    <row r="44" spans="2:29" ht="12.75" customHeight="1" x14ac:dyDescent="0.2">
      <c r="B44" s="24"/>
      <c r="C44" s="148"/>
      <c r="D44" s="148" t="s">
        <v>209</v>
      </c>
      <c r="E44" s="148"/>
      <c r="F44" s="257">
        <f>+F23-F22</f>
        <v>17</v>
      </c>
      <c r="G44" s="151"/>
      <c r="H44" s="148"/>
      <c r="I44" s="148"/>
      <c r="J44" s="148"/>
      <c r="K44" s="28"/>
      <c r="L44" s="89"/>
      <c r="M44" s="89"/>
      <c r="N44" s="89"/>
      <c r="O44" s="89"/>
      <c r="P44" s="83">
        <f t="shared" si="0"/>
        <v>8</v>
      </c>
      <c r="Q44" s="83">
        <f t="shared" si="5"/>
        <v>37</v>
      </c>
      <c r="R44" s="83"/>
      <c r="S44" s="83">
        <f t="shared" si="1"/>
        <v>7</v>
      </c>
      <c r="T44" s="83">
        <f t="shared" si="6"/>
        <v>41</v>
      </c>
      <c r="U44" s="83"/>
      <c r="V44" s="85">
        <f t="shared" si="2"/>
        <v>0</v>
      </c>
      <c r="W44" s="85">
        <f t="shared" si="3"/>
        <v>0</v>
      </c>
      <c r="X44" s="83"/>
      <c r="Y44" s="85">
        <f t="shared" si="4"/>
        <v>0</v>
      </c>
      <c r="Z44" s="83"/>
      <c r="AA44" s="83">
        <v>29</v>
      </c>
      <c r="AB44" s="83"/>
      <c r="AC44" s="90" t="s">
        <v>32</v>
      </c>
    </row>
    <row r="45" spans="2:29" s="92" customFormat="1" ht="12.75" customHeight="1" x14ac:dyDescent="0.2">
      <c r="B45" s="24"/>
      <c r="C45" s="148"/>
      <c r="D45" s="148" t="s">
        <v>210</v>
      </c>
      <c r="E45" s="148"/>
      <c r="F45" s="224">
        <f>IF(F33="nee",Y63*F19,Y63*F34)</f>
        <v>6059.2235294117636</v>
      </c>
      <c r="G45" s="268"/>
      <c r="H45" s="171"/>
      <c r="I45" s="148"/>
      <c r="J45" s="148"/>
      <c r="K45" s="28"/>
      <c r="L45" s="91"/>
      <c r="M45" s="91"/>
      <c r="N45" s="91"/>
      <c r="O45" s="91"/>
      <c r="P45" s="83">
        <f t="shared" si="0"/>
        <v>8</v>
      </c>
      <c r="Q45" s="83">
        <f t="shared" si="5"/>
        <v>38</v>
      </c>
      <c r="R45" s="83"/>
      <c r="S45" s="83">
        <f t="shared" si="1"/>
        <v>7</v>
      </c>
      <c r="T45" s="83">
        <f t="shared" si="6"/>
        <v>42</v>
      </c>
      <c r="U45" s="83"/>
      <c r="V45" s="85">
        <f t="shared" si="2"/>
        <v>0</v>
      </c>
      <c r="W45" s="85">
        <f t="shared" si="3"/>
        <v>0</v>
      </c>
      <c r="X45" s="83"/>
      <c r="Y45" s="85">
        <f t="shared" si="4"/>
        <v>0</v>
      </c>
      <c r="Z45" s="83"/>
      <c r="AA45" s="83">
        <v>30</v>
      </c>
      <c r="AB45" s="83"/>
      <c r="AC45" s="83"/>
    </row>
    <row r="46" spans="2:29" ht="12.75" customHeight="1" x14ac:dyDescent="0.2">
      <c r="B46" s="24"/>
      <c r="C46" s="148"/>
      <c r="D46" s="152"/>
      <c r="E46" s="148"/>
      <c r="F46" s="269"/>
      <c r="G46" s="269"/>
      <c r="H46" s="171"/>
      <c r="I46" s="148"/>
      <c r="J46" s="171"/>
      <c r="K46" s="93"/>
      <c r="L46" s="89"/>
      <c r="M46" s="89"/>
      <c r="N46" s="89"/>
      <c r="O46" s="89"/>
      <c r="P46" s="83">
        <f t="shared" si="0"/>
        <v>8</v>
      </c>
      <c r="Q46" s="83">
        <f t="shared" si="5"/>
        <v>39</v>
      </c>
      <c r="R46" s="83"/>
      <c r="S46" s="83">
        <f t="shared" si="1"/>
        <v>7</v>
      </c>
      <c r="T46" s="83">
        <f t="shared" si="6"/>
        <v>43</v>
      </c>
      <c r="U46" s="83"/>
      <c r="V46" s="85">
        <f t="shared" si="2"/>
        <v>0</v>
      </c>
      <c r="W46" s="85">
        <f t="shared" si="3"/>
        <v>0</v>
      </c>
      <c r="X46" s="83"/>
      <c r="Y46" s="85">
        <f t="shared" si="4"/>
        <v>0</v>
      </c>
      <c r="Z46" s="83"/>
      <c r="AA46" s="83">
        <v>31</v>
      </c>
      <c r="AB46" s="83"/>
      <c r="AC46" s="83"/>
    </row>
    <row r="47" spans="2:29" ht="12.75" customHeight="1" x14ac:dyDescent="0.2">
      <c r="B47" s="39"/>
      <c r="C47" s="152"/>
      <c r="D47" s="152" t="s">
        <v>211</v>
      </c>
      <c r="E47" s="152"/>
      <c r="F47" s="261">
        <f>+Y62*F19</f>
        <v>103006.79999999999</v>
      </c>
      <c r="G47" s="269"/>
      <c r="H47" s="152"/>
      <c r="I47" s="152"/>
      <c r="J47" s="187"/>
      <c r="K47" s="94"/>
      <c r="L47" s="89"/>
      <c r="M47" s="89"/>
      <c r="N47" s="89"/>
      <c r="O47" s="89"/>
      <c r="P47" s="83">
        <f t="shared" si="0"/>
        <v>8</v>
      </c>
      <c r="Q47" s="83">
        <f t="shared" si="5"/>
        <v>40</v>
      </c>
      <c r="R47" s="83"/>
      <c r="S47" s="83">
        <f t="shared" si="1"/>
        <v>7</v>
      </c>
      <c r="T47" s="83">
        <f t="shared" si="6"/>
        <v>44</v>
      </c>
      <c r="U47" s="83"/>
      <c r="V47" s="85">
        <f t="shared" si="2"/>
        <v>0</v>
      </c>
      <c r="W47" s="85">
        <f t="shared" si="3"/>
        <v>0</v>
      </c>
      <c r="X47" s="83"/>
      <c r="Y47" s="85">
        <f t="shared" si="4"/>
        <v>0</v>
      </c>
      <c r="Z47" s="83"/>
      <c r="AA47" s="83">
        <v>32</v>
      </c>
      <c r="AB47" s="83"/>
      <c r="AC47" s="83"/>
    </row>
    <row r="48" spans="2:29" ht="12.75" customHeight="1" x14ac:dyDescent="0.2">
      <c r="B48" s="24"/>
      <c r="C48" s="148"/>
      <c r="D48" s="148"/>
      <c r="E48" s="148"/>
      <c r="F48" s="151"/>
      <c r="G48" s="151"/>
      <c r="H48" s="148"/>
      <c r="I48" s="148"/>
      <c r="J48" s="171"/>
      <c r="K48" s="93"/>
      <c r="L48" s="89"/>
      <c r="M48" s="89"/>
      <c r="N48" s="89"/>
      <c r="O48" s="89"/>
      <c r="P48" s="83">
        <f t="shared" si="0"/>
        <v>8</v>
      </c>
      <c r="Q48" s="83">
        <f t="shared" si="5"/>
        <v>41</v>
      </c>
      <c r="R48" s="83"/>
      <c r="S48" s="83">
        <f t="shared" si="1"/>
        <v>7</v>
      </c>
      <c r="T48" s="83">
        <f t="shared" si="6"/>
        <v>45</v>
      </c>
      <c r="U48" s="83"/>
      <c r="V48" s="85">
        <f t="shared" si="2"/>
        <v>0</v>
      </c>
      <c r="W48" s="85">
        <f t="shared" si="3"/>
        <v>0</v>
      </c>
      <c r="X48" s="83"/>
      <c r="Y48" s="85">
        <f t="shared" si="4"/>
        <v>0</v>
      </c>
      <c r="Z48" s="83"/>
      <c r="AA48" s="83">
        <v>33</v>
      </c>
      <c r="AB48" s="83"/>
      <c r="AC48" s="83"/>
    </row>
    <row r="49" spans="2:29" ht="12.75" customHeight="1" x14ac:dyDescent="0.2">
      <c r="B49" s="24"/>
      <c r="C49" s="25"/>
      <c r="D49" s="25"/>
      <c r="E49" s="25"/>
      <c r="F49" s="27"/>
      <c r="G49" s="27"/>
      <c r="H49" s="25"/>
      <c r="I49" s="25"/>
      <c r="J49" s="48"/>
      <c r="K49" s="93"/>
      <c r="L49" s="89"/>
      <c r="M49" s="89"/>
      <c r="N49" s="89"/>
      <c r="O49" s="89"/>
      <c r="P49" s="83">
        <f t="shared" si="0"/>
        <v>8</v>
      </c>
      <c r="Q49" s="83">
        <f t="shared" si="5"/>
        <v>42</v>
      </c>
      <c r="R49" s="83"/>
      <c r="S49" s="83">
        <f t="shared" si="1"/>
        <v>7</v>
      </c>
      <c r="T49" s="83">
        <f t="shared" si="6"/>
        <v>46</v>
      </c>
      <c r="U49" s="83"/>
      <c r="V49" s="85">
        <f t="shared" si="2"/>
        <v>0</v>
      </c>
      <c r="W49" s="85">
        <f t="shared" si="3"/>
        <v>0</v>
      </c>
      <c r="X49" s="83"/>
      <c r="Y49" s="85">
        <f t="shared" si="4"/>
        <v>0</v>
      </c>
      <c r="Z49" s="83"/>
      <c r="AA49" s="83">
        <v>34</v>
      </c>
      <c r="AB49" s="83"/>
      <c r="AC49" s="83"/>
    </row>
    <row r="50" spans="2:29" ht="12.75" customHeight="1" thickBot="1" x14ac:dyDescent="0.25">
      <c r="B50" s="49"/>
      <c r="C50" s="50"/>
      <c r="D50" s="50"/>
      <c r="E50" s="50"/>
      <c r="F50" s="95"/>
      <c r="G50" s="95"/>
      <c r="H50" s="50"/>
      <c r="I50" s="50"/>
      <c r="J50" s="53" t="s">
        <v>75</v>
      </c>
      <c r="K50" s="96"/>
      <c r="L50" s="89"/>
      <c r="M50" s="89"/>
      <c r="N50" s="89"/>
      <c r="O50" s="89"/>
      <c r="P50" s="83">
        <f t="shared" si="0"/>
        <v>8</v>
      </c>
      <c r="Q50" s="83">
        <f t="shared" si="5"/>
        <v>43</v>
      </c>
      <c r="R50" s="83"/>
      <c r="S50" s="83">
        <f t="shared" si="1"/>
        <v>7</v>
      </c>
      <c r="T50" s="83">
        <f t="shared" si="6"/>
        <v>47</v>
      </c>
      <c r="U50" s="83"/>
      <c r="V50" s="85">
        <f t="shared" si="2"/>
        <v>0</v>
      </c>
      <c r="W50" s="85">
        <f t="shared" si="3"/>
        <v>0</v>
      </c>
      <c r="X50" s="83"/>
      <c r="Y50" s="85">
        <f t="shared" si="4"/>
        <v>0</v>
      </c>
      <c r="Z50" s="83"/>
      <c r="AA50" s="83">
        <v>35</v>
      </c>
      <c r="AB50" s="83"/>
      <c r="AC50" s="83"/>
    </row>
    <row r="51" spans="2:29" ht="12.75" customHeight="1" x14ac:dyDescent="0.2">
      <c r="J51" s="97"/>
      <c r="K51" s="89"/>
      <c r="L51" s="89"/>
      <c r="M51" s="89"/>
      <c r="N51" s="89"/>
      <c r="O51" s="89"/>
      <c r="P51" s="83">
        <f t="shared" si="0"/>
        <v>8</v>
      </c>
      <c r="Q51" s="83">
        <f t="shared" si="5"/>
        <v>44</v>
      </c>
      <c r="R51" s="83"/>
      <c r="S51" s="83">
        <f t="shared" si="1"/>
        <v>7</v>
      </c>
      <c r="T51" s="83">
        <f t="shared" si="6"/>
        <v>48</v>
      </c>
      <c r="U51" s="83"/>
      <c r="V51" s="85">
        <f t="shared" si="2"/>
        <v>0</v>
      </c>
      <c r="W51" s="85">
        <f t="shared" si="3"/>
        <v>0</v>
      </c>
      <c r="X51" s="83"/>
      <c r="Y51" s="85">
        <f t="shared" si="4"/>
        <v>0</v>
      </c>
      <c r="Z51" s="83"/>
      <c r="AA51" s="83">
        <v>36</v>
      </c>
      <c r="AB51" s="83"/>
      <c r="AC51" s="83"/>
    </row>
    <row r="52" spans="2:29" ht="12.75" customHeight="1" x14ac:dyDescent="0.2">
      <c r="J52" s="89"/>
      <c r="K52" s="89"/>
      <c r="L52" s="89"/>
      <c r="M52" s="89"/>
      <c r="N52" s="89"/>
      <c r="O52" s="89"/>
      <c r="P52" s="83">
        <f t="shared" si="0"/>
        <v>8</v>
      </c>
      <c r="Q52" s="83">
        <f t="shared" si="5"/>
        <v>45</v>
      </c>
      <c r="R52" s="83"/>
      <c r="S52" s="83">
        <f t="shared" si="1"/>
        <v>7</v>
      </c>
      <c r="T52" s="83">
        <f t="shared" si="6"/>
        <v>49</v>
      </c>
      <c r="U52" s="83"/>
      <c r="V52" s="85">
        <f t="shared" si="2"/>
        <v>0</v>
      </c>
      <c r="W52" s="85">
        <f t="shared" si="3"/>
        <v>0</v>
      </c>
      <c r="X52" s="83"/>
      <c r="Y52" s="85">
        <f t="shared" si="4"/>
        <v>0</v>
      </c>
      <c r="Z52" s="83"/>
      <c r="AA52" s="83">
        <v>37</v>
      </c>
      <c r="AB52" s="83"/>
      <c r="AC52" s="83"/>
    </row>
    <row r="53" spans="2:29" ht="12.75" customHeight="1" x14ac:dyDescent="0.2">
      <c r="J53" s="89"/>
      <c r="K53" s="89"/>
      <c r="L53" s="89"/>
      <c r="P53" s="83">
        <f t="shared" si="0"/>
        <v>8</v>
      </c>
      <c r="Q53" s="83">
        <f t="shared" si="5"/>
        <v>46</v>
      </c>
      <c r="R53" s="83"/>
      <c r="S53" s="83">
        <f t="shared" si="1"/>
        <v>7</v>
      </c>
      <c r="T53" s="83">
        <f t="shared" si="6"/>
        <v>50</v>
      </c>
      <c r="U53" s="83"/>
      <c r="V53" s="85">
        <f t="shared" si="2"/>
        <v>0</v>
      </c>
      <c r="W53" s="85">
        <f t="shared" si="3"/>
        <v>0</v>
      </c>
      <c r="X53" s="83"/>
      <c r="Y53" s="85">
        <f t="shared" si="4"/>
        <v>0</v>
      </c>
      <c r="Z53" s="83"/>
      <c r="AA53" s="83">
        <v>38</v>
      </c>
      <c r="AB53" s="83"/>
      <c r="AC53" s="83"/>
    </row>
    <row r="54" spans="2:29" ht="12.75" customHeight="1" x14ac:dyDescent="0.2">
      <c r="J54" s="89"/>
      <c r="K54" s="89"/>
      <c r="L54" s="89"/>
      <c r="P54" s="83">
        <f t="shared" si="0"/>
        <v>8</v>
      </c>
      <c r="Q54" s="83">
        <f t="shared" si="5"/>
        <v>47</v>
      </c>
      <c r="R54" s="83"/>
      <c r="S54" s="83">
        <f t="shared" si="1"/>
        <v>7</v>
      </c>
      <c r="T54" s="83">
        <f t="shared" si="6"/>
        <v>51</v>
      </c>
      <c r="U54" s="83"/>
      <c r="V54" s="85">
        <f t="shared" si="2"/>
        <v>0</v>
      </c>
      <c r="W54" s="85">
        <f t="shared" si="3"/>
        <v>0</v>
      </c>
      <c r="X54" s="83"/>
      <c r="Y54" s="85">
        <f t="shared" si="4"/>
        <v>0</v>
      </c>
      <c r="Z54" s="83"/>
      <c r="AA54" s="83">
        <v>39</v>
      </c>
      <c r="AB54" s="83"/>
      <c r="AC54" s="83"/>
    </row>
    <row r="55" spans="2:29" ht="12.75" customHeight="1" x14ac:dyDescent="0.2">
      <c r="J55" s="89"/>
      <c r="K55" s="89"/>
      <c r="L55" s="89"/>
      <c r="P55" s="83">
        <f t="shared" si="0"/>
        <v>8</v>
      </c>
      <c r="Q55" s="83">
        <f t="shared" si="5"/>
        <v>48</v>
      </c>
      <c r="R55" s="83"/>
      <c r="S55" s="83">
        <f t="shared" si="1"/>
        <v>7</v>
      </c>
      <c r="T55" s="83">
        <f t="shared" si="6"/>
        <v>52</v>
      </c>
      <c r="U55" s="83"/>
      <c r="V55" s="85">
        <f t="shared" si="2"/>
        <v>0</v>
      </c>
      <c r="W55" s="85">
        <f t="shared" si="3"/>
        <v>0</v>
      </c>
      <c r="X55" s="83"/>
      <c r="Y55" s="85">
        <f t="shared" si="4"/>
        <v>0</v>
      </c>
      <c r="Z55" s="83"/>
      <c r="AA55" s="83">
        <v>40</v>
      </c>
      <c r="AB55" s="83"/>
      <c r="AC55" s="83"/>
    </row>
    <row r="56" spans="2:29" ht="12.75" customHeight="1" x14ac:dyDescent="0.2">
      <c r="J56" s="89"/>
      <c r="K56" s="89"/>
      <c r="L56" s="89"/>
      <c r="P56" s="83">
        <f t="shared" si="0"/>
        <v>8</v>
      </c>
      <c r="Q56" s="83">
        <f t="shared" si="5"/>
        <v>49</v>
      </c>
      <c r="R56" s="83"/>
      <c r="S56" s="83">
        <f t="shared" si="1"/>
        <v>7</v>
      </c>
      <c r="T56" s="83">
        <f t="shared" si="6"/>
        <v>53</v>
      </c>
      <c r="U56" s="83"/>
      <c r="V56" s="85">
        <f t="shared" si="2"/>
        <v>0</v>
      </c>
      <c r="W56" s="85">
        <f t="shared" si="3"/>
        <v>0</v>
      </c>
      <c r="X56" s="83"/>
      <c r="Y56" s="85">
        <f t="shared" si="4"/>
        <v>0</v>
      </c>
      <c r="Z56" s="83"/>
      <c r="AA56" s="83">
        <v>41</v>
      </c>
      <c r="AB56" s="98"/>
      <c r="AC56" s="83"/>
    </row>
    <row r="57" spans="2:29" ht="12.75" customHeight="1" x14ac:dyDescent="0.2">
      <c r="J57" s="89"/>
      <c r="K57" s="89"/>
      <c r="L57" s="89"/>
      <c r="P57" s="83">
        <f t="shared" si="0"/>
        <v>8</v>
      </c>
      <c r="Q57" s="83">
        <f t="shared" si="5"/>
        <v>50</v>
      </c>
      <c r="R57" s="83"/>
      <c r="S57" s="83">
        <f t="shared" si="1"/>
        <v>7</v>
      </c>
      <c r="T57" s="83">
        <f t="shared" si="6"/>
        <v>54</v>
      </c>
      <c r="U57" s="83"/>
      <c r="V57" s="85">
        <f t="shared" si="2"/>
        <v>0</v>
      </c>
      <c r="W57" s="85">
        <f t="shared" si="3"/>
        <v>0</v>
      </c>
      <c r="X57" s="83"/>
      <c r="Y57" s="85">
        <f t="shared" si="4"/>
        <v>0</v>
      </c>
      <c r="Z57" s="83"/>
      <c r="AA57" s="83">
        <v>42</v>
      </c>
      <c r="AB57" s="99"/>
      <c r="AC57" s="99"/>
    </row>
    <row r="58" spans="2:29" ht="12.75" customHeight="1" x14ac:dyDescent="0.2">
      <c r="J58" s="89"/>
      <c r="K58" s="89"/>
      <c r="L58" s="89"/>
      <c r="P58" s="83">
        <f t="shared" si="0"/>
        <v>8</v>
      </c>
      <c r="Q58" s="83">
        <f t="shared" si="5"/>
        <v>51</v>
      </c>
      <c r="R58" s="83"/>
      <c r="S58" s="83">
        <f t="shared" si="1"/>
        <v>7</v>
      </c>
      <c r="T58" s="83">
        <f t="shared" si="6"/>
        <v>55</v>
      </c>
      <c r="U58" s="83"/>
      <c r="V58" s="85">
        <f t="shared" si="2"/>
        <v>0</v>
      </c>
      <c r="W58" s="85">
        <f t="shared" si="3"/>
        <v>0</v>
      </c>
      <c r="X58" s="83"/>
      <c r="Y58" s="85">
        <f t="shared" si="4"/>
        <v>0</v>
      </c>
      <c r="Z58" s="83"/>
      <c r="AA58" s="83">
        <v>43</v>
      </c>
      <c r="AB58" s="83"/>
      <c r="AC58" s="83"/>
    </row>
    <row r="59" spans="2:29" ht="12.75" customHeight="1" x14ac:dyDescent="0.2">
      <c r="J59" s="89"/>
      <c r="K59" s="89"/>
      <c r="L59" s="89"/>
      <c r="P59" s="83">
        <f t="shared" si="0"/>
        <v>8</v>
      </c>
      <c r="Q59" s="83">
        <f t="shared" si="5"/>
        <v>52</v>
      </c>
      <c r="R59" s="83"/>
      <c r="S59" s="83">
        <f t="shared" si="1"/>
        <v>7</v>
      </c>
      <c r="T59" s="83">
        <f t="shared" si="6"/>
        <v>56</v>
      </c>
      <c r="U59" s="83"/>
      <c r="V59" s="85">
        <f t="shared" si="2"/>
        <v>0</v>
      </c>
      <c r="W59" s="85">
        <f t="shared" si="3"/>
        <v>0</v>
      </c>
      <c r="X59" s="83"/>
      <c r="Y59" s="85">
        <f t="shared" si="4"/>
        <v>0</v>
      </c>
      <c r="Z59" s="83"/>
      <c r="AA59" s="83">
        <v>44</v>
      </c>
      <c r="AB59" s="83"/>
      <c r="AC59" s="83"/>
    </row>
    <row r="60" spans="2:29" ht="12.75" customHeight="1" x14ac:dyDescent="0.2">
      <c r="J60" s="89"/>
      <c r="K60" s="89"/>
      <c r="L60" s="89"/>
      <c r="P60" s="83">
        <f t="shared" si="0"/>
        <v>8</v>
      </c>
      <c r="Q60" s="83">
        <f t="shared" si="5"/>
        <v>53</v>
      </c>
      <c r="R60" s="83"/>
      <c r="S60" s="83">
        <f t="shared" si="1"/>
        <v>7</v>
      </c>
      <c r="T60" s="83">
        <f t="shared" si="6"/>
        <v>57</v>
      </c>
      <c r="U60" s="83"/>
      <c r="V60" s="85">
        <f t="shared" si="2"/>
        <v>0</v>
      </c>
      <c r="W60" s="85">
        <f t="shared" si="3"/>
        <v>0</v>
      </c>
      <c r="X60" s="83"/>
      <c r="Y60" s="85">
        <f t="shared" si="4"/>
        <v>0</v>
      </c>
      <c r="Z60" s="83"/>
      <c r="AA60" s="83">
        <v>45</v>
      </c>
      <c r="AB60" s="83"/>
      <c r="AC60" s="83"/>
    </row>
    <row r="61" spans="2:29" ht="12.75" customHeight="1" x14ac:dyDescent="0.2">
      <c r="C61" s="100"/>
      <c r="J61" s="89"/>
      <c r="K61" s="89"/>
      <c r="L61" s="89"/>
      <c r="P61" s="83"/>
      <c r="Q61" s="83"/>
      <c r="R61" s="83"/>
      <c r="S61" s="83"/>
      <c r="T61" s="83"/>
      <c r="U61" s="83"/>
      <c r="V61" s="83"/>
      <c r="W61" s="83"/>
      <c r="X61" s="83"/>
      <c r="Y61" s="83"/>
      <c r="Z61" s="83"/>
      <c r="AA61" s="83"/>
      <c r="AB61" s="83"/>
      <c r="AC61" s="83"/>
    </row>
    <row r="62" spans="2:29" ht="12.75" customHeight="1" x14ac:dyDescent="0.2">
      <c r="C62" s="100"/>
      <c r="J62" s="89"/>
      <c r="K62" s="89"/>
      <c r="L62" s="89"/>
      <c r="P62" s="83"/>
      <c r="Q62" s="83"/>
      <c r="R62" s="83"/>
      <c r="S62" s="83"/>
      <c r="T62" s="83"/>
      <c r="U62" s="83"/>
      <c r="V62" s="83"/>
      <c r="W62" s="83"/>
      <c r="X62" s="83"/>
      <c r="Y62" s="85">
        <f>SUM(Y15:Y60)</f>
        <v>103006.79999999999</v>
      </c>
      <c r="Z62" s="83"/>
      <c r="AA62" s="83"/>
      <c r="AB62" s="83"/>
      <c r="AC62" s="83"/>
    </row>
    <row r="63" spans="2:29" ht="13.5" customHeight="1" x14ac:dyDescent="0.2">
      <c r="C63" s="100"/>
      <c r="J63" s="89"/>
      <c r="K63" s="89"/>
      <c r="L63" s="89"/>
      <c r="P63" s="83"/>
      <c r="Q63" s="83"/>
      <c r="R63" s="83"/>
      <c r="S63" s="83"/>
      <c r="T63" s="83"/>
      <c r="U63" s="83"/>
      <c r="V63" s="83"/>
      <c r="W63" s="83" t="s">
        <v>212</v>
      </c>
      <c r="X63" s="83"/>
      <c r="Y63" s="85">
        <f>IF(F44=0,0,+Y62/F44)</f>
        <v>6059.2235294117636</v>
      </c>
      <c r="Z63" s="83"/>
      <c r="AA63" s="83"/>
      <c r="AB63" s="83"/>
      <c r="AC63" s="83"/>
    </row>
    <row r="64" spans="2:29" ht="13.5" customHeight="1" x14ac:dyDescent="0.2">
      <c r="C64" s="101"/>
      <c r="J64" s="89"/>
      <c r="K64" s="89"/>
      <c r="L64" s="89"/>
      <c r="P64" s="102"/>
      <c r="Q64" s="102"/>
    </row>
    <row r="65" spans="10:17" s="73" customFormat="1" ht="12.75" x14ac:dyDescent="0.2">
      <c r="J65" s="89"/>
      <c r="K65" s="89"/>
      <c r="L65" s="89"/>
      <c r="P65" s="102"/>
      <c r="Q65" s="102"/>
    </row>
    <row r="66" spans="10:17" s="73" customFormat="1" ht="12.75" x14ac:dyDescent="0.2">
      <c r="J66" s="89"/>
      <c r="K66" s="89"/>
      <c r="L66" s="89"/>
      <c r="P66" s="102"/>
      <c r="Q66" s="102"/>
    </row>
    <row r="67" spans="10:17" s="73" customFormat="1" ht="12.75" x14ac:dyDescent="0.2">
      <c r="J67" s="89"/>
      <c r="K67" s="89"/>
      <c r="L67" s="89"/>
      <c r="P67" s="102"/>
      <c r="Q67" s="102"/>
    </row>
    <row r="68" spans="10:17" s="73" customFormat="1" ht="12.75" x14ac:dyDescent="0.2">
      <c r="J68" s="89"/>
      <c r="K68" s="89"/>
      <c r="L68" s="89"/>
      <c r="P68" s="102"/>
      <c r="Q68" s="102"/>
    </row>
    <row r="69" spans="10:17" s="73" customFormat="1" ht="12.75" x14ac:dyDescent="0.2">
      <c r="J69" s="89"/>
      <c r="K69" s="89"/>
      <c r="L69" s="89"/>
      <c r="P69" s="102"/>
      <c r="Q69" s="102"/>
    </row>
    <row r="70" spans="10:17" s="73" customFormat="1" ht="12.75" x14ac:dyDescent="0.2">
      <c r="J70" s="89"/>
      <c r="K70" s="89"/>
      <c r="L70" s="89"/>
      <c r="P70" s="102"/>
      <c r="Q70" s="102"/>
    </row>
    <row r="71" spans="10:17" s="73" customFormat="1" ht="12.75" x14ac:dyDescent="0.2">
      <c r="J71" s="89"/>
      <c r="K71" s="89"/>
      <c r="L71" s="89"/>
      <c r="P71" s="102"/>
      <c r="Q71" s="102"/>
    </row>
    <row r="72" spans="10:17" s="73" customFormat="1" ht="12.75" x14ac:dyDescent="0.2">
      <c r="J72" s="89"/>
      <c r="K72" s="89"/>
      <c r="L72" s="89"/>
      <c r="P72" s="102"/>
      <c r="Q72" s="102"/>
    </row>
    <row r="73" spans="10:17" s="73" customFormat="1" ht="12.75" x14ac:dyDescent="0.2">
      <c r="J73" s="89"/>
      <c r="K73" s="89"/>
      <c r="L73" s="89"/>
      <c r="P73" s="102"/>
      <c r="Q73" s="102"/>
    </row>
    <row r="74" spans="10:17" s="73" customFormat="1" ht="12.75" x14ac:dyDescent="0.2">
      <c r="J74" s="89"/>
      <c r="K74" s="89"/>
      <c r="L74" s="89"/>
      <c r="P74" s="102"/>
      <c r="Q74" s="102"/>
    </row>
    <row r="75" spans="10:17" s="73" customFormat="1" ht="12.75" x14ac:dyDescent="0.2">
      <c r="J75" s="89"/>
      <c r="K75" s="89"/>
      <c r="L75" s="89"/>
      <c r="P75" s="102"/>
      <c r="Q75" s="102"/>
    </row>
    <row r="76" spans="10:17" s="73" customFormat="1" ht="12.75" x14ac:dyDescent="0.2">
      <c r="J76" s="89"/>
      <c r="K76" s="89"/>
      <c r="L76" s="89"/>
      <c r="P76" s="102"/>
      <c r="Q76" s="102"/>
    </row>
    <row r="77" spans="10:17" s="73" customFormat="1" ht="12.75" x14ac:dyDescent="0.2">
      <c r="J77" s="89"/>
      <c r="K77" s="89"/>
      <c r="L77" s="89"/>
      <c r="P77" s="102"/>
      <c r="Q77" s="102"/>
    </row>
    <row r="78" spans="10:17" s="73" customFormat="1" ht="12.75" x14ac:dyDescent="0.2">
      <c r="J78" s="89"/>
      <c r="K78" s="89"/>
      <c r="L78" s="89"/>
      <c r="P78" s="102"/>
      <c r="Q78" s="102"/>
    </row>
    <row r="79" spans="10:17" s="73" customFormat="1" ht="12.75" x14ac:dyDescent="0.2">
      <c r="J79" s="89"/>
      <c r="K79" s="89"/>
      <c r="L79" s="89"/>
      <c r="P79" s="102"/>
      <c r="Q79" s="102"/>
    </row>
    <row r="80" spans="10:17" s="73" customFormat="1" ht="12.75" x14ac:dyDescent="0.2">
      <c r="J80" s="89"/>
      <c r="K80" s="89"/>
      <c r="L80" s="89"/>
      <c r="P80" s="102"/>
      <c r="Q80" s="102"/>
    </row>
    <row r="81" spans="6:17" ht="12.75" x14ac:dyDescent="0.2">
      <c r="J81" s="89"/>
      <c r="K81" s="89"/>
      <c r="L81" s="89"/>
      <c r="P81" s="102"/>
      <c r="Q81" s="102"/>
    </row>
    <row r="82" spans="6:17" ht="12.75" x14ac:dyDescent="0.2">
      <c r="J82" s="89"/>
      <c r="K82" s="89"/>
      <c r="L82" s="89"/>
      <c r="P82" s="102"/>
      <c r="Q82" s="102"/>
    </row>
    <row r="83" spans="6:17" ht="12.75" x14ac:dyDescent="0.2">
      <c r="J83" s="89"/>
      <c r="K83" s="89"/>
      <c r="L83" s="89"/>
      <c r="P83" s="102"/>
      <c r="Q83" s="102"/>
    </row>
    <row r="84" spans="6:17" ht="12.75" x14ac:dyDescent="0.2">
      <c r="J84" s="89"/>
      <c r="K84" s="89"/>
      <c r="L84" s="89"/>
      <c r="P84" s="102"/>
      <c r="Q84" s="102"/>
    </row>
    <row r="85" spans="6:17" ht="12.75" x14ac:dyDescent="0.2">
      <c r="J85" s="89"/>
      <c r="K85" s="89"/>
      <c r="L85" s="89"/>
      <c r="P85" s="102"/>
      <c r="Q85" s="102"/>
    </row>
    <row r="86" spans="6:17" ht="12.75" x14ac:dyDescent="0.2">
      <c r="J86" s="89"/>
      <c r="K86" s="89"/>
      <c r="L86" s="89"/>
      <c r="P86" s="102"/>
      <c r="Q86" s="102"/>
    </row>
    <row r="87" spans="6:17" ht="12.75" x14ac:dyDescent="0.2">
      <c r="J87" s="89"/>
      <c r="K87" s="89"/>
      <c r="L87" s="89"/>
      <c r="P87" s="102"/>
      <c r="Q87" s="102"/>
    </row>
    <row r="88" spans="6:17" ht="12.75" x14ac:dyDescent="0.2">
      <c r="J88" s="89"/>
      <c r="K88" s="89"/>
      <c r="L88" s="89"/>
      <c r="P88" s="102"/>
      <c r="Q88" s="102"/>
    </row>
    <row r="89" spans="6:17" ht="12.75" x14ac:dyDescent="0.2">
      <c r="J89" s="89"/>
      <c r="K89" s="89"/>
      <c r="L89" s="89"/>
      <c r="P89" s="102"/>
      <c r="Q89" s="102"/>
    </row>
    <row r="90" spans="6:17" ht="12.75" x14ac:dyDescent="0.2">
      <c r="J90" s="89"/>
      <c r="K90" s="89"/>
      <c r="L90" s="89"/>
      <c r="P90" s="102"/>
      <c r="Q90" s="102"/>
    </row>
    <row r="91" spans="6:17" ht="12.75" x14ac:dyDescent="0.2">
      <c r="J91" s="89"/>
      <c r="K91" s="89"/>
      <c r="L91" s="89"/>
      <c r="P91" s="102"/>
      <c r="Q91" s="102"/>
    </row>
    <row r="92" spans="6:17" ht="12.75" x14ac:dyDescent="0.2">
      <c r="J92" s="89"/>
      <c r="K92" s="89"/>
      <c r="L92" s="89"/>
      <c r="P92" s="102"/>
      <c r="Q92" s="102"/>
    </row>
    <row r="93" spans="6:17" ht="12.75" x14ac:dyDescent="0.2">
      <c r="J93" s="89"/>
      <c r="K93" s="89"/>
      <c r="L93" s="89"/>
      <c r="P93" s="102"/>
      <c r="Q93" s="102"/>
    </row>
    <row r="94" spans="6:17" ht="12.75" x14ac:dyDescent="0.2">
      <c r="J94" s="89"/>
      <c r="K94" s="89"/>
      <c r="L94" s="89"/>
      <c r="P94" s="102"/>
      <c r="Q94" s="102"/>
    </row>
    <row r="95" spans="6:17" ht="12.75" x14ac:dyDescent="0.2">
      <c r="J95" s="89"/>
      <c r="K95" s="89"/>
      <c r="L95" s="89"/>
      <c r="P95" s="102"/>
      <c r="Q95" s="102"/>
    </row>
    <row r="96" spans="6:17" ht="12.75" x14ac:dyDescent="0.2">
      <c r="F96" s="103"/>
      <c r="G96" s="103"/>
      <c r="H96" s="104"/>
      <c r="J96" s="89"/>
      <c r="K96" s="89"/>
      <c r="L96" s="89"/>
    </row>
    <row r="97" spans="6:12" ht="12.75" x14ac:dyDescent="0.2">
      <c r="F97" s="103"/>
      <c r="G97" s="103"/>
      <c r="H97" s="104"/>
      <c r="J97" s="89"/>
      <c r="K97" s="89"/>
      <c r="L97" s="89"/>
    </row>
    <row r="98" spans="6:12" ht="12.75" x14ac:dyDescent="0.2">
      <c r="F98" s="103"/>
      <c r="G98" s="103"/>
      <c r="H98" s="104"/>
      <c r="J98" s="89"/>
      <c r="K98" s="89"/>
      <c r="L98" s="89"/>
    </row>
    <row r="99" spans="6:12" ht="12.75" x14ac:dyDescent="0.2">
      <c r="F99" s="103"/>
      <c r="G99" s="103"/>
      <c r="H99" s="104"/>
      <c r="J99" s="89"/>
      <c r="K99" s="89"/>
      <c r="L99" s="89"/>
    </row>
    <row r="100" spans="6:12" ht="12.75" x14ac:dyDescent="0.2">
      <c r="F100" s="105"/>
      <c r="G100" s="105"/>
      <c r="H100" s="89"/>
      <c r="J100" s="89"/>
      <c r="K100" s="89"/>
      <c r="L100" s="89"/>
    </row>
    <row r="101" spans="6:12" ht="12.75" x14ac:dyDescent="0.2">
      <c r="F101" s="103"/>
      <c r="G101" s="103"/>
      <c r="H101" s="89"/>
      <c r="J101" s="89"/>
      <c r="K101" s="89"/>
      <c r="L101" s="89"/>
    </row>
    <row r="102" spans="6:12" ht="12.75" x14ac:dyDescent="0.2">
      <c r="F102" s="106"/>
      <c r="G102" s="106"/>
      <c r="J102" s="89"/>
      <c r="K102" s="89"/>
      <c r="L102" s="89"/>
    </row>
    <row r="103" spans="6:12" ht="12.75" x14ac:dyDescent="0.2">
      <c r="J103" s="89"/>
      <c r="K103" s="89"/>
    </row>
    <row r="104" spans="6:12" ht="12.75" x14ac:dyDescent="0.2">
      <c r="J104" s="89"/>
      <c r="K104" s="89"/>
    </row>
  </sheetData>
  <sheetProtection algorithmName="SHA-512" hashValue="tE5MxVnIaTsDwjZw4GpjXNcq/qNOcMFBDdZMX3PxxiTThu2EUYaoIOAg/Jnb5gNxhcamIW2a646+OON1P/DSUQ==" saltValue="UVRB/VciWzwiWvLmSflA9g=="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85546875" style="73" customWidth="1"/>
    <col min="6" max="6" width="14.85546875" style="73" customWidth="1"/>
    <col min="7" max="7" width="2.7109375" style="73" customWidth="1"/>
    <col min="8" max="8" width="14.85546875" style="73" customWidth="1"/>
    <col min="9" max="9" width="14.42578125" style="73" customWidth="1"/>
    <col min="10" max="12" width="2.7109375" style="73" customWidth="1"/>
    <col min="13" max="40" width="10.7109375" style="73" customWidth="1"/>
    <col min="41" max="16384" width="9.7109375" style="73"/>
  </cols>
  <sheetData>
    <row r="1" spans="2:23" thickBot="1" x14ac:dyDescent="0.25"/>
    <row r="2" spans="2:23" ht="12.75" x14ac:dyDescent="0.2">
      <c r="B2" s="19"/>
      <c r="C2" s="20"/>
      <c r="D2" s="20"/>
      <c r="E2" s="20"/>
      <c r="F2" s="20"/>
      <c r="G2" s="20"/>
      <c r="H2" s="20"/>
      <c r="I2" s="20"/>
      <c r="J2" s="20"/>
      <c r="K2" s="23"/>
    </row>
    <row r="3" spans="2:23" ht="12.75" x14ac:dyDescent="0.2">
      <c r="B3" s="24"/>
      <c r="C3" s="25"/>
      <c r="D3" s="25"/>
      <c r="E3" s="25"/>
      <c r="F3" s="25"/>
      <c r="G3" s="25"/>
      <c r="H3" s="25"/>
      <c r="I3" s="25"/>
      <c r="J3" s="25"/>
      <c r="K3" s="28"/>
    </row>
    <row r="4" spans="2:23" ht="18" x14ac:dyDescent="0.25">
      <c r="B4" s="24"/>
      <c r="C4" s="30" t="s">
        <v>213</v>
      </c>
      <c r="D4" s="25"/>
      <c r="E4" s="25"/>
      <c r="F4" s="107"/>
      <c r="G4" s="62"/>
      <c r="H4" s="61"/>
      <c r="I4" s="25"/>
      <c r="J4" s="25"/>
      <c r="K4" s="28"/>
    </row>
    <row r="5" spans="2:23" ht="12.75" x14ac:dyDescent="0.2">
      <c r="B5" s="24"/>
      <c r="C5" s="25"/>
      <c r="D5" s="61"/>
      <c r="E5" s="25"/>
      <c r="F5" s="25"/>
      <c r="G5" s="25"/>
      <c r="H5" s="25"/>
      <c r="I5" s="25"/>
      <c r="J5" s="25"/>
      <c r="K5" s="28"/>
    </row>
    <row r="6" spans="2:23" ht="12.75" x14ac:dyDescent="0.2">
      <c r="B6" s="24"/>
      <c r="C6" s="25"/>
      <c r="D6" s="61"/>
      <c r="E6" s="25"/>
      <c r="F6" s="25"/>
      <c r="G6" s="25"/>
      <c r="H6" s="25"/>
      <c r="I6" s="25"/>
      <c r="J6" s="25"/>
      <c r="K6" s="28"/>
    </row>
    <row r="7" spans="2:23" ht="12.75" x14ac:dyDescent="0.2">
      <c r="B7" s="24"/>
      <c r="C7" s="148"/>
      <c r="D7" s="152"/>
      <c r="E7" s="148"/>
      <c r="F7" s="148"/>
      <c r="G7" s="148"/>
      <c r="H7" s="148"/>
      <c r="I7" s="148"/>
      <c r="J7" s="148"/>
      <c r="K7" s="28"/>
    </row>
    <row r="8" spans="2:23" ht="12.75" x14ac:dyDescent="0.2">
      <c r="B8" s="24"/>
      <c r="C8" s="152"/>
      <c r="D8" s="152" t="s">
        <v>214</v>
      </c>
      <c r="E8" s="148"/>
      <c r="F8" s="148"/>
      <c r="G8" s="148"/>
      <c r="H8" s="148"/>
      <c r="I8" s="148"/>
      <c r="J8" s="148"/>
      <c r="K8" s="28"/>
    </row>
    <row r="9" spans="2:23" ht="12.75" x14ac:dyDescent="0.2">
      <c r="B9" s="24"/>
      <c r="C9" s="152"/>
      <c r="D9" s="152"/>
      <c r="E9" s="148"/>
      <c r="F9" s="148"/>
      <c r="G9" s="148"/>
      <c r="H9" s="148"/>
      <c r="I9" s="148"/>
      <c r="J9" s="148"/>
      <c r="K9" s="28"/>
    </row>
    <row r="10" spans="2:23" ht="12.75" x14ac:dyDescent="0.2">
      <c r="B10" s="24"/>
      <c r="C10" s="148"/>
      <c r="D10" s="148" t="s">
        <v>156</v>
      </c>
      <c r="E10" s="148"/>
      <c r="F10" s="550" t="s">
        <v>44</v>
      </c>
      <c r="G10" s="551"/>
      <c r="H10" s="552"/>
      <c r="I10" s="148"/>
      <c r="J10" s="148"/>
      <c r="K10" s="28"/>
      <c r="P10" s="108"/>
    </row>
    <row r="11" spans="2:23" ht="12.75" x14ac:dyDescent="0.2">
      <c r="B11" s="24"/>
      <c r="C11" s="148"/>
      <c r="D11" s="148"/>
      <c r="E11" s="148"/>
      <c r="F11" s="199"/>
      <c r="G11" s="199"/>
      <c r="H11" s="199"/>
      <c r="I11" s="148"/>
      <c r="J11" s="148"/>
      <c r="K11" s="28"/>
      <c r="P11" s="108"/>
    </row>
    <row r="12" spans="2:23" ht="12.75" x14ac:dyDescent="0.2">
      <c r="B12" s="24"/>
      <c r="C12" s="25"/>
      <c r="D12" s="25"/>
      <c r="E12" s="25"/>
      <c r="F12" s="81"/>
      <c r="G12" s="81"/>
      <c r="H12" s="81"/>
      <c r="I12" s="25"/>
      <c r="J12" s="25"/>
      <c r="K12" s="28"/>
      <c r="P12" s="108"/>
    </row>
    <row r="13" spans="2:23" ht="12.75" x14ac:dyDescent="0.2">
      <c r="B13" s="24"/>
      <c r="C13" s="148"/>
      <c r="D13" s="152"/>
      <c r="E13" s="148"/>
      <c r="F13" s="199"/>
      <c r="G13" s="199"/>
      <c r="H13" s="199"/>
      <c r="I13" s="148"/>
      <c r="J13" s="148"/>
      <c r="K13" s="28"/>
      <c r="P13" s="108"/>
    </row>
    <row r="14" spans="2:23" ht="12.75" x14ac:dyDescent="0.2">
      <c r="B14" s="24"/>
      <c r="C14" s="148"/>
      <c r="D14" s="152" t="s">
        <v>46</v>
      </c>
      <c r="E14" s="148"/>
      <c r="F14" s="148"/>
      <c r="G14" s="148"/>
      <c r="H14" s="148"/>
      <c r="I14" s="148"/>
      <c r="J14" s="148"/>
      <c r="K14" s="28"/>
      <c r="P14" s="109"/>
    </row>
    <row r="15" spans="2:23" ht="12.75" x14ac:dyDescent="0.2">
      <c r="B15" s="24"/>
      <c r="C15" s="148"/>
      <c r="D15" s="152"/>
      <c r="E15" s="148"/>
      <c r="F15" s="148"/>
      <c r="G15" s="148"/>
      <c r="H15" s="148"/>
      <c r="I15" s="148"/>
      <c r="J15" s="148"/>
      <c r="K15" s="28"/>
      <c r="P15" s="110"/>
    </row>
    <row r="16" spans="2:23" ht="12.75" x14ac:dyDescent="0.2">
      <c r="B16" s="24"/>
      <c r="C16" s="148"/>
      <c r="D16" s="148" t="s">
        <v>47</v>
      </c>
      <c r="E16" s="148"/>
      <c r="F16" s="225" t="s">
        <v>5</v>
      </c>
      <c r="G16" s="151"/>
      <c r="H16" s="148"/>
      <c r="I16" s="148"/>
      <c r="J16" s="148"/>
      <c r="K16" s="28"/>
      <c r="P16" s="111" t="s">
        <v>47</v>
      </c>
      <c r="Q16" s="83" t="s">
        <v>215</v>
      </c>
      <c r="R16" s="83" t="s">
        <v>216</v>
      </c>
      <c r="S16" s="83"/>
      <c r="T16" s="83"/>
      <c r="U16" s="83"/>
      <c r="V16" s="83"/>
      <c r="W16" s="83"/>
    </row>
    <row r="17" spans="2:23" ht="12.75" x14ac:dyDescent="0.2">
      <c r="B17" s="24"/>
      <c r="C17" s="148"/>
      <c r="D17" s="148" t="s">
        <v>48</v>
      </c>
      <c r="E17" s="148"/>
      <c r="F17" s="206">
        <v>8</v>
      </c>
      <c r="G17" s="151"/>
      <c r="H17" s="278" t="s">
        <v>198</v>
      </c>
      <c r="I17" s="242">
        <f>VLOOKUP(F16,saltab2019jan,18,FALSE)</f>
        <v>12</v>
      </c>
      <c r="J17" s="148"/>
      <c r="K17" s="28"/>
      <c r="P17" s="112" t="str">
        <f>$F$16</f>
        <v>LB</v>
      </c>
      <c r="Q17" s="83">
        <f t="shared" ref="Q17:Q36" si="0">$F$17+$F$26+V17</f>
        <v>10</v>
      </c>
      <c r="R17" s="83">
        <f t="shared" ref="R17:R36" si="1">$F$17+V17</f>
        <v>8</v>
      </c>
      <c r="S17" s="113">
        <f t="shared" ref="S17:S36" si="2">IF(Q17&gt;$I$17,VLOOKUP(P17,saltab2019jan,$I$17+1,FALSE),VLOOKUP(P17,saltab2019jan,Q17+1,FALSE))*12*(1+$F$29)</f>
        <v>68708.400000000009</v>
      </c>
      <c r="T17" s="113">
        <f t="shared" ref="T17:T36" si="3">IF(R17&gt;$I$17,VLOOKUP(P17,saltab2019jan,$I$17+1,FALSE),VLOOKUP(P17,saltab2019jan,R17+1,FALSE))*12*(1+$F$29)</f>
        <v>62589</v>
      </c>
      <c r="U17" s="113">
        <f>S17-T17</f>
        <v>6119.4000000000087</v>
      </c>
      <c r="V17" s="83">
        <v>0</v>
      </c>
      <c r="W17" s="84" t="s">
        <v>5</v>
      </c>
    </row>
    <row r="18" spans="2:23" ht="12.75" x14ac:dyDescent="0.2">
      <c r="B18" s="24"/>
      <c r="C18" s="148"/>
      <c r="D18" s="148" t="s">
        <v>51</v>
      </c>
      <c r="E18" s="148"/>
      <c r="F18" s="271">
        <f>VLOOKUP(F16,saltab2019jan,F17+1,FALSE)</f>
        <v>3365</v>
      </c>
      <c r="G18" s="279"/>
      <c r="H18" s="148"/>
      <c r="I18" s="148"/>
      <c r="J18" s="148"/>
      <c r="K18" s="28"/>
      <c r="P18" s="112" t="str">
        <f t="shared" ref="P18:P36" si="4">$F$16</f>
        <v>LB</v>
      </c>
      <c r="Q18" s="83">
        <f t="shared" si="0"/>
        <v>11</v>
      </c>
      <c r="R18" s="83">
        <f t="shared" si="1"/>
        <v>9</v>
      </c>
      <c r="S18" s="113">
        <f t="shared" si="2"/>
        <v>72279.600000000006</v>
      </c>
      <c r="T18" s="113">
        <f t="shared" si="3"/>
        <v>65490.6</v>
      </c>
      <c r="U18" s="113">
        <f t="shared" ref="U18:U36" si="5">S18-T18</f>
        <v>6789.0000000000073</v>
      </c>
      <c r="V18" s="83">
        <v>1</v>
      </c>
      <c r="W18" s="84" t="s">
        <v>6</v>
      </c>
    </row>
    <row r="19" spans="2:23" ht="12.75" x14ac:dyDescent="0.2">
      <c r="B19" s="24"/>
      <c r="C19" s="148"/>
      <c r="D19" s="152" t="s">
        <v>52</v>
      </c>
      <c r="E19" s="148"/>
      <c r="F19" s="255">
        <v>1</v>
      </c>
      <c r="G19" s="244"/>
      <c r="H19" s="148"/>
      <c r="I19" s="148"/>
      <c r="J19" s="148"/>
      <c r="K19" s="28"/>
      <c r="P19" s="112" t="str">
        <f t="shared" si="4"/>
        <v>LB</v>
      </c>
      <c r="Q19" s="83">
        <f t="shared" si="0"/>
        <v>12</v>
      </c>
      <c r="R19" s="83">
        <f t="shared" si="1"/>
        <v>10</v>
      </c>
      <c r="S19" s="113">
        <f t="shared" si="2"/>
        <v>76222.8</v>
      </c>
      <c r="T19" s="113">
        <f t="shared" si="3"/>
        <v>68708.400000000009</v>
      </c>
      <c r="U19" s="113">
        <f t="shared" si="5"/>
        <v>7514.3999999999942</v>
      </c>
      <c r="V19" s="83">
        <v>2</v>
      </c>
      <c r="W19" s="84" t="s">
        <v>7</v>
      </c>
    </row>
    <row r="20" spans="2:23" ht="12.75" x14ac:dyDescent="0.2">
      <c r="B20" s="24"/>
      <c r="C20" s="148"/>
      <c r="D20" s="148" t="s">
        <v>53</v>
      </c>
      <c r="E20" s="148"/>
      <c r="F20" s="274">
        <f>+F18*F19</f>
        <v>3365</v>
      </c>
      <c r="G20" s="279"/>
      <c r="H20" s="148"/>
      <c r="I20" s="148"/>
      <c r="J20" s="148"/>
      <c r="K20" s="28"/>
      <c r="P20" s="112" t="str">
        <f t="shared" si="4"/>
        <v>LB</v>
      </c>
      <c r="Q20" s="83">
        <f t="shared" si="0"/>
        <v>13</v>
      </c>
      <c r="R20" s="83">
        <f t="shared" si="1"/>
        <v>11</v>
      </c>
      <c r="S20" s="113">
        <f t="shared" si="2"/>
        <v>76222.8</v>
      </c>
      <c r="T20" s="113">
        <f t="shared" si="3"/>
        <v>72279.600000000006</v>
      </c>
      <c r="U20" s="113">
        <f t="shared" si="5"/>
        <v>3943.1999999999971</v>
      </c>
      <c r="V20" s="83">
        <v>3</v>
      </c>
      <c r="W20" s="84" t="s">
        <v>8</v>
      </c>
    </row>
    <row r="21" spans="2:23" ht="12.75" x14ac:dyDescent="0.2">
      <c r="B21" s="24"/>
      <c r="C21" s="148"/>
      <c r="D21" s="148"/>
      <c r="E21" s="148"/>
      <c r="F21" s="151"/>
      <c r="G21" s="151"/>
      <c r="H21" s="148"/>
      <c r="I21" s="148"/>
      <c r="J21" s="148"/>
      <c r="K21" s="28"/>
      <c r="P21" s="112" t="str">
        <f t="shared" si="4"/>
        <v>LB</v>
      </c>
      <c r="Q21" s="83">
        <f t="shared" si="0"/>
        <v>14</v>
      </c>
      <c r="R21" s="83">
        <f t="shared" si="1"/>
        <v>12</v>
      </c>
      <c r="S21" s="113">
        <f t="shared" si="2"/>
        <v>76222.8</v>
      </c>
      <c r="T21" s="113">
        <f t="shared" si="3"/>
        <v>76222.8</v>
      </c>
      <c r="U21" s="113">
        <f t="shared" si="5"/>
        <v>0</v>
      </c>
      <c r="V21" s="83">
        <v>4</v>
      </c>
      <c r="W21" s="84">
        <v>1</v>
      </c>
    </row>
    <row r="22" spans="2:23" ht="12.75" x14ac:dyDescent="0.2">
      <c r="B22" s="24"/>
      <c r="C22" s="148"/>
      <c r="D22" s="152" t="s">
        <v>217</v>
      </c>
      <c r="E22" s="148"/>
      <c r="F22" s="151"/>
      <c r="G22" s="151"/>
      <c r="H22" s="148"/>
      <c r="I22" s="148"/>
      <c r="J22" s="148"/>
      <c r="K22" s="28"/>
      <c r="P22" s="112" t="str">
        <f t="shared" si="4"/>
        <v>LB</v>
      </c>
      <c r="Q22" s="83">
        <f t="shared" si="0"/>
        <v>15</v>
      </c>
      <c r="R22" s="83">
        <f t="shared" si="1"/>
        <v>13</v>
      </c>
      <c r="S22" s="113">
        <f t="shared" si="2"/>
        <v>76222.8</v>
      </c>
      <c r="T22" s="113">
        <f t="shared" si="3"/>
        <v>76222.8</v>
      </c>
      <c r="U22" s="113">
        <f t="shared" si="5"/>
        <v>0</v>
      </c>
      <c r="V22" s="83">
        <v>5</v>
      </c>
      <c r="W22" s="84">
        <v>2</v>
      </c>
    </row>
    <row r="23" spans="2:23" ht="12.75" x14ac:dyDescent="0.2">
      <c r="B23" s="24"/>
      <c r="C23" s="148"/>
      <c r="D23" s="148" t="s">
        <v>218</v>
      </c>
      <c r="E23" s="148"/>
      <c r="F23" s="225" t="s">
        <v>203</v>
      </c>
      <c r="G23" s="151"/>
      <c r="H23" s="148"/>
      <c r="I23" s="148"/>
      <c r="J23" s="148"/>
      <c r="K23" s="28"/>
      <c r="P23" s="112" t="str">
        <f t="shared" si="4"/>
        <v>LB</v>
      </c>
      <c r="Q23" s="83">
        <f t="shared" si="0"/>
        <v>16</v>
      </c>
      <c r="R23" s="83">
        <f t="shared" si="1"/>
        <v>14</v>
      </c>
      <c r="S23" s="113">
        <f t="shared" si="2"/>
        <v>76222.8</v>
      </c>
      <c r="T23" s="113">
        <f t="shared" si="3"/>
        <v>76222.8</v>
      </c>
      <c r="U23" s="113">
        <f t="shared" si="5"/>
        <v>0</v>
      </c>
      <c r="V23" s="83">
        <v>6</v>
      </c>
      <c r="W23" s="84">
        <v>3</v>
      </c>
    </row>
    <row r="24" spans="2:23" ht="12.75" x14ac:dyDescent="0.2">
      <c r="B24" s="24"/>
      <c r="C24" s="148"/>
      <c r="D24" s="148" t="s">
        <v>219</v>
      </c>
      <c r="E24" s="148"/>
      <c r="F24" s="206" t="s">
        <v>203</v>
      </c>
      <c r="G24" s="151"/>
      <c r="H24" s="148"/>
      <c r="I24" s="148"/>
      <c r="J24" s="148"/>
      <c r="K24" s="28"/>
      <c r="P24" s="112" t="str">
        <f t="shared" si="4"/>
        <v>LB</v>
      </c>
      <c r="Q24" s="83">
        <f t="shared" si="0"/>
        <v>17</v>
      </c>
      <c r="R24" s="83">
        <f t="shared" si="1"/>
        <v>15</v>
      </c>
      <c r="S24" s="113">
        <f t="shared" si="2"/>
        <v>76222.8</v>
      </c>
      <c r="T24" s="113">
        <f t="shared" si="3"/>
        <v>76222.8</v>
      </c>
      <c r="U24" s="113">
        <f t="shared" si="5"/>
        <v>0</v>
      </c>
      <c r="V24" s="83">
        <v>7</v>
      </c>
      <c r="W24" s="84">
        <v>4</v>
      </c>
    </row>
    <row r="25" spans="2:23" ht="12.75" x14ac:dyDescent="0.2">
      <c r="B25" s="24"/>
      <c r="C25" s="148"/>
      <c r="D25" s="148" t="s">
        <v>220</v>
      </c>
      <c r="E25" s="148"/>
      <c r="F25" s="206" t="s">
        <v>54</v>
      </c>
      <c r="G25" s="151"/>
      <c r="H25" s="148"/>
      <c r="I25" s="148"/>
      <c r="J25" s="148"/>
      <c r="K25" s="28"/>
      <c r="P25" s="112" t="str">
        <f t="shared" si="4"/>
        <v>LB</v>
      </c>
      <c r="Q25" s="83">
        <f t="shared" si="0"/>
        <v>18</v>
      </c>
      <c r="R25" s="83">
        <f t="shared" si="1"/>
        <v>16</v>
      </c>
      <c r="S25" s="113">
        <f t="shared" si="2"/>
        <v>76222.8</v>
      </c>
      <c r="T25" s="113">
        <f t="shared" si="3"/>
        <v>76222.8</v>
      </c>
      <c r="U25" s="113">
        <f t="shared" si="5"/>
        <v>0</v>
      </c>
      <c r="V25" s="83">
        <v>8</v>
      </c>
      <c r="W25" s="84">
        <v>5</v>
      </c>
    </row>
    <row r="26" spans="2:23" ht="12.75" x14ac:dyDescent="0.2">
      <c r="B26" s="24"/>
      <c r="C26" s="148"/>
      <c r="D26" s="148" t="s">
        <v>221</v>
      </c>
      <c r="E26" s="148"/>
      <c r="F26" s="218">
        <v>2</v>
      </c>
      <c r="G26" s="151"/>
      <c r="H26" s="148"/>
      <c r="I26" s="148"/>
      <c r="J26" s="148"/>
      <c r="K26" s="28"/>
      <c r="P26" s="112" t="str">
        <f t="shared" si="4"/>
        <v>LB</v>
      </c>
      <c r="Q26" s="83">
        <f t="shared" si="0"/>
        <v>19</v>
      </c>
      <c r="R26" s="83">
        <f t="shared" si="1"/>
        <v>17</v>
      </c>
      <c r="S26" s="113">
        <f t="shared" si="2"/>
        <v>76222.8</v>
      </c>
      <c r="T26" s="113">
        <f t="shared" si="3"/>
        <v>76222.8</v>
      </c>
      <c r="U26" s="113">
        <f t="shared" si="5"/>
        <v>0</v>
      </c>
      <c r="V26" s="83">
        <v>9</v>
      </c>
      <c r="W26" s="84">
        <v>6</v>
      </c>
    </row>
    <row r="27" spans="2:23" ht="12.75" x14ac:dyDescent="0.2">
      <c r="B27" s="24"/>
      <c r="C27" s="148"/>
      <c r="D27" s="148"/>
      <c r="E27" s="148"/>
      <c r="F27" s="151"/>
      <c r="G27" s="151"/>
      <c r="H27" s="148"/>
      <c r="I27" s="148"/>
      <c r="J27" s="148"/>
      <c r="K27" s="28"/>
      <c r="P27" s="112" t="str">
        <f t="shared" si="4"/>
        <v>LB</v>
      </c>
      <c r="Q27" s="83">
        <f t="shared" si="0"/>
        <v>20</v>
      </c>
      <c r="R27" s="83">
        <f t="shared" si="1"/>
        <v>18</v>
      </c>
      <c r="S27" s="113">
        <f t="shared" si="2"/>
        <v>76222.8</v>
      </c>
      <c r="T27" s="113">
        <f t="shared" si="3"/>
        <v>76222.8</v>
      </c>
      <c r="U27" s="113">
        <f t="shared" si="5"/>
        <v>0</v>
      </c>
      <c r="V27" s="83">
        <v>10</v>
      </c>
      <c r="W27" s="84">
        <v>7</v>
      </c>
    </row>
    <row r="28" spans="2:23" ht="12.75" x14ac:dyDescent="0.2">
      <c r="B28" s="24"/>
      <c r="C28" s="148"/>
      <c r="D28" s="148" t="s">
        <v>222</v>
      </c>
      <c r="E28" s="148"/>
      <c r="F28" s="233">
        <f>IF(F17+F26&gt;I17,"verkeerde invoer",(VLOOKUP(F16,saltab2019jan,F17+F26+1,FALSE)-VLOOKUP(F16,saltab2019jan,F17+1,FALSE))*F19)</f>
        <v>329</v>
      </c>
      <c r="G28" s="239"/>
      <c r="H28" s="148"/>
      <c r="I28" s="148"/>
      <c r="J28" s="148"/>
      <c r="K28" s="28"/>
      <c r="P28" s="112" t="str">
        <f t="shared" si="4"/>
        <v>LB</v>
      </c>
      <c r="Q28" s="83">
        <f t="shared" si="0"/>
        <v>21</v>
      </c>
      <c r="R28" s="83">
        <f t="shared" si="1"/>
        <v>19</v>
      </c>
      <c r="S28" s="113">
        <f t="shared" si="2"/>
        <v>76222.8</v>
      </c>
      <c r="T28" s="113">
        <f t="shared" si="3"/>
        <v>76222.8</v>
      </c>
      <c r="U28" s="113">
        <f t="shared" si="5"/>
        <v>0</v>
      </c>
      <c r="V28" s="83">
        <v>11</v>
      </c>
      <c r="W28" s="84">
        <v>8</v>
      </c>
    </row>
    <row r="29" spans="2:23" ht="12.75" x14ac:dyDescent="0.2">
      <c r="B29" s="24"/>
      <c r="C29" s="148"/>
      <c r="D29" s="148" t="s">
        <v>207</v>
      </c>
      <c r="E29" s="148"/>
      <c r="F29" s="214">
        <f>+tabellen!C29</f>
        <v>0.55000000000000004</v>
      </c>
      <c r="G29" s="267"/>
      <c r="H29" s="148"/>
      <c r="I29" s="148"/>
      <c r="J29" s="148"/>
      <c r="K29" s="28"/>
      <c r="P29" s="112" t="str">
        <f t="shared" si="4"/>
        <v>LB</v>
      </c>
      <c r="Q29" s="83">
        <f t="shared" si="0"/>
        <v>22</v>
      </c>
      <c r="R29" s="83">
        <f t="shared" si="1"/>
        <v>20</v>
      </c>
      <c r="S29" s="113">
        <f t="shared" si="2"/>
        <v>76222.8</v>
      </c>
      <c r="T29" s="113">
        <f t="shared" si="3"/>
        <v>76222.8</v>
      </c>
      <c r="U29" s="113">
        <f t="shared" si="5"/>
        <v>0</v>
      </c>
      <c r="V29" s="83">
        <v>12</v>
      </c>
      <c r="W29" s="84">
        <v>9</v>
      </c>
    </row>
    <row r="30" spans="2:23" ht="12.75" x14ac:dyDescent="0.2">
      <c r="B30" s="24"/>
      <c r="C30" s="148"/>
      <c r="D30" s="148" t="s">
        <v>208</v>
      </c>
      <c r="E30" s="148"/>
      <c r="F30" s="272">
        <f>+F28*12*(1+F29)</f>
        <v>6119.4000000000005</v>
      </c>
      <c r="G30" s="279"/>
      <c r="H30" s="148"/>
      <c r="I30" s="148"/>
      <c r="J30" s="148"/>
      <c r="K30" s="28"/>
      <c r="P30" s="112" t="str">
        <f t="shared" si="4"/>
        <v>LB</v>
      </c>
      <c r="Q30" s="83">
        <f t="shared" si="0"/>
        <v>23</v>
      </c>
      <c r="R30" s="83">
        <f t="shared" si="1"/>
        <v>21</v>
      </c>
      <c r="S30" s="113">
        <f t="shared" si="2"/>
        <v>76222.8</v>
      </c>
      <c r="T30" s="113">
        <f t="shared" si="3"/>
        <v>76222.8</v>
      </c>
      <c r="U30" s="113">
        <f t="shared" si="5"/>
        <v>0</v>
      </c>
      <c r="V30" s="83">
        <v>13</v>
      </c>
      <c r="W30" s="84">
        <v>10</v>
      </c>
    </row>
    <row r="31" spans="2:23" ht="12.75" x14ac:dyDescent="0.2">
      <c r="B31" s="24"/>
      <c r="C31" s="148"/>
      <c r="D31" s="148" t="s">
        <v>223</v>
      </c>
      <c r="E31" s="148"/>
      <c r="F31" s="273">
        <f>IF(F26=0,0,+I17-F17)</f>
        <v>4</v>
      </c>
      <c r="G31" s="151"/>
      <c r="H31" s="148"/>
      <c r="I31" s="148"/>
      <c r="J31" s="148"/>
      <c r="K31" s="28"/>
      <c r="P31" s="112" t="str">
        <f t="shared" si="4"/>
        <v>LB</v>
      </c>
      <c r="Q31" s="83">
        <f t="shared" si="0"/>
        <v>24</v>
      </c>
      <c r="R31" s="83">
        <f t="shared" si="1"/>
        <v>22</v>
      </c>
      <c r="S31" s="113">
        <f t="shared" si="2"/>
        <v>76222.8</v>
      </c>
      <c r="T31" s="113">
        <f t="shared" si="3"/>
        <v>76222.8</v>
      </c>
      <c r="U31" s="113">
        <f t="shared" si="5"/>
        <v>0</v>
      </c>
      <c r="V31" s="83">
        <v>14</v>
      </c>
      <c r="W31" s="84">
        <v>11</v>
      </c>
    </row>
    <row r="32" spans="2:23" ht="12.75" x14ac:dyDescent="0.2">
      <c r="B32" s="24"/>
      <c r="C32" s="148"/>
      <c r="D32" s="148" t="s">
        <v>210</v>
      </c>
      <c r="E32" s="148"/>
      <c r="F32" s="224">
        <f>U39*F19</f>
        <v>6091.5000000000018</v>
      </c>
      <c r="G32" s="268"/>
      <c r="H32" s="171"/>
      <c r="I32" s="148"/>
      <c r="J32" s="148"/>
      <c r="K32" s="28"/>
      <c r="P32" s="112" t="str">
        <f t="shared" si="4"/>
        <v>LB</v>
      </c>
      <c r="Q32" s="83">
        <f t="shared" si="0"/>
        <v>25</v>
      </c>
      <c r="R32" s="83">
        <f t="shared" si="1"/>
        <v>23</v>
      </c>
      <c r="S32" s="113">
        <f t="shared" si="2"/>
        <v>76222.8</v>
      </c>
      <c r="T32" s="113">
        <f t="shared" si="3"/>
        <v>76222.8</v>
      </c>
      <c r="U32" s="113">
        <f t="shared" si="5"/>
        <v>0</v>
      </c>
      <c r="V32" s="83">
        <v>15</v>
      </c>
      <c r="W32" s="84">
        <v>12</v>
      </c>
    </row>
    <row r="33" spans="2:23" ht="12.75" x14ac:dyDescent="0.2">
      <c r="B33" s="24"/>
      <c r="C33" s="148"/>
      <c r="D33" s="148"/>
      <c r="E33" s="148"/>
      <c r="F33" s="268"/>
      <c r="G33" s="268"/>
      <c r="H33" s="171"/>
      <c r="I33" s="148"/>
      <c r="J33" s="148"/>
      <c r="K33" s="28"/>
      <c r="P33" s="112" t="str">
        <f t="shared" si="4"/>
        <v>LB</v>
      </c>
      <c r="Q33" s="83">
        <f t="shared" si="0"/>
        <v>26</v>
      </c>
      <c r="R33" s="83">
        <f t="shared" si="1"/>
        <v>24</v>
      </c>
      <c r="S33" s="113">
        <f t="shared" si="2"/>
        <v>76222.8</v>
      </c>
      <c r="T33" s="113">
        <f t="shared" si="3"/>
        <v>76222.8</v>
      </c>
      <c r="U33" s="113">
        <f t="shared" si="5"/>
        <v>0</v>
      </c>
      <c r="V33" s="83">
        <v>16</v>
      </c>
      <c r="W33" s="84">
        <v>13</v>
      </c>
    </row>
    <row r="34" spans="2:23" ht="12.75" x14ac:dyDescent="0.2">
      <c r="B34" s="24"/>
      <c r="C34" s="148"/>
      <c r="D34" s="152" t="s">
        <v>224</v>
      </c>
      <c r="E34" s="148"/>
      <c r="F34" s="261">
        <f>U38*F19</f>
        <v>24366.000000000007</v>
      </c>
      <c r="G34" s="269"/>
      <c r="H34" s="148"/>
      <c r="I34" s="148"/>
      <c r="J34" s="148"/>
      <c r="K34" s="28"/>
      <c r="P34" s="112" t="str">
        <f t="shared" si="4"/>
        <v>LB</v>
      </c>
      <c r="Q34" s="83">
        <f t="shared" si="0"/>
        <v>27</v>
      </c>
      <c r="R34" s="83">
        <f t="shared" si="1"/>
        <v>25</v>
      </c>
      <c r="S34" s="113">
        <f t="shared" si="2"/>
        <v>76222.8</v>
      </c>
      <c r="T34" s="113">
        <f t="shared" si="3"/>
        <v>76222.8</v>
      </c>
      <c r="U34" s="113">
        <f t="shared" si="5"/>
        <v>0</v>
      </c>
      <c r="V34" s="83">
        <v>17</v>
      </c>
      <c r="W34" s="84">
        <v>14</v>
      </c>
    </row>
    <row r="35" spans="2:23" ht="12.75" x14ac:dyDescent="0.2">
      <c r="B35" s="24"/>
      <c r="C35" s="148"/>
      <c r="D35" s="148"/>
      <c r="E35" s="148"/>
      <c r="F35" s="148"/>
      <c r="G35" s="148"/>
      <c r="H35" s="148"/>
      <c r="I35" s="148"/>
      <c r="J35" s="148"/>
      <c r="K35" s="28"/>
      <c r="P35" s="112" t="str">
        <f t="shared" si="4"/>
        <v>LB</v>
      </c>
      <c r="Q35" s="83">
        <f t="shared" si="0"/>
        <v>28</v>
      </c>
      <c r="R35" s="83">
        <f t="shared" si="1"/>
        <v>26</v>
      </c>
      <c r="S35" s="113">
        <f t="shared" si="2"/>
        <v>76222.8</v>
      </c>
      <c r="T35" s="113">
        <f t="shared" si="3"/>
        <v>76222.8</v>
      </c>
      <c r="U35" s="113">
        <f t="shared" si="5"/>
        <v>0</v>
      </c>
      <c r="V35" s="83">
        <v>18</v>
      </c>
      <c r="W35" s="84">
        <v>15</v>
      </c>
    </row>
    <row r="36" spans="2:23" ht="12.75" x14ac:dyDescent="0.2">
      <c r="B36" s="24"/>
      <c r="C36" s="25"/>
      <c r="D36" s="25"/>
      <c r="E36" s="25"/>
      <c r="F36" s="25"/>
      <c r="G36" s="25"/>
      <c r="H36" s="25"/>
      <c r="I36" s="25"/>
      <c r="J36" s="25"/>
      <c r="K36" s="28"/>
      <c r="P36" s="112" t="str">
        <f t="shared" si="4"/>
        <v>LB</v>
      </c>
      <c r="Q36" s="83">
        <f t="shared" si="0"/>
        <v>29</v>
      </c>
      <c r="R36" s="83">
        <f t="shared" si="1"/>
        <v>27</v>
      </c>
      <c r="S36" s="113">
        <f t="shared" si="2"/>
        <v>76222.8</v>
      </c>
      <c r="T36" s="113">
        <f t="shared" si="3"/>
        <v>76222.8</v>
      </c>
      <c r="U36" s="113">
        <f t="shared" si="5"/>
        <v>0</v>
      </c>
      <c r="V36" s="83">
        <v>19</v>
      </c>
      <c r="W36" s="84">
        <v>16</v>
      </c>
    </row>
    <row r="37" spans="2:23" ht="12.75" x14ac:dyDescent="0.2">
      <c r="B37" s="24"/>
      <c r="C37" s="148"/>
      <c r="D37" s="148"/>
      <c r="E37" s="148"/>
      <c r="F37" s="148"/>
      <c r="G37" s="148"/>
      <c r="H37" s="148"/>
      <c r="I37" s="148"/>
      <c r="J37" s="148"/>
      <c r="K37" s="28"/>
      <c r="P37" s="114"/>
      <c r="Q37" s="83"/>
      <c r="R37" s="83"/>
      <c r="S37" s="83"/>
      <c r="T37" s="83"/>
      <c r="U37" s="83"/>
      <c r="V37" s="83"/>
      <c r="W37" s="84">
        <v>17</v>
      </c>
    </row>
    <row r="38" spans="2:23" ht="12.75" x14ac:dyDescent="0.2">
      <c r="B38" s="24"/>
      <c r="C38" s="148"/>
      <c r="D38" s="152" t="s">
        <v>225</v>
      </c>
      <c r="E38" s="148"/>
      <c r="F38" s="148"/>
      <c r="G38" s="148"/>
      <c r="H38" s="148"/>
      <c r="I38" s="148"/>
      <c r="J38" s="148"/>
      <c r="K38" s="28"/>
      <c r="P38" s="114"/>
      <c r="Q38" s="83"/>
      <c r="R38" s="83"/>
      <c r="S38" s="83"/>
      <c r="T38" s="83"/>
      <c r="U38" s="113">
        <f>SUM(U17:U36)</f>
        <v>24366.000000000007</v>
      </c>
      <c r="V38" s="83"/>
      <c r="W38" s="84" t="s">
        <v>9</v>
      </c>
    </row>
    <row r="39" spans="2:23" ht="12.75" x14ac:dyDescent="0.2">
      <c r="B39" s="24"/>
      <c r="C39" s="148"/>
      <c r="D39" s="152"/>
      <c r="E39" s="148"/>
      <c r="F39" s="148"/>
      <c r="G39" s="148"/>
      <c r="H39" s="148"/>
      <c r="I39" s="148"/>
      <c r="J39" s="148"/>
      <c r="K39" s="28"/>
      <c r="P39" s="114"/>
      <c r="Q39" s="83"/>
      <c r="R39" s="83"/>
      <c r="S39" s="83"/>
      <c r="T39" s="83"/>
      <c r="U39" s="113">
        <f>IF(F31=0,0,U38/F31)</f>
        <v>6091.5000000000018</v>
      </c>
      <c r="V39" s="83"/>
      <c r="W39" s="84" t="s">
        <v>10</v>
      </c>
    </row>
    <row r="40" spans="2:23" ht="12.75" x14ac:dyDescent="0.2">
      <c r="B40" s="24"/>
      <c r="C40" s="148"/>
      <c r="D40" s="148" t="s">
        <v>226</v>
      </c>
      <c r="E40" s="148"/>
      <c r="F40" s="544" t="s">
        <v>268</v>
      </c>
      <c r="G40" s="549"/>
      <c r="H40" s="545"/>
      <c r="I40" s="199"/>
      <c r="J40" s="148"/>
      <c r="K40" s="28"/>
      <c r="P40" s="83"/>
      <c r="Q40" s="83"/>
      <c r="R40" s="83"/>
      <c r="S40" s="83"/>
      <c r="T40" s="83"/>
      <c r="U40" s="83"/>
      <c r="V40" s="83"/>
      <c r="W40" s="84" t="s">
        <v>11</v>
      </c>
    </row>
    <row r="41" spans="2:23" ht="12.75" x14ac:dyDescent="0.2">
      <c r="B41" s="24"/>
      <c r="C41" s="148"/>
      <c r="D41" s="148"/>
      <c r="E41" s="148"/>
      <c r="F41" s="186"/>
      <c r="G41" s="186"/>
      <c r="H41" s="199"/>
      <c r="I41" s="199"/>
      <c r="J41" s="148"/>
      <c r="K41" s="28"/>
      <c r="P41" s="83"/>
      <c r="Q41" s="83"/>
      <c r="R41" s="83"/>
      <c r="S41" s="83"/>
      <c r="T41" s="83"/>
      <c r="U41" s="83"/>
      <c r="V41" s="83"/>
      <c r="W41" s="84" t="s">
        <v>12</v>
      </c>
    </row>
    <row r="42" spans="2:23" ht="12.75" x14ac:dyDescent="0.2">
      <c r="B42" s="24"/>
      <c r="C42" s="148"/>
      <c r="D42" s="188" t="s">
        <v>174</v>
      </c>
      <c r="E42" s="148"/>
      <c r="F42" s="148"/>
      <c r="G42" s="148"/>
      <c r="H42" s="148"/>
      <c r="I42" s="148"/>
      <c r="J42" s="148"/>
      <c r="K42" s="28"/>
      <c r="P42" s="83"/>
      <c r="Q42" s="83"/>
      <c r="R42" s="83"/>
      <c r="S42" s="83"/>
      <c r="T42" s="83"/>
      <c r="U42" s="83"/>
      <c r="V42" s="83"/>
      <c r="W42" s="83"/>
    </row>
    <row r="43" spans="2:23" ht="12.75" x14ac:dyDescent="0.2">
      <c r="B43" s="24"/>
      <c r="C43" s="148"/>
      <c r="D43" s="148" t="s">
        <v>175</v>
      </c>
      <c r="E43" s="148"/>
      <c r="F43" s="237">
        <v>500</v>
      </c>
      <c r="G43" s="280"/>
      <c r="H43" s="148"/>
      <c r="I43" s="148"/>
      <c r="J43" s="148"/>
      <c r="K43" s="28"/>
    </row>
    <row r="44" spans="2:23" ht="12.75" x14ac:dyDescent="0.2">
      <c r="B44" s="24"/>
      <c r="C44" s="148"/>
      <c r="D44" s="148" t="s">
        <v>177</v>
      </c>
      <c r="E44" s="148"/>
      <c r="F44" s="214">
        <v>0.75</v>
      </c>
      <c r="G44" s="267"/>
      <c r="H44" s="148"/>
      <c r="I44" s="148"/>
      <c r="J44" s="148"/>
      <c r="K44" s="28"/>
    </row>
    <row r="45" spans="2:23" ht="12.75" x14ac:dyDescent="0.2">
      <c r="B45" s="24"/>
      <c r="C45" s="148"/>
      <c r="D45" s="148" t="s">
        <v>227</v>
      </c>
      <c r="E45" s="148"/>
      <c r="F45" s="275">
        <f>ROUND(+F43*F44,0)</f>
        <v>375</v>
      </c>
      <c r="G45" s="280"/>
      <c r="H45" s="148"/>
      <c r="I45" s="148"/>
      <c r="J45" s="148"/>
      <c r="K45" s="28"/>
    </row>
    <row r="46" spans="2:23" ht="12.75" x14ac:dyDescent="0.2">
      <c r="B46" s="24"/>
      <c r="C46" s="148"/>
      <c r="D46" s="148"/>
      <c r="E46" s="148"/>
      <c r="F46" s="151"/>
      <c r="G46" s="151"/>
      <c r="H46" s="148"/>
      <c r="I46" s="148"/>
      <c r="J46" s="148"/>
      <c r="K46" s="28"/>
    </row>
    <row r="47" spans="2:23" ht="12.75" x14ac:dyDescent="0.2">
      <c r="B47" s="24"/>
      <c r="C47" s="148"/>
      <c r="D47" s="148" t="s">
        <v>228</v>
      </c>
      <c r="E47" s="148"/>
      <c r="F47" s="277">
        <v>0.02</v>
      </c>
      <c r="G47" s="165"/>
      <c r="H47" s="148"/>
      <c r="I47" s="148"/>
      <c r="J47" s="171"/>
      <c r="K47" s="93"/>
    </row>
    <row r="48" spans="2:23" ht="12.75" x14ac:dyDescent="0.2">
      <c r="B48" s="24"/>
      <c r="C48" s="148"/>
      <c r="D48" s="148" t="s">
        <v>227</v>
      </c>
      <c r="E48" s="148"/>
      <c r="F48" s="215">
        <f>ROUND(+F45*F47,0)</f>
        <v>8</v>
      </c>
      <c r="G48" s="280"/>
      <c r="H48" s="148"/>
      <c r="I48" s="148"/>
      <c r="J48" s="171"/>
      <c r="K48" s="93"/>
    </row>
    <row r="49" spans="2:14" ht="12.75" x14ac:dyDescent="0.2">
      <c r="B49" s="24"/>
      <c r="C49" s="148"/>
      <c r="D49" s="148" t="s">
        <v>229</v>
      </c>
      <c r="E49" s="148"/>
      <c r="F49" s="276">
        <v>4300</v>
      </c>
      <c r="G49" s="268"/>
      <c r="H49" s="148"/>
      <c r="I49" s="148"/>
      <c r="J49" s="171"/>
      <c r="K49" s="93"/>
    </row>
    <row r="50" spans="2:14" ht="12.75" x14ac:dyDescent="0.2">
      <c r="B50" s="24"/>
      <c r="C50" s="148"/>
      <c r="D50" s="148"/>
      <c r="E50" s="148"/>
      <c r="F50" s="268"/>
      <c r="G50" s="268"/>
      <c r="H50" s="148"/>
      <c r="I50" s="148"/>
      <c r="J50" s="171"/>
      <c r="K50" s="93"/>
    </row>
    <row r="51" spans="2:14" s="92" customFormat="1" ht="12.75" x14ac:dyDescent="0.2">
      <c r="B51" s="39"/>
      <c r="C51" s="152"/>
      <c r="D51" s="152" t="s">
        <v>230</v>
      </c>
      <c r="E51" s="152"/>
      <c r="F51" s="261">
        <f>+F48*F49</f>
        <v>34400</v>
      </c>
      <c r="G51" s="269"/>
      <c r="H51" s="152"/>
      <c r="I51" s="152"/>
      <c r="J51" s="187"/>
      <c r="K51" s="94"/>
    </row>
    <row r="52" spans="2:14" ht="12.75" x14ac:dyDescent="0.2">
      <c r="B52" s="24"/>
      <c r="C52" s="148"/>
      <c r="D52" s="152"/>
      <c r="E52" s="148"/>
      <c r="F52" s="148"/>
      <c r="G52" s="148"/>
      <c r="H52" s="148"/>
      <c r="I52" s="148"/>
      <c r="J52" s="171"/>
      <c r="K52" s="93"/>
    </row>
    <row r="53" spans="2:14" ht="12.75" x14ac:dyDescent="0.2">
      <c r="B53" s="24"/>
      <c r="C53" s="25"/>
      <c r="D53" s="25"/>
      <c r="E53" s="25"/>
      <c r="F53" s="25"/>
      <c r="G53" s="25"/>
      <c r="H53" s="25"/>
      <c r="I53" s="25"/>
      <c r="J53" s="48"/>
      <c r="K53" s="93"/>
    </row>
    <row r="54" spans="2:14" thickBot="1" x14ac:dyDescent="0.25">
      <c r="B54" s="49"/>
      <c r="C54" s="50"/>
      <c r="D54" s="50"/>
      <c r="E54" s="50"/>
      <c r="F54" s="50"/>
      <c r="G54" s="50"/>
      <c r="H54" s="50"/>
      <c r="I54" s="50"/>
      <c r="J54" s="115" t="s">
        <v>75</v>
      </c>
      <c r="K54" s="96"/>
    </row>
    <row r="55" spans="2:14" ht="12.75" x14ac:dyDescent="0.2">
      <c r="J55" s="97"/>
      <c r="K55" s="89"/>
    </row>
    <row r="56" spans="2:14" ht="12.75" x14ac:dyDescent="0.2">
      <c r="J56" s="97"/>
      <c r="K56" s="89"/>
    </row>
    <row r="57" spans="2:14" ht="12.75" x14ac:dyDescent="0.2">
      <c r="J57" s="97"/>
      <c r="K57" s="89"/>
    </row>
    <row r="58" spans="2:14" ht="12.75" x14ac:dyDescent="0.2">
      <c r="J58" s="89"/>
      <c r="K58" s="89"/>
    </row>
    <row r="59" spans="2:14" ht="12.75" x14ac:dyDescent="0.2">
      <c r="J59" s="89"/>
      <c r="K59" s="89"/>
      <c r="L59" s="102"/>
      <c r="M59" s="102"/>
      <c r="N59" s="102"/>
    </row>
    <row r="60" spans="2:14" ht="12.75" x14ac:dyDescent="0.2">
      <c r="J60" s="89"/>
      <c r="K60" s="89"/>
      <c r="M60" s="102"/>
      <c r="N60" s="102"/>
    </row>
    <row r="61" spans="2:14" ht="12.75" x14ac:dyDescent="0.2">
      <c r="J61" s="89"/>
      <c r="K61" s="89"/>
      <c r="M61" s="102"/>
      <c r="N61" s="102"/>
    </row>
    <row r="62" spans="2:14" ht="12.75" x14ac:dyDescent="0.2">
      <c r="J62" s="89"/>
      <c r="K62" s="89"/>
      <c r="M62" s="102"/>
      <c r="N62" s="102"/>
    </row>
    <row r="63" spans="2:14" ht="12.75" x14ac:dyDescent="0.2">
      <c r="J63" s="89"/>
      <c r="K63" s="89"/>
      <c r="M63" s="102"/>
      <c r="N63" s="102"/>
    </row>
    <row r="64" spans="2:14" ht="12.75" x14ac:dyDescent="0.2">
      <c r="J64" s="89"/>
      <c r="K64" s="89"/>
      <c r="M64" s="102"/>
      <c r="N64" s="102"/>
    </row>
    <row r="65" spans="10:14" ht="12.75" x14ac:dyDescent="0.2">
      <c r="J65" s="89"/>
      <c r="K65" s="89"/>
      <c r="M65" s="102"/>
      <c r="N65" s="102"/>
    </row>
    <row r="66" spans="10:14" ht="12.75" x14ac:dyDescent="0.2">
      <c r="J66" s="89"/>
      <c r="K66" s="89"/>
      <c r="M66" s="102"/>
      <c r="N66" s="102"/>
    </row>
    <row r="67" spans="10:14" ht="12.75" x14ac:dyDescent="0.2">
      <c r="J67" s="89"/>
      <c r="K67" s="89"/>
      <c r="M67" s="102"/>
      <c r="N67" s="102"/>
    </row>
    <row r="68" spans="10:14" ht="12.75" x14ac:dyDescent="0.2">
      <c r="J68" s="89"/>
      <c r="K68" s="89"/>
      <c r="M68" s="102"/>
      <c r="N68" s="102"/>
    </row>
    <row r="69" spans="10:14" ht="12.75" x14ac:dyDescent="0.2">
      <c r="J69" s="89"/>
      <c r="K69" s="89"/>
      <c r="M69" s="102"/>
      <c r="N69" s="102"/>
    </row>
    <row r="70" spans="10:14" ht="12.75" x14ac:dyDescent="0.2">
      <c r="J70" s="89"/>
      <c r="K70" s="89"/>
      <c r="M70" s="102"/>
      <c r="N70" s="102"/>
    </row>
    <row r="71" spans="10:14" ht="12.75" x14ac:dyDescent="0.2">
      <c r="J71" s="89"/>
      <c r="K71" s="89"/>
      <c r="M71" s="102"/>
      <c r="N71" s="102"/>
    </row>
    <row r="72" spans="10:14" ht="12.75" x14ac:dyDescent="0.2">
      <c r="J72" s="89"/>
      <c r="K72" s="89"/>
      <c r="M72" s="102"/>
      <c r="N72" s="102"/>
    </row>
    <row r="73" spans="10:14" ht="12.75" x14ac:dyDescent="0.2">
      <c r="J73" s="89"/>
      <c r="K73" s="89"/>
      <c r="M73" s="102"/>
      <c r="N73" s="102"/>
    </row>
    <row r="74" spans="10:14" ht="12.75" x14ac:dyDescent="0.2">
      <c r="J74" s="89"/>
      <c r="K74" s="89"/>
      <c r="M74" s="102"/>
      <c r="N74" s="102"/>
    </row>
    <row r="75" spans="10:14" ht="12.75" x14ac:dyDescent="0.2">
      <c r="J75" s="89"/>
      <c r="K75" s="89"/>
      <c r="M75" s="102"/>
      <c r="N75" s="102"/>
    </row>
    <row r="76" spans="10:14" ht="12.75" x14ac:dyDescent="0.2">
      <c r="J76" s="89"/>
      <c r="K76" s="89"/>
      <c r="M76" s="102"/>
      <c r="N76" s="102"/>
    </row>
    <row r="77" spans="10:14" ht="12.75" x14ac:dyDescent="0.2">
      <c r="J77" s="89"/>
      <c r="K77" s="89"/>
      <c r="M77" s="102"/>
      <c r="N77" s="102"/>
    </row>
    <row r="78" spans="10:14" ht="12.75" x14ac:dyDescent="0.2">
      <c r="J78" s="89"/>
      <c r="K78" s="89"/>
      <c r="M78" s="102"/>
      <c r="N78" s="102"/>
    </row>
    <row r="79" spans="10:14" ht="12.75" x14ac:dyDescent="0.2">
      <c r="J79" s="89"/>
      <c r="K79" s="89"/>
      <c r="M79" s="102"/>
      <c r="N79" s="102"/>
    </row>
    <row r="80" spans="10:14" ht="12.75" x14ac:dyDescent="0.2">
      <c r="J80" s="89"/>
      <c r="K80" s="89"/>
      <c r="M80" s="102"/>
      <c r="N80" s="102"/>
    </row>
    <row r="81" spans="6:14" ht="12.75" x14ac:dyDescent="0.2">
      <c r="J81" s="89"/>
      <c r="K81" s="89"/>
      <c r="M81" s="102"/>
      <c r="N81" s="102"/>
    </row>
    <row r="82" spans="6:14" ht="12.75" x14ac:dyDescent="0.2">
      <c r="J82" s="89"/>
      <c r="K82" s="89"/>
      <c r="M82" s="102"/>
      <c r="N82" s="102"/>
    </row>
    <row r="83" spans="6:14" ht="12.75" x14ac:dyDescent="0.2">
      <c r="J83" s="89"/>
      <c r="K83" s="89"/>
      <c r="M83" s="102"/>
      <c r="N83" s="102"/>
    </row>
    <row r="84" spans="6:14" ht="12.75" x14ac:dyDescent="0.2">
      <c r="J84" s="89"/>
      <c r="K84" s="89"/>
      <c r="M84" s="102"/>
      <c r="N84" s="102"/>
    </row>
    <row r="85" spans="6:14" ht="12.75" x14ac:dyDescent="0.2">
      <c r="J85" s="89"/>
      <c r="K85" s="89"/>
      <c r="M85" s="102"/>
      <c r="N85" s="102"/>
    </row>
    <row r="86" spans="6:14" ht="12.75" x14ac:dyDescent="0.2">
      <c r="J86" s="89"/>
      <c r="K86" s="89"/>
      <c r="M86" s="102"/>
      <c r="N86" s="102"/>
    </row>
    <row r="87" spans="6:14" ht="12.75" x14ac:dyDescent="0.2">
      <c r="J87" s="89"/>
      <c r="K87" s="89"/>
      <c r="M87" s="102"/>
      <c r="N87" s="102"/>
    </row>
    <row r="88" spans="6:14" ht="12.75" x14ac:dyDescent="0.2">
      <c r="J88" s="89"/>
      <c r="K88" s="89"/>
      <c r="M88" s="102"/>
      <c r="N88" s="102"/>
    </row>
    <row r="89" spans="6:14" ht="12.75" x14ac:dyDescent="0.2">
      <c r="J89" s="89"/>
      <c r="K89" s="89"/>
      <c r="M89" s="102"/>
      <c r="N89" s="102"/>
    </row>
    <row r="90" spans="6:14" ht="12.75" x14ac:dyDescent="0.2">
      <c r="F90" s="116"/>
      <c r="G90" s="116"/>
      <c r="H90" s="116"/>
      <c r="J90" s="89"/>
      <c r="K90" s="89"/>
      <c r="M90" s="102"/>
      <c r="N90" s="102"/>
    </row>
    <row r="91" spans="6:14" ht="12.75" x14ac:dyDescent="0.2">
      <c r="F91" s="116"/>
      <c r="G91" s="116"/>
      <c r="H91" s="116"/>
      <c r="J91" s="89"/>
      <c r="K91" s="89"/>
      <c r="M91" s="102"/>
      <c r="N91" s="102"/>
    </row>
    <row r="92" spans="6:14" ht="12.75" x14ac:dyDescent="0.2">
      <c r="F92" s="116"/>
      <c r="G92" s="116"/>
      <c r="H92" s="116"/>
      <c r="J92" s="89"/>
      <c r="K92" s="89"/>
      <c r="M92" s="102"/>
      <c r="N92" s="102"/>
    </row>
    <row r="93" spans="6:14" ht="12.75" x14ac:dyDescent="0.2">
      <c r="F93" s="116"/>
      <c r="G93" s="116"/>
      <c r="H93" s="116"/>
      <c r="J93" s="89"/>
      <c r="K93" s="89"/>
      <c r="M93" s="102"/>
      <c r="N93" s="102"/>
    </row>
    <row r="94" spans="6:14" ht="12.75" x14ac:dyDescent="0.2">
      <c r="F94" s="116"/>
      <c r="G94" s="116"/>
      <c r="H94" s="116"/>
      <c r="J94" s="89"/>
      <c r="K94" s="89"/>
      <c r="M94" s="102"/>
      <c r="N94" s="102"/>
    </row>
    <row r="95" spans="6:14" ht="12.75" x14ac:dyDescent="0.2">
      <c r="F95" s="116"/>
      <c r="G95" s="116"/>
      <c r="H95" s="116"/>
      <c r="J95" s="89"/>
      <c r="K95" s="89"/>
      <c r="M95" s="102"/>
      <c r="N95" s="102"/>
    </row>
    <row r="96" spans="6:14" ht="12.75" x14ac:dyDescent="0.2">
      <c r="F96" s="116"/>
      <c r="G96" s="116"/>
      <c r="H96" s="116"/>
      <c r="J96" s="89"/>
      <c r="K96" s="89"/>
      <c r="M96" s="102"/>
      <c r="N96" s="102"/>
    </row>
    <row r="97" spans="6:14" ht="12.75" x14ac:dyDescent="0.2">
      <c r="F97" s="116"/>
      <c r="G97" s="116"/>
      <c r="H97" s="116"/>
      <c r="J97" s="89"/>
      <c r="K97" s="89"/>
      <c r="M97" s="102"/>
      <c r="N97" s="102"/>
    </row>
    <row r="98" spans="6:14" ht="12.75" x14ac:dyDescent="0.2">
      <c r="F98" s="116"/>
      <c r="G98" s="116"/>
      <c r="H98" s="116"/>
      <c r="J98" s="89"/>
      <c r="K98" s="89"/>
      <c r="M98" s="102"/>
      <c r="N98" s="102"/>
    </row>
    <row r="99" spans="6:14" ht="12.75" x14ac:dyDescent="0.2">
      <c r="F99" s="117"/>
      <c r="G99" s="117"/>
      <c r="H99" s="104"/>
      <c r="J99" s="89"/>
      <c r="K99" s="89"/>
      <c r="M99" s="102"/>
      <c r="N99" s="102"/>
    </row>
    <row r="100" spans="6:14" ht="12.75" x14ac:dyDescent="0.2">
      <c r="F100" s="117"/>
      <c r="G100" s="117"/>
      <c r="H100" s="104"/>
      <c r="J100" s="89"/>
      <c r="K100" s="89"/>
      <c r="M100" s="102"/>
      <c r="N100" s="102"/>
    </row>
    <row r="101" spans="6:14" ht="12.75" x14ac:dyDescent="0.2">
      <c r="F101" s="117"/>
      <c r="G101" s="117"/>
      <c r="H101" s="104"/>
      <c r="J101" s="89"/>
      <c r="K101" s="89"/>
      <c r="M101" s="102"/>
      <c r="N101" s="102"/>
    </row>
    <row r="102" spans="6:14" ht="12.75" x14ac:dyDescent="0.2">
      <c r="F102" s="117"/>
      <c r="G102" s="117"/>
      <c r="H102" s="104"/>
      <c r="J102" s="89"/>
      <c r="K102" s="89"/>
      <c r="M102" s="102"/>
      <c r="N102" s="102"/>
    </row>
    <row r="103" spans="6:14" ht="12.75" x14ac:dyDescent="0.2">
      <c r="F103" s="118"/>
      <c r="G103" s="118"/>
      <c r="H103" s="89"/>
      <c r="J103" s="89"/>
      <c r="K103" s="89"/>
    </row>
    <row r="104" spans="6:14" ht="12.75" x14ac:dyDescent="0.2">
      <c r="F104" s="117"/>
      <c r="G104" s="117"/>
      <c r="H104" s="89"/>
      <c r="J104" s="89"/>
      <c r="K104" s="89"/>
    </row>
    <row r="105" spans="6:14" ht="12.75" x14ac:dyDescent="0.2">
      <c r="F105" s="119"/>
      <c r="G105" s="119"/>
      <c r="H105" s="116"/>
      <c r="J105" s="89"/>
      <c r="K105" s="89"/>
    </row>
    <row r="106" spans="6:14" ht="12.75" x14ac:dyDescent="0.2">
      <c r="F106" s="116"/>
      <c r="G106" s="116"/>
      <c r="H106" s="116"/>
      <c r="J106" s="89"/>
      <c r="K106" s="89"/>
    </row>
    <row r="107" spans="6:14" ht="12.75" x14ac:dyDescent="0.2">
      <c r="F107" s="116"/>
      <c r="G107" s="116"/>
      <c r="H107" s="116"/>
      <c r="J107" s="89"/>
      <c r="K107" s="89"/>
    </row>
    <row r="108" spans="6:14" ht="12.75" x14ac:dyDescent="0.2">
      <c r="F108" s="116"/>
      <c r="G108" s="116"/>
      <c r="H108" s="116"/>
    </row>
    <row r="109" spans="6:14" ht="12.75" x14ac:dyDescent="0.2">
      <c r="F109" s="116"/>
      <c r="G109" s="116"/>
      <c r="H109" s="116"/>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16"/>
      <c r="G120" s="116"/>
      <c r="H120" s="116"/>
    </row>
    <row r="121" spans="6:8" ht="12.75" x14ac:dyDescent="0.2">
      <c r="F121" s="116"/>
      <c r="G121" s="116"/>
      <c r="H121" s="116"/>
    </row>
    <row r="122" spans="6:8" ht="12.75" x14ac:dyDescent="0.2">
      <c r="F122" s="116"/>
      <c r="G122" s="116"/>
      <c r="H122" s="116"/>
    </row>
    <row r="123" spans="6:8" ht="12.75" x14ac:dyDescent="0.2">
      <c r="F123" s="116"/>
      <c r="G123" s="116"/>
      <c r="H123" s="116"/>
    </row>
    <row r="124" spans="6:8" ht="12.75" x14ac:dyDescent="0.2">
      <c r="F124" s="116"/>
      <c r="G124" s="116"/>
      <c r="H124" s="116"/>
    </row>
    <row r="125" spans="6:8" ht="12.75" x14ac:dyDescent="0.2">
      <c r="F125" s="116"/>
      <c r="G125" s="116"/>
      <c r="H125" s="116"/>
    </row>
    <row r="126" spans="6:8" ht="12.75" x14ac:dyDescent="0.2">
      <c r="F126" s="116"/>
      <c r="G126" s="116"/>
      <c r="H126" s="116"/>
    </row>
    <row r="127" spans="6:8" ht="12.75" x14ac:dyDescent="0.2">
      <c r="F127" s="116"/>
      <c r="G127" s="116"/>
      <c r="H127" s="116"/>
    </row>
    <row r="128" spans="6:8" ht="12.75" x14ac:dyDescent="0.2">
      <c r="F128" s="116"/>
      <c r="G128" s="116"/>
      <c r="H128" s="116"/>
    </row>
    <row r="129" spans="6:8" ht="12.75" x14ac:dyDescent="0.2">
      <c r="F129" s="116"/>
      <c r="G129" s="116"/>
      <c r="H129" s="116"/>
    </row>
    <row r="130" spans="6:8" ht="12.75" x14ac:dyDescent="0.2">
      <c r="F130" s="116"/>
      <c r="G130" s="116"/>
      <c r="H130" s="116"/>
    </row>
    <row r="131" spans="6:8" ht="12.75" x14ac:dyDescent="0.2">
      <c r="F131" s="116"/>
      <c r="G131" s="116"/>
      <c r="H131" s="116"/>
    </row>
    <row r="132" spans="6:8" ht="12.75" x14ac:dyDescent="0.2">
      <c r="F132" s="116"/>
      <c r="G132" s="116"/>
      <c r="H132" s="116"/>
    </row>
    <row r="133" spans="6:8" ht="12.75" x14ac:dyDescent="0.2">
      <c r="F133" s="116"/>
      <c r="G133" s="116"/>
      <c r="H133" s="116"/>
    </row>
    <row r="134" spans="6:8" ht="12.75" x14ac:dyDescent="0.2">
      <c r="F134" s="116"/>
      <c r="G134" s="116"/>
      <c r="H134" s="116"/>
    </row>
    <row r="135" spans="6:8" ht="12.75" x14ac:dyDescent="0.2">
      <c r="F135" s="116"/>
      <c r="G135" s="116"/>
      <c r="H135" s="116"/>
    </row>
    <row r="136" spans="6:8" ht="12.75" x14ac:dyDescent="0.2">
      <c r="F136" s="116"/>
      <c r="G136" s="116"/>
      <c r="H136" s="116"/>
    </row>
    <row r="137" spans="6:8" ht="12.75" x14ac:dyDescent="0.2">
      <c r="F137" s="116"/>
      <c r="G137" s="116"/>
      <c r="H137" s="116"/>
    </row>
    <row r="138" spans="6:8" ht="12.75" x14ac:dyDescent="0.2">
      <c r="F138" s="116"/>
      <c r="G138" s="116"/>
      <c r="H138" s="116"/>
    </row>
    <row r="139" spans="6:8" ht="12.75" x14ac:dyDescent="0.2">
      <c r="F139" s="116"/>
      <c r="G139" s="116"/>
      <c r="H139" s="116"/>
    </row>
  </sheetData>
  <sheetProtection algorithmName="SHA-512" hashValue="7j29XVwidOWYKOayQftcIQmO2Uol4k8RvPo2JvuseIS5Zss61F8NckKUSaW/lpSZb/sRtDnIAP2mH0sTNYF4zg==" saltValue="W9deVanW3g5c3c+wf/BWVw==" spinCount="100000" sheet="1" objects="1" scenarios="1"/>
  <mergeCells count="2">
    <mergeCell ref="F10:H10"/>
    <mergeCell ref="F40:H40"/>
  </mergeCells>
  <dataValidations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7"/>
  <sheetViews>
    <sheetView zoomScale="84" zoomScaleNormal="84" workbookViewId="0"/>
  </sheetViews>
  <sheetFormatPr defaultRowHeight="12.75" x14ac:dyDescent="0.2"/>
  <cols>
    <col min="1" max="1" width="33.7109375" style="1" customWidth="1"/>
    <col min="2" max="20" width="10.7109375" style="1" customWidth="1"/>
    <col min="21" max="16384" width="9.140625" style="1"/>
  </cols>
  <sheetData>
    <row r="2" spans="1:8" x14ac:dyDescent="0.2">
      <c r="A2" s="1" t="s">
        <v>0</v>
      </c>
      <c r="B2" s="2">
        <v>2020</v>
      </c>
      <c r="C2" s="3" t="s">
        <v>411</v>
      </c>
    </row>
    <row r="3" spans="1:8" x14ac:dyDescent="0.2">
      <c r="A3" s="1" t="s">
        <v>1</v>
      </c>
      <c r="B3" s="2" t="s">
        <v>404</v>
      </c>
      <c r="C3" s="290"/>
    </row>
    <row r="5" spans="1:8" x14ac:dyDescent="0.2">
      <c r="A5" s="4" t="s">
        <v>13</v>
      </c>
    </row>
    <row r="6" spans="1:8" x14ac:dyDescent="0.2">
      <c r="A6" s="4"/>
      <c r="B6" s="4"/>
      <c r="C6" s="1" t="s">
        <v>14</v>
      </c>
      <c r="D6" s="1" t="s">
        <v>15</v>
      </c>
      <c r="E6" s="1" t="s">
        <v>16</v>
      </c>
      <c r="F6" s="1" t="s">
        <v>17</v>
      </c>
      <c r="G6" s="1" t="s">
        <v>18</v>
      </c>
      <c r="H6" s="1" t="s">
        <v>19</v>
      </c>
    </row>
    <row r="7" spans="1:8" x14ac:dyDescent="0.2">
      <c r="A7" s="283" t="s">
        <v>20</v>
      </c>
      <c r="B7" s="284">
        <v>1</v>
      </c>
      <c r="C7" s="286">
        <v>0.17430000000000001</v>
      </c>
      <c r="D7" s="286">
        <v>7.4700000000000003E-2</v>
      </c>
      <c r="E7" s="285">
        <v>14200</v>
      </c>
      <c r="F7" s="6">
        <f>+E7/12</f>
        <v>1183.3333333333333</v>
      </c>
    </row>
    <row r="8" spans="1:8" x14ac:dyDescent="0.2">
      <c r="A8" s="283" t="s">
        <v>21</v>
      </c>
      <c r="B8" s="284">
        <v>2</v>
      </c>
      <c r="C8" s="286">
        <v>6.3E-3</v>
      </c>
      <c r="D8" s="286">
        <v>2.7000000000000001E-3</v>
      </c>
      <c r="E8" s="285">
        <v>21400</v>
      </c>
      <c r="F8" s="6">
        <f>+E8/12</f>
        <v>1783.3333333333333</v>
      </c>
    </row>
    <row r="9" spans="1:8" x14ac:dyDescent="0.2">
      <c r="A9" s="283" t="s">
        <v>22</v>
      </c>
      <c r="B9" s="284">
        <v>3</v>
      </c>
      <c r="C9" s="286">
        <v>2.5999999999999999E-2</v>
      </c>
      <c r="D9" s="286">
        <v>0</v>
      </c>
      <c r="E9" s="287"/>
      <c r="F9" s="8"/>
    </row>
    <row r="10" spans="1:8" x14ac:dyDescent="0.2">
      <c r="A10" s="284" t="s">
        <v>235</v>
      </c>
      <c r="B10" s="283">
        <v>4</v>
      </c>
      <c r="C10" s="286">
        <v>7.2700000000000001E-2</v>
      </c>
      <c r="D10" s="288"/>
      <c r="E10" s="288"/>
      <c r="F10" s="9"/>
      <c r="G10" s="312">
        <v>57232</v>
      </c>
      <c r="H10" s="312">
        <f t="shared" ref="H10:H13" si="0">+G10/12</f>
        <v>4769.333333333333</v>
      </c>
    </row>
    <row r="11" spans="1:8" x14ac:dyDescent="0.2">
      <c r="A11" s="284" t="s">
        <v>262</v>
      </c>
      <c r="B11" s="283">
        <v>5</v>
      </c>
      <c r="C11" s="286">
        <v>1.2E-2</v>
      </c>
      <c r="D11" s="288"/>
      <c r="E11" s="288"/>
      <c r="F11" s="9"/>
      <c r="G11" s="312">
        <f>+G10</f>
        <v>57232</v>
      </c>
      <c r="H11" s="312">
        <f t="shared" si="0"/>
        <v>4769.333333333333</v>
      </c>
    </row>
    <row r="12" spans="1:8" x14ac:dyDescent="0.2">
      <c r="A12" s="284" t="s">
        <v>23</v>
      </c>
      <c r="B12" s="283">
        <v>8</v>
      </c>
      <c r="C12" s="289">
        <v>6.9500000000000006E-2</v>
      </c>
      <c r="D12" s="126"/>
      <c r="E12" s="287"/>
      <c r="F12" s="8"/>
      <c r="G12" s="312">
        <f>+G10</f>
        <v>57232</v>
      </c>
      <c r="H12" s="312">
        <f>+G12/12</f>
        <v>4769.333333333333</v>
      </c>
    </row>
    <row r="13" spans="1:8" x14ac:dyDescent="0.2">
      <c r="A13" s="284" t="s">
        <v>24</v>
      </c>
      <c r="B13" s="283">
        <v>9</v>
      </c>
      <c r="C13" s="286">
        <v>7.7999999999999996E-3</v>
      </c>
      <c r="D13" s="288"/>
      <c r="E13" s="288"/>
      <c r="F13" s="9"/>
      <c r="G13" s="312">
        <f>+G10</f>
        <v>57232</v>
      </c>
      <c r="H13" s="312">
        <f t="shared" si="0"/>
        <v>4769.333333333333</v>
      </c>
    </row>
    <row r="14" spans="1:8" x14ac:dyDescent="0.2">
      <c r="A14" s="1" t="s">
        <v>25</v>
      </c>
      <c r="B14" s="1">
        <v>10</v>
      </c>
      <c r="C14" s="7">
        <v>0.05</v>
      </c>
      <c r="D14" s="9"/>
      <c r="E14" s="9"/>
      <c r="F14" s="9"/>
      <c r="G14" s="8"/>
      <c r="H14" s="8"/>
    </row>
    <row r="15" spans="1:8" x14ac:dyDescent="0.2">
      <c r="A15" s="1" t="s">
        <v>26</v>
      </c>
      <c r="B15" s="1">
        <v>11</v>
      </c>
      <c r="C15" s="7">
        <v>0.02</v>
      </c>
      <c r="D15" s="9"/>
      <c r="E15" s="9"/>
      <c r="F15" s="9"/>
      <c r="G15" s="8"/>
      <c r="H15" s="8"/>
    </row>
    <row r="16" spans="1:8" x14ac:dyDescent="0.2">
      <c r="B16" s="1" t="s">
        <v>27</v>
      </c>
      <c r="C16" s="10">
        <f>SUM(C7:C15)</f>
        <v>0.43859999999999999</v>
      </c>
      <c r="D16" s="10">
        <f>SUM(D7:D15)</f>
        <v>7.7399999999999997E-2</v>
      </c>
      <c r="E16" s="10">
        <f>SUM(C16:D16)</f>
        <v>0.51600000000000001</v>
      </c>
    </row>
    <row r="18" spans="1:11" x14ac:dyDescent="0.2">
      <c r="A18" s="4" t="s">
        <v>394</v>
      </c>
      <c r="B18" s="1" t="s">
        <v>5</v>
      </c>
      <c r="C18" s="11">
        <v>26.78</v>
      </c>
    </row>
    <row r="19" spans="1:11" x14ac:dyDescent="0.2">
      <c r="B19" s="1" t="s">
        <v>6</v>
      </c>
      <c r="C19" s="11">
        <v>48.93</v>
      </c>
    </row>
    <row r="20" spans="1:11" x14ac:dyDescent="0.2">
      <c r="B20" s="1" t="s">
        <v>7</v>
      </c>
      <c r="C20" s="11">
        <v>24.21</v>
      </c>
    </row>
    <row r="21" spans="1:11" x14ac:dyDescent="0.2">
      <c r="C21" s="12"/>
      <c r="D21" s="1" t="s">
        <v>19</v>
      </c>
    </row>
    <row r="22" spans="1:11" x14ac:dyDescent="0.2">
      <c r="A22" s="4" t="s">
        <v>28</v>
      </c>
      <c r="B22" s="1" t="s">
        <v>29</v>
      </c>
      <c r="C22" s="11">
        <v>1493.51</v>
      </c>
      <c r="D22" s="1">
        <f>ROUND(+C22/12,2)</f>
        <v>124.46</v>
      </c>
      <c r="E22" s="297" t="s">
        <v>275</v>
      </c>
    </row>
    <row r="23" spans="1:11" x14ac:dyDescent="0.2">
      <c r="B23" s="1" t="s">
        <v>30</v>
      </c>
      <c r="C23" s="11">
        <v>247.75</v>
      </c>
      <c r="D23" s="1">
        <f>ROUND(+C23/12,2)</f>
        <v>20.65</v>
      </c>
    </row>
    <row r="24" spans="1:11" x14ac:dyDescent="0.2">
      <c r="B24" s="1" t="s">
        <v>31</v>
      </c>
      <c r="C24" s="11">
        <v>247.75</v>
      </c>
      <c r="D24" s="1">
        <f>ROUND(+C24/12,2)</f>
        <v>20.65</v>
      </c>
    </row>
    <row r="25" spans="1:11" x14ac:dyDescent="0.2">
      <c r="B25" s="1" t="s">
        <v>32</v>
      </c>
      <c r="C25" s="11">
        <v>0</v>
      </c>
      <c r="D25" s="1">
        <f>ROUND(+C25/12,2)</f>
        <v>0</v>
      </c>
    </row>
    <row r="26" spans="1:11" x14ac:dyDescent="0.2">
      <c r="J26" s="282"/>
    </row>
    <row r="27" spans="1:11" x14ac:dyDescent="0.2">
      <c r="A27" s="316" t="s">
        <v>292</v>
      </c>
      <c r="B27" s="314"/>
      <c r="C27" s="314"/>
      <c r="D27" s="326">
        <v>0</v>
      </c>
      <c r="E27" s="314" t="s">
        <v>405</v>
      </c>
      <c r="F27" s="314"/>
      <c r="G27" s="314"/>
      <c r="H27" s="315"/>
      <c r="J27" s="314"/>
      <c r="K27" s="314"/>
    </row>
    <row r="28" spans="1:11" x14ac:dyDescent="0.2">
      <c r="J28" s="282"/>
    </row>
    <row r="29" spans="1:11" x14ac:dyDescent="0.2">
      <c r="A29" s="4" t="s">
        <v>232</v>
      </c>
      <c r="C29" s="122">
        <v>0.55000000000000004</v>
      </c>
    </row>
    <row r="31" spans="1:11" hidden="1" x14ac:dyDescent="0.2">
      <c r="A31" s="1" t="s">
        <v>280</v>
      </c>
      <c r="B31" s="283"/>
      <c r="C31" s="290" t="s">
        <v>286</v>
      </c>
      <c r="E31" s="1" t="s">
        <v>281</v>
      </c>
    </row>
    <row r="32" spans="1:11" hidden="1" x14ac:dyDescent="0.2"/>
    <row r="33" spans="1:7" x14ac:dyDescent="0.2">
      <c r="A33" s="4" t="s">
        <v>33</v>
      </c>
      <c r="B33" s="4"/>
      <c r="D33" s="11">
        <v>149.41999999999999</v>
      </c>
      <c r="E33" s="1" t="s">
        <v>34</v>
      </c>
    </row>
    <row r="34" spans="1:7" x14ac:dyDescent="0.2">
      <c r="A34" s="4" t="s">
        <v>35</v>
      </c>
      <c r="B34" s="4"/>
      <c r="D34" s="7">
        <v>7.3999999999999996E-2</v>
      </c>
    </row>
    <row r="35" spans="1:7" x14ac:dyDescent="0.2">
      <c r="A35" s="1" t="s">
        <v>36</v>
      </c>
      <c r="B35" s="4"/>
      <c r="C35" s="1">
        <v>0</v>
      </c>
      <c r="D35" s="11">
        <v>0</v>
      </c>
    </row>
    <row r="36" spans="1:7" x14ac:dyDescent="0.2">
      <c r="B36" s="4"/>
      <c r="C36" s="1">
        <v>1</v>
      </c>
      <c r="D36" s="11">
        <v>1200</v>
      </c>
    </row>
    <row r="37" spans="1:7" x14ac:dyDescent="0.2">
      <c r="B37" s="4"/>
      <c r="C37" s="1">
        <v>9</v>
      </c>
      <c r="D37" s="11">
        <v>0</v>
      </c>
    </row>
    <row r="38" spans="1:7" x14ac:dyDescent="0.2">
      <c r="B38" s="4"/>
      <c r="D38" s="12"/>
    </row>
    <row r="39" spans="1:7" x14ac:dyDescent="0.2">
      <c r="A39" s="124" t="s">
        <v>406</v>
      </c>
    </row>
    <row r="40" spans="1:7" x14ac:dyDescent="0.2">
      <c r="A40" s="124" t="s">
        <v>407</v>
      </c>
    </row>
    <row r="41" spans="1:7" x14ac:dyDescent="0.2">
      <c r="A41" s="13" t="s">
        <v>236</v>
      </c>
    </row>
    <row r="42" spans="1:7" x14ac:dyDescent="0.2">
      <c r="A42" s="13"/>
    </row>
    <row r="43" spans="1:7" x14ac:dyDescent="0.2">
      <c r="A43" s="4" t="s">
        <v>37</v>
      </c>
      <c r="G43" s="14"/>
    </row>
    <row r="44" spans="1:7" x14ac:dyDescent="0.2">
      <c r="A44" s="4" t="s">
        <v>38</v>
      </c>
      <c r="B44" s="1" t="s">
        <v>39</v>
      </c>
      <c r="C44" s="1" t="s">
        <v>40</v>
      </c>
    </row>
    <row r="45" spans="1:7" x14ac:dyDescent="0.2">
      <c r="A45" s="1">
        <v>1</v>
      </c>
      <c r="B45" s="125">
        <v>20384</v>
      </c>
      <c r="C45" s="10">
        <v>0.36649999999999999</v>
      </c>
    </row>
    <row r="46" spans="1:7" x14ac:dyDescent="0.2">
      <c r="A46" s="1">
        <v>2</v>
      </c>
      <c r="B46" s="125">
        <v>34300</v>
      </c>
      <c r="C46" s="10">
        <v>0.38100000000000001</v>
      </c>
    </row>
    <row r="47" spans="1:7" x14ac:dyDescent="0.2">
      <c r="A47" s="1">
        <v>3</v>
      </c>
      <c r="B47" s="125">
        <v>68507</v>
      </c>
      <c r="C47" s="10">
        <v>0.38100000000000001</v>
      </c>
    </row>
    <row r="48" spans="1:7" x14ac:dyDescent="0.2">
      <c r="A48" s="1">
        <v>4</v>
      </c>
      <c r="B48" s="125">
        <v>999999</v>
      </c>
      <c r="C48" s="10">
        <v>0.51749999999999996</v>
      </c>
    </row>
    <row r="50" spans="1:5" hidden="1" x14ac:dyDescent="0.2">
      <c r="A50" s="4" t="s">
        <v>237</v>
      </c>
    </row>
    <row r="51" spans="1:5" hidden="1" x14ac:dyDescent="0.2">
      <c r="A51" s="1" t="s">
        <v>238</v>
      </c>
      <c r="B51" s="125" t="e">
        <f>2254-4.787%*(IF(wgl!#REF!&lt;67068,wgl!#REF!-B45,67068-B45))</f>
        <v>#REF!</v>
      </c>
    </row>
    <row r="52" spans="1:5" x14ac:dyDescent="0.2">
      <c r="A52" s="123"/>
      <c r="B52" s="123"/>
      <c r="C52" s="123"/>
      <c r="D52" s="123"/>
      <c r="E52" s="5"/>
    </row>
    <row r="53" spans="1:5" x14ac:dyDescent="0.2">
      <c r="A53"/>
      <c r="B53"/>
      <c r="C53"/>
      <c r="D53"/>
      <c r="E53" s="5"/>
    </row>
    <row r="54" spans="1:5" x14ac:dyDescent="0.2">
      <c r="A54"/>
      <c r="B54"/>
      <c r="C54"/>
      <c r="D54"/>
      <c r="E54" s="5"/>
    </row>
    <row r="55" spans="1:5" x14ac:dyDescent="0.2">
      <c r="A55"/>
      <c r="B55"/>
      <c r="C55"/>
      <c r="D55"/>
      <c r="E55" s="5"/>
    </row>
    <row r="56" spans="1:5" x14ac:dyDescent="0.2">
      <c r="A56"/>
      <c r="B56"/>
      <c r="C56"/>
      <c r="D56"/>
      <c r="E56" s="5"/>
    </row>
    <row r="57" spans="1:5" x14ac:dyDescent="0.2">
      <c r="C57" s="15"/>
    </row>
  </sheetData>
  <sheetProtection algorithmName="SHA-512" hashValue="TyCDlX5rLuljdPVX24ehQKuJbdODHNhjYvnQZeW2ziNFA7yRXBgSrPD7vDCCyp/Qj8/qK5Wol1qqZdCEonZuKw==" saltValue="RM+x5WRi/UryneKydCG9rg=="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115"/>
  <sheetViews>
    <sheetView workbookViewId="0"/>
  </sheetViews>
  <sheetFormatPr defaultRowHeight="12.75" x14ac:dyDescent="0.2"/>
  <cols>
    <col min="1" max="1" width="3.7109375" style="300" customWidth="1"/>
    <col min="2" max="2" width="14.140625" style="311" customWidth="1"/>
    <col min="3" max="18" width="9.140625" style="300"/>
    <col min="19" max="20" width="9.140625" style="300" customWidth="1"/>
    <col min="21" max="16384" width="9.140625" style="300"/>
  </cols>
  <sheetData>
    <row r="2" spans="2:19" ht="15.75" x14ac:dyDescent="0.25">
      <c r="B2" s="299" t="s">
        <v>276</v>
      </c>
    </row>
    <row r="5" spans="2:19" x14ac:dyDescent="0.2">
      <c r="B5" s="301" t="s">
        <v>2</v>
      </c>
      <c r="C5" s="302">
        <v>43252</v>
      </c>
      <c r="D5" s="303"/>
      <c r="E5" s="304" t="s">
        <v>277</v>
      </c>
      <c r="F5" s="305">
        <v>2.35E-2</v>
      </c>
      <c r="G5" s="306"/>
      <c r="K5" s="306"/>
      <c r="L5" s="306"/>
      <c r="M5" s="306"/>
      <c r="N5" s="306"/>
      <c r="O5" s="306"/>
      <c r="P5" s="306"/>
      <c r="Q5" s="306"/>
      <c r="R5" s="306"/>
    </row>
    <row r="6" spans="2:19" x14ac:dyDescent="0.2">
      <c r="B6" s="307" t="s">
        <v>3</v>
      </c>
      <c r="C6" s="307">
        <v>1</v>
      </c>
      <c r="D6" s="307">
        <v>2</v>
      </c>
      <c r="E6" s="307">
        <v>3</v>
      </c>
      <c r="F6" s="307">
        <v>4</v>
      </c>
      <c r="G6" s="307">
        <v>5</v>
      </c>
      <c r="H6" s="307">
        <v>6</v>
      </c>
      <c r="I6" s="307">
        <v>7</v>
      </c>
      <c r="J6" s="307">
        <v>8</v>
      </c>
      <c r="K6" s="307">
        <v>9</v>
      </c>
      <c r="L6" s="307">
        <v>10</v>
      </c>
      <c r="M6" s="307">
        <v>11</v>
      </c>
      <c r="N6" s="307">
        <v>12</v>
      </c>
      <c r="O6" s="307">
        <v>13</v>
      </c>
      <c r="P6" s="307">
        <v>14</v>
      </c>
      <c r="Q6" s="307">
        <v>15</v>
      </c>
      <c r="R6" s="307">
        <v>16</v>
      </c>
      <c r="S6" s="307" t="s">
        <v>4</v>
      </c>
    </row>
    <row r="7" spans="2:19" x14ac:dyDescent="0.2">
      <c r="B7" s="294" t="s">
        <v>5</v>
      </c>
      <c r="C7" s="295">
        <v>2662</v>
      </c>
      <c r="D7" s="295">
        <v>2727</v>
      </c>
      <c r="E7" s="295">
        <v>2810</v>
      </c>
      <c r="F7" s="295">
        <v>2893</v>
      </c>
      <c r="G7" s="295">
        <v>2977</v>
      </c>
      <c r="H7" s="295">
        <v>3080</v>
      </c>
      <c r="I7" s="295">
        <v>3201</v>
      </c>
      <c r="J7" s="295">
        <v>3338</v>
      </c>
      <c r="K7" s="295">
        <v>3494</v>
      </c>
      <c r="L7" s="295">
        <v>3667</v>
      </c>
      <c r="M7" s="295">
        <v>3859</v>
      </c>
      <c r="N7" s="295">
        <v>4071</v>
      </c>
      <c r="O7" s="294"/>
      <c r="P7" s="294"/>
      <c r="Q7" s="293"/>
      <c r="R7" s="293"/>
      <c r="S7" s="296">
        <f t="shared" ref="S7:S31" si="0">COUNTA(C7:R7)</f>
        <v>12</v>
      </c>
    </row>
    <row r="8" spans="2:19" x14ac:dyDescent="0.2">
      <c r="B8" s="294" t="s">
        <v>6</v>
      </c>
      <c r="C8" s="295">
        <v>2679</v>
      </c>
      <c r="D8" s="295">
        <v>2807</v>
      </c>
      <c r="E8" s="295">
        <v>2954</v>
      </c>
      <c r="F8" s="295">
        <v>3101</v>
      </c>
      <c r="G8" s="295">
        <v>3247</v>
      </c>
      <c r="H8" s="295">
        <v>3410</v>
      </c>
      <c r="I8" s="295">
        <v>3591</v>
      </c>
      <c r="J8" s="295">
        <v>3788</v>
      </c>
      <c r="K8" s="295">
        <v>4003</v>
      </c>
      <c r="L8" s="295">
        <v>4234</v>
      </c>
      <c r="M8" s="295">
        <v>4483</v>
      </c>
      <c r="N8" s="295">
        <v>4748</v>
      </c>
      <c r="O8" s="294"/>
      <c r="P8" s="294"/>
      <c r="Q8" s="293"/>
      <c r="R8" s="293"/>
      <c r="S8" s="296">
        <f t="shared" si="0"/>
        <v>12</v>
      </c>
    </row>
    <row r="9" spans="2:19" x14ac:dyDescent="0.2">
      <c r="B9" s="294" t="s">
        <v>7</v>
      </c>
      <c r="C9" s="295">
        <v>2689</v>
      </c>
      <c r="D9" s="295">
        <v>2849</v>
      </c>
      <c r="E9" s="295">
        <v>3036</v>
      </c>
      <c r="F9" s="295">
        <v>3222</v>
      </c>
      <c r="G9" s="295">
        <v>3408</v>
      </c>
      <c r="H9" s="295">
        <v>3618</v>
      </c>
      <c r="I9" s="295">
        <v>3852</v>
      </c>
      <c r="J9" s="295">
        <v>4114</v>
      </c>
      <c r="K9" s="295">
        <v>4398</v>
      </c>
      <c r="L9" s="295">
        <v>4708</v>
      </c>
      <c r="M9" s="295">
        <v>5042</v>
      </c>
      <c r="N9" s="295">
        <v>5403</v>
      </c>
      <c r="O9" s="294"/>
      <c r="P9" s="294"/>
      <c r="Q9" s="293"/>
      <c r="R9" s="293"/>
      <c r="S9" s="296">
        <f t="shared" si="0"/>
        <v>12</v>
      </c>
    </row>
    <row r="10" spans="2:19" x14ac:dyDescent="0.2">
      <c r="B10" s="294" t="s">
        <v>8</v>
      </c>
      <c r="C10" s="295">
        <v>3459</v>
      </c>
      <c r="D10" s="295">
        <v>3589</v>
      </c>
      <c r="E10" s="295">
        <v>3704</v>
      </c>
      <c r="F10" s="295">
        <v>3938</v>
      </c>
      <c r="G10" s="295">
        <v>4199</v>
      </c>
      <c r="H10" s="295">
        <v>4436</v>
      </c>
      <c r="I10" s="295">
        <v>4672</v>
      </c>
      <c r="J10" s="295">
        <v>4910</v>
      </c>
      <c r="K10" s="295">
        <v>5147</v>
      </c>
      <c r="L10" s="295">
        <v>5383</v>
      </c>
      <c r="M10" s="295">
        <v>5619</v>
      </c>
      <c r="N10" s="295">
        <v>5859</v>
      </c>
      <c r="O10" s="294"/>
      <c r="P10" s="294"/>
      <c r="Q10" s="293"/>
      <c r="R10" s="293"/>
      <c r="S10" s="296">
        <f t="shared" si="0"/>
        <v>12</v>
      </c>
    </row>
    <row r="11" spans="2:19" x14ac:dyDescent="0.2">
      <c r="B11" s="294">
        <v>1</v>
      </c>
      <c r="C11" s="295">
        <v>1646</v>
      </c>
      <c r="D11" s="295">
        <v>1713</v>
      </c>
      <c r="E11" s="295">
        <v>1777</v>
      </c>
      <c r="F11" s="295">
        <v>1807</v>
      </c>
      <c r="G11" s="295">
        <v>1842</v>
      </c>
      <c r="H11" s="295">
        <v>1876</v>
      </c>
      <c r="I11" s="295">
        <v>1922</v>
      </c>
      <c r="J11" s="293"/>
      <c r="K11" s="293"/>
      <c r="L11" s="293"/>
      <c r="M11" s="293"/>
      <c r="N11" s="293"/>
      <c r="O11" s="293"/>
      <c r="P11" s="293"/>
      <c r="Q11" s="293"/>
      <c r="R11" s="293"/>
      <c r="S11" s="296">
        <f t="shared" si="0"/>
        <v>7</v>
      </c>
    </row>
    <row r="12" spans="2:19" x14ac:dyDescent="0.2">
      <c r="B12" s="294">
        <v>2</v>
      </c>
      <c r="C12" s="295">
        <v>1682</v>
      </c>
      <c r="D12" s="295">
        <v>1746</v>
      </c>
      <c r="E12" s="295">
        <v>1807</v>
      </c>
      <c r="F12" s="295">
        <v>1876</v>
      </c>
      <c r="G12" s="295">
        <v>1922</v>
      </c>
      <c r="H12" s="295">
        <v>1975</v>
      </c>
      <c r="I12" s="295">
        <v>2039</v>
      </c>
      <c r="J12" s="295">
        <v>2099</v>
      </c>
      <c r="K12" s="295"/>
      <c r="L12" s="295"/>
      <c r="M12" s="295"/>
      <c r="N12" s="295"/>
      <c r="O12" s="293"/>
      <c r="P12" s="293"/>
      <c r="Q12" s="293"/>
      <c r="R12" s="293"/>
      <c r="S12" s="296">
        <f t="shared" si="0"/>
        <v>8</v>
      </c>
    </row>
    <row r="13" spans="2:19" x14ac:dyDescent="0.2">
      <c r="B13" s="294">
        <v>3</v>
      </c>
      <c r="C13" s="295">
        <v>1682</v>
      </c>
      <c r="D13" s="295">
        <v>1807</v>
      </c>
      <c r="E13" s="295">
        <v>1876</v>
      </c>
      <c r="F13" s="295">
        <v>1975</v>
      </c>
      <c r="G13" s="295">
        <v>2039</v>
      </c>
      <c r="H13" s="295">
        <v>2099</v>
      </c>
      <c r="I13" s="295">
        <v>2159</v>
      </c>
      <c r="J13" s="295">
        <v>2217</v>
      </c>
      <c r="K13" s="295">
        <v>2275</v>
      </c>
      <c r="L13" s="295"/>
      <c r="M13" s="295"/>
      <c r="N13" s="295"/>
      <c r="O13" s="293"/>
      <c r="P13" s="293"/>
      <c r="Q13" s="293"/>
      <c r="R13" s="293"/>
      <c r="S13" s="296">
        <f t="shared" si="0"/>
        <v>9</v>
      </c>
    </row>
    <row r="14" spans="2:19" x14ac:dyDescent="0.2">
      <c r="B14" s="294">
        <v>4</v>
      </c>
      <c r="C14" s="295">
        <v>1713</v>
      </c>
      <c r="D14" s="295">
        <v>1777</v>
      </c>
      <c r="E14" s="295">
        <v>1842</v>
      </c>
      <c r="F14" s="295">
        <v>1922</v>
      </c>
      <c r="G14" s="295">
        <v>2039</v>
      </c>
      <c r="H14" s="295">
        <v>2099</v>
      </c>
      <c r="I14" s="295">
        <v>2159</v>
      </c>
      <c r="J14" s="295">
        <v>2217</v>
      </c>
      <c r="K14" s="295">
        <v>2275</v>
      </c>
      <c r="L14" s="295">
        <v>2330</v>
      </c>
      <c r="M14" s="295">
        <v>2386</v>
      </c>
      <c r="N14" s="295"/>
      <c r="O14" s="295"/>
      <c r="P14" s="293"/>
      <c r="Q14" s="293"/>
      <c r="R14" s="293"/>
      <c r="S14" s="296">
        <f t="shared" si="0"/>
        <v>11</v>
      </c>
    </row>
    <row r="15" spans="2:19" x14ac:dyDescent="0.2">
      <c r="B15" s="294">
        <v>5</v>
      </c>
      <c r="C15" s="295">
        <v>1746</v>
      </c>
      <c r="D15" s="295">
        <v>1777</v>
      </c>
      <c r="E15" s="295">
        <v>1876</v>
      </c>
      <c r="F15" s="295">
        <v>1975</v>
      </c>
      <c r="G15" s="295">
        <v>2099</v>
      </c>
      <c r="H15" s="295">
        <v>2159</v>
      </c>
      <c r="I15" s="295">
        <v>2217</v>
      </c>
      <c r="J15" s="295">
        <v>2275</v>
      </c>
      <c r="K15" s="295">
        <v>2330</v>
      </c>
      <c r="L15" s="295">
        <v>2386</v>
      </c>
      <c r="M15" s="295">
        <v>2442</v>
      </c>
      <c r="N15" s="295">
        <v>2506</v>
      </c>
      <c r="O15" s="295"/>
      <c r="P15" s="293"/>
      <c r="Q15" s="293"/>
      <c r="R15" s="293"/>
      <c r="S15" s="296">
        <f t="shared" si="0"/>
        <v>12</v>
      </c>
    </row>
    <row r="16" spans="2:19" x14ac:dyDescent="0.2">
      <c r="B16" s="294">
        <v>6</v>
      </c>
      <c r="C16" s="295">
        <v>1807</v>
      </c>
      <c r="D16" s="295">
        <v>1876</v>
      </c>
      <c r="E16" s="295">
        <v>2099</v>
      </c>
      <c r="F16" s="295">
        <v>2217</v>
      </c>
      <c r="G16" s="295">
        <v>2275</v>
      </c>
      <c r="H16" s="295">
        <v>2330</v>
      </c>
      <c r="I16" s="295">
        <v>2386</v>
      </c>
      <c r="J16" s="295">
        <v>2442</v>
      </c>
      <c r="K16" s="295">
        <v>2506</v>
      </c>
      <c r="L16" s="295">
        <v>2569</v>
      </c>
      <c r="M16" s="295">
        <v>2626</v>
      </c>
      <c r="N16" s="295"/>
      <c r="O16" s="295"/>
      <c r="P16" s="293"/>
      <c r="Q16" s="293"/>
      <c r="R16" s="293"/>
      <c r="S16" s="296">
        <f t="shared" si="0"/>
        <v>11</v>
      </c>
    </row>
    <row r="17" spans="2:19" x14ac:dyDescent="0.2">
      <c r="B17" s="294">
        <v>7</v>
      </c>
      <c r="C17" s="295">
        <v>1922</v>
      </c>
      <c r="D17" s="295">
        <v>1975</v>
      </c>
      <c r="E17" s="295">
        <v>2099</v>
      </c>
      <c r="F17" s="295">
        <v>2330</v>
      </c>
      <c r="G17" s="295">
        <v>2442</v>
      </c>
      <c r="H17" s="295">
        <v>2506</v>
      </c>
      <c r="I17" s="295">
        <v>2569</v>
      </c>
      <c r="J17" s="295">
        <v>2626</v>
      </c>
      <c r="K17" s="295">
        <v>2689</v>
      </c>
      <c r="L17" s="295">
        <v>2755</v>
      </c>
      <c r="M17" s="295">
        <v>2820</v>
      </c>
      <c r="N17" s="295">
        <v>2896</v>
      </c>
      <c r="O17" s="295"/>
      <c r="P17" s="293"/>
      <c r="Q17" s="293"/>
      <c r="R17" s="293"/>
      <c r="S17" s="296">
        <f t="shared" si="0"/>
        <v>12</v>
      </c>
    </row>
    <row r="18" spans="2:19" x14ac:dyDescent="0.2">
      <c r="B18" s="294">
        <v>8</v>
      </c>
      <c r="C18" s="295">
        <v>2159</v>
      </c>
      <c r="D18" s="295">
        <v>2217</v>
      </c>
      <c r="E18" s="295">
        <v>2330</v>
      </c>
      <c r="F18" s="295">
        <v>2569</v>
      </c>
      <c r="G18" s="295">
        <v>2689</v>
      </c>
      <c r="H18" s="295">
        <v>2820</v>
      </c>
      <c r="I18" s="295">
        <v>2896</v>
      </c>
      <c r="J18" s="295">
        <v>2965</v>
      </c>
      <c r="K18" s="295">
        <v>3026</v>
      </c>
      <c r="L18" s="295">
        <v>3092</v>
      </c>
      <c r="M18" s="295">
        <v>3158</v>
      </c>
      <c r="N18" s="295">
        <v>3219</v>
      </c>
      <c r="O18" s="295">
        <v>3276</v>
      </c>
      <c r="P18" s="293"/>
      <c r="Q18" s="293"/>
      <c r="R18" s="293"/>
      <c r="S18" s="296">
        <f t="shared" si="0"/>
        <v>13</v>
      </c>
    </row>
    <row r="19" spans="2:19" x14ac:dyDescent="0.2">
      <c r="B19" s="294">
        <v>9</v>
      </c>
      <c r="C19" s="295">
        <v>2442</v>
      </c>
      <c r="D19" s="295">
        <v>2569</v>
      </c>
      <c r="E19" s="295">
        <v>2820</v>
      </c>
      <c r="F19" s="295">
        <v>2965</v>
      </c>
      <c r="G19" s="295">
        <v>3092</v>
      </c>
      <c r="H19" s="295">
        <v>3219</v>
      </c>
      <c r="I19" s="295">
        <v>3339</v>
      </c>
      <c r="J19" s="295">
        <v>3459</v>
      </c>
      <c r="K19" s="295">
        <v>3589</v>
      </c>
      <c r="L19" s="295">
        <v>3704</v>
      </c>
      <c r="M19" s="295"/>
      <c r="N19" s="295"/>
      <c r="O19" s="295"/>
      <c r="P19" s="295"/>
      <c r="Q19" s="295"/>
      <c r="R19" s="295"/>
      <c r="S19" s="296">
        <f t="shared" si="0"/>
        <v>10</v>
      </c>
    </row>
    <row r="20" spans="2:19" x14ac:dyDescent="0.2">
      <c r="B20" s="294">
        <v>10</v>
      </c>
      <c r="C20" s="295">
        <v>2442</v>
      </c>
      <c r="D20" s="295">
        <v>2689</v>
      </c>
      <c r="E20" s="295">
        <v>2820</v>
      </c>
      <c r="F20" s="295">
        <v>2965</v>
      </c>
      <c r="G20" s="295">
        <v>3092</v>
      </c>
      <c r="H20" s="295">
        <v>3219</v>
      </c>
      <c r="I20" s="295">
        <v>3339</v>
      </c>
      <c r="J20" s="295">
        <v>3459</v>
      </c>
      <c r="K20" s="295">
        <v>3589</v>
      </c>
      <c r="L20" s="295">
        <v>3704</v>
      </c>
      <c r="M20" s="295">
        <v>3823</v>
      </c>
      <c r="N20" s="295">
        <v>3938</v>
      </c>
      <c r="O20" s="295">
        <v>4071</v>
      </c>
      <c r="P20" s="295"/>
      <c r="Q20" s="295"/>
      <c r="R20" s="295"/>
      <c r="S20" s="296">
        <f t="shared" si="0"/>
        <v>13</v>
      </c>
    </row>
    <row r="21" spans="2:19" x14ac:dyDescent="0.2">
      <c r="B21" s="294">
        <v>11</v>
      </c>
      <c r="C21" s="295">
        <v>2569</v>
      </c>
      <c r="D21" s="295">
        <v>2689</v>
      </c>
      <c r="E21" s="295">
        <v>2823</v>
      </c>
      <c r="F21" s="295">
        <v>2967</v>
      </c>
      <c r="G21" s="295">
        <v>3101</v>
      </c>
      <c r="H21" s="295">
        <v>3236</v>
      </c>
      <c r="I21" s="295">
        <v>3372</v>
      </c>
      <c r="J21" s="295">
        <v>3589</v>
      </c>
      <c r="K21" s="295">
        <v>3734</v>
      </c>
      <c r="L21" s="295">
        <v>3878</v>
      </c>
      <c r="M21" s="295">
        <v>4023</v>
      </c>
      <c r="N21" s="295">
        <v>4169</v>
      </c>
      <c r="O21" s="295">
        <v>4314</v>
      </c>
      <c r="P21" s="295">
        <v>4459</v>
      </c>
      <c r="Q21" s="295">
        <v>4605</v>
      </c>
      <c r="R21" s="295">
        <v>4748</v>
      </c>
      <c r="S21" s="296">
        <f t="shared" si="0"/>
        <v>16</v>
      </c>
    </row>
    <row r="22" spans="2:19" x14ac:dyDescent="0.2">
      <c r="B22" s="294">
        <v>12</v>
      </c>
      <c r="C22" s="295">
        <v>3459</v>
      </c>
      <c r="D22" s="295">
        <v>3589</v>
      </c>
      <c r="E22" s="295">
        <v>3704</v>
      </c>
      <c r="F22" s="295">
        <v>3823</v>
      </c>
      <c r="G22" s="295">
        <v>3938</v>
      </c>
      <c r="H22" s="295">
        <v>4071</v>
      </c>
      <c r="I22" s="295">
        <v>4326</v>
      </c>
      <c r="J22" s="295">
        <v>4446</v>
      </c>
      <c r="K22" s="295">
        <v>4569</v>
      </c>
      <c r="L22" s="295">
        <v>4686</v>
      </c>
      <c r="M22" s="295">
        <v>4812</v>
      </c>
      <c r="N22" s="295">
        <v>4934</v>
      </c>
      <c r="O22" s="295">
        <v>5052</v>
      </c>
      <c r="P22" s="295">
        <v>5173</v>
      </c>
      <c r="Q22" s="295">
        <v>5325</v>
      </c>
      <c r="R22" s="295">
        <v>5403</v>
      </c>
      <c r="S22" s="296">
        <f t="shared" si="0"/>
        <v>16</v>
      </c>
    </row>
    <row r="23" spans="2:19" x14ac:dyDescent="0.2">
      <c r="B23" s="294">
        <v>13</v>
      </c>
      <c r="C23" s="295">
        <v>4199</v>
      </c>
      <c r="D23" s="295">
        <v>4326</v>
      </c>
      <c r="E23" s="295">
        <v>4446</v>
      </c>
      <c r="F23" s="295">
        <v>4569</v>
      </c>
      <c r="G23" s="295">
        <v>4686</v>
      </c>
      <c r="H23" s="295">
        <v>4934</v>
      </c>
      <c r="I23" s="295">
        <v>5052</v>
      </c>
      <c r="J23" s="295">
        <v>5173</v>
      </c>
      <c r="K23" s="295">
        <v>5325</v>
      </c>
      <c r="L23" s="295">
        <v>5479</v>
      </c>
      <c r="M23" s="295">
        <v>5631</v>
      </c>
      <c r="N23" s="295">
        <v>5785</v>
      </c>
      <c r="O23" s="295">
        <v>5859</v>
      </c>
      <c r="P23" s="295"/>
      <c r="Q23" s="295"/>
      <c r="R23" s="295"/>
      <c r="S23" s="296">
        <f t="shared" si="0"/>
        <v>13</v>
      </c>
    </row>
    <row r="24" spans="2:19" x14ac:dyDescent="0.2">
      <c r="B24" s="294">
        <v>14</v>
      </c>
      <c r="C24" s="295">
        <v>4812</v>
      </c>
      <c r="D24" s="295">
        <v>4934</v>
      </c>
      <c r="E24" s="295">
        <v>5173</v>
      </c>
      <c r="F24" s="295">
        <v>5325</v>
      </c>
      <c r="G24" s="295">
        <v>5479</v>
      </c>
      <c r="H24" s="295">
        <v>5631</v>
      </c>
      <c r="I24" s="295">
        <v>5785</v>
      </c>
      <c r="J24" s="295">
        <v>5940</v>
      </c>
      <c r="K24" s="295">
        <v>6101</v>
      </c>
      <c r="L24" s="295">
        <v>6267</v>
      </c>
      <c r="M24" s="295">
        <v>6438</v>
      </c>
      <c r="N24" s="295"/>
      <c r="O24" s="295"/>
      <c r="P24" s="295"/>
      <c r="Q24" s="295"/>
      <c r="R24" s="295"/>
      <c r="S24" s="296">
        <f t="shared" si="0"/>
        <v>11</v>
      </c>
    </row>
    <row r="25" spans="2:19" x14ac:dyDescent="0.2">
      <c r="B25" s="294">
        <v>15</v>
      </c>
      <c r="C25" s="295">
        <v>5052</v>
      </c>
      <c r="D25" s="295">
        <v>5173</v>
      </c>
      <c r="E25" s="295">
        <v>5325</v>
      </c>
      <c r="F25" s="295">
        <v>5631</v>
      </c>
      <c r="G25" s="295">
        <v>5785</v>
      </c>
      <c r="H25" s="295">
        <v>5940</v>
      </c>
      <c r="I25" s="295">
        <v>6101</v>
      </c>
      <c r="J25" s="295">
        <v>6267</v>
      </c>
      <c r="K25" s="295">
        <v>6438</v>
      </c>
      <c r="L25" s="295">
        <v>6643</v>
      </c>
      <c r="M25" s="295">
        <v>6855</v>
      </c>
      <c r="N25" s="295">
        <v>7072</v>
      </c>
      <c r="O25" s="295"/>
      <c r="P25" s="295"/>
      <c r="Q25" s="295"/>
      <c r="R25" s="295"/>
      <c r="S25" s="296">
        <f t="shared" si="0"/>
        <v>12</v>
      </c>
    </row>
    <row r="26" spans="2:19" x14ac:dyDescent="0.2">
      <c r="B26" s="294">
        <v>16</v>
      </c>
      <c r="C26" s="295">
        <v>5479</v>
      </c>
      <c r="D26" s="295">
        <v>5631</v>
      </c>
      <c r="E26" s="295">
        <v>5785</v>
      </c>
      <c r="F26" s="295">
        <v>6101</v>
      </c>
      <c r="G26" s="295">
        <v>6267</v>
      </c>
      <c r="H26" s="295">
        <v>6438</v>
      </c>
      <c r="I26" s="295">
        <v>6643</v>
      </c>
      <c r="J26" s="295">
        <v>6855</v>
      </c>
      <c r="K26" s="295">
        <v>7072</v>
      </c>
      <c r="L26" s="295">
        <v>7300</v>
      </c>
      <c r="M26" s="295">
        <v>7530</v>
      </c>
      <c r="N26" s="295">
        <v>7771</v>
      </c>
      <c r="O26" s="295"/>
      <c r="P26" s="295"/>
      <c r="Q26" s="295"/>
      <c r="R26" s="295"/>
      <c r="S26" s="296">
        <f t="shared" si="0"/>
        <v>12</v>
      </c>
    </row>
    <row r="27" spans="2:19" x14ac:dyDescent="0.2">
      <c r="B27" s="294">
        <v>17</v>
      </c>
      <c r="C27" s="295">
        <v>5940</v>
      </c>
      <c r="D27" s="295">
        <v>6101</v>
      </c>
      <c r="E27" s="295">
        <v>6267</v>
      </c>
      <c r="F27" s="295">
        <v>6643</v>
      </c>
      <c r="G27" s="295">
        <v>6855</v>
      </c>
      <c r="H27" s="295">
        <v>7072</v>
      </c>
      <c r="I27" s="295">
        <v>7300</v>
      </c>
      <c r="J27" s="295">
        <v>7530</v>
      </c>
      <c r="K27" s="295">
        <v>7771</v>
      </c>
      <c r="L27" s="295">
        <v>8020</v>
      </c>
      <c r="M27" s="295">
        <v>8275</v>
      </c>
      <c r="N27" s="295">
        <v>8539</v>
      </c>
      <c r="O27" s="295"/>
      <c r="P27" s="295"/>
      <c r="Q27" s="295"/>
      <c r="R27" s="295"/>
      <c r="S27" s="296">
        <f t="shared" si="0"/>
        <v>12</v>
      </c>
    </row>
    <row r="28" spans="2:19" x14ac:dyDescent="0.2">
      <c r="B28" s="294" t="s">
        <v>9</v>
      </c>
      <c r="C28" s="295">
        <v>1594.2</v>
      </c>
      <c r="D28" s="295">
        <v>1620.1</v>
      </c>
      <c r="E28" s="295">
        <v>1646</v>
      </c>
      <c r="F28" s="295">
        <v>1713</v>
      </c>
      <c r="G28" s="295">
        <v>1777</v>
      </c>
      <c r="H28" s="295">
        <v>1807</v>
      </c>
      <c r="I28" s="295">
        <v>1842</v>
      </c>
      <c r="J28" s="295">
        <v>1876</v>
      </c>
      <c r="K28" s="295">
        <v>1922</v>
      </c>
      <c r="L28" s="293"/>
      <c r="M28" s="293"/>
      <c r="N28" s="293"/>
      <c r="O28" s="293"/>
      <c r="P28" s="293"/>
      <c r="Q28" s="293"/>
      <c r="R28" s="293"/>
      <c r="S28" s="296">
        <f t="shared" si="0"/>
        <v>9</v>
      </c>
    </row>
    <row r="29" spans="2:19" x14ac:dyDescent="0.2">
      <c r="B29" s="294" t="s">
        <v>10</v>
      </c>
      <c r="C29" s="295">
        <v>1682</v>
      </c>
      <c r="D29" s="295">
        <v>1746</v>
      </c>
      <c r="E29" s="295">
        <v>1807</v>
      </c>
      <c r="F29" s="295">
        <v>1876</v>
      </c>
      <c r="G29" s="295">
        <v>1922</v>
      </c>
      <c r="H29" s="295">
        <v>1975</v>
      </c>
      <c r="I29" s="295">
        <v>2039</v>
      </c>
      <c r="J29" s="295">
        <v>2099</v>
      </c>
      <c r="K29" s="295"/>
      <c r="L29" s="293"/>
      <c r="M29" s="293"/>
      <c r="N29" s="293"/>
      <c r="O29" s="293"/>
      <c r="P29" s="293"/>
      <c r="Q29" s="293"/>
      <c r="R29" s="293"/>
      <c r="S29" s="296">
        <f t="shared" si="0"/>
        <v>8</v>
      </c>
    </row>
    <row r="30" spans="2:19" x14ac:dyDescent="0.2">
      <c r="B30" s="294" t="s">
        <v>11</v>
      </c>
      <c r="C30" s="295">
        <v>1682</v>
      </c>
      <c r="D30" s="295">
        <v>1807</v>
      </c>
      <c r="E30" s="295">
        <v>1876</v>
      </c>
      <c r="F30" s="295">
        <v>1975</v>
      </c>
      <c r="G30" s="295">
        <v>2039</v>
      </c>
      <c r="H30" s="295">
        <v>2099</v>
      </c>
      <c r="I30" s="295">
        <v>2159</v>
      </c>
      <c r="J30" s="295">
        <v>2217</v>
      </c>
      <c r="K30" s="295">
        <v>2275</v>
      </c>
      <c r="L30" s="293"/>
      <c r="M30" s="293"/>
      <c r="N30" s="293"/>
      <c r="O30" s="293"/>
      <c r="P30" s="293"/>
      <c r="Q30" s="293"/>
      <c r="R30" s="293"/>
      <c r="S30" s="296">
        <f>COUNTA(C30:R30)</f>
        <v>9</v>
      </c>
    </row>
    <row r="31" spans="2:19" x14ac:dyDescent="0.2">
      <c r="B31" s="294" t="s">
        <v>12</v>
      </c>
      <c r="C31" s="295">
        <v>1344.5</v>
      </c>
      <c r="D31" s="293"/>
      <c r="E31" s="293"/>
      <c r="F31" s="293"/>
      <c r="G31" s="293"/>
      <c r="H31" s="293"/>
      <c r="I31" s="293"/>
      <c r="J31" s="293"/>
      <c r="K31" s="293"/>
      <c r="L31" s="293"/>
      <c r="M31" s="293"/>
      <c r="N31" s="293"/>
      <c r="O31" s="293"/>
      <c r="P31" s="293"/>
      <c r="Q31" s="293"/>
      <c r="R31" s="293"/>
      <c r="S31" s="296">
        <f t="shared" si="0"/>
        <v>1</v>
      </c>
    </row>
    <row r="33" spans="2:37" x14ac:dyDescent="0.2">
      <c r="B33" s="301" t="s">
        <v>2</v>
      </c>
      <c r="C33" s="302">
        <v>43466</v>
      </c>
      <c r="D33" s="303"/>
      <c r="E33" s="310" t="s">
        <v>278</v>
      </c>
      <c r="F33" s="308"/>
      <c r="G33" s="306"/>
      <c r="K33" s="306"/>
      <c r="L33" s="306"/>
      <c r="M33" s="306"/>
      <c r="N33" s="306"/>
      <c r="O33" s="306"/>
      <c r="P33" s="306"/>
      <c r="Q33" s="306"/>
      <c r="R33" s="306"/>
    </row>
    <row r="34" spans="2:37" x14ac:dyDescent="0.2">
      <c r="B34" s="307" t="s">
        <v>3</v>
      </c>
      <c r="C34" s="307">
        <v>1</v>
      </c>
      <c r="D34" s="307">
        <v>2</v>
      </c>
      <c r="E34" s="307">
        <v>3</v>
      </c>
      <c r="F34" s="307">
        <v>4</v>
      </c>
      <c r="G34" s="307">
        <v>5</v>
      </c>
      <c r="H34" s="307">
        <v>6</v>
      </c>
      <c r="I34" s="307">
        <v>7</v>
      </c>
      <c r="J34" s="307">
        <v>8</v>
      </c>
      <c r="K34" s="307">
        <v>9</v>
      </c>
      <c r="L34" s="307">
        <v>10</v>
      </c>
      <c r="M34" s="307">
        <v>11</v>
      </c>
      <c r="N34" s="307">
        <v>12</v>
      </c>
      <c r="O34" s="307">
        <v>13</v>
      </c>
      <c r="P34" s="307">
        <v>14</v>
      </c>
      <c r="Q34" s="307">
        <v>15</v>
      </c>
      <c r="R34" s="307">
        <v>16</v>
      </c>
      <c r="S34" s="307" t="s">
        <v>4</v>
      </c>
    </row>
    <row r="35" spans="2:37" x14ac:dyDescent="0.2">
      <c r="B35" s="294" t="s">
        <v>5</v>
      </c>
      <c r="C35" s="295">
        <v>2689</v>
      </c>
      <c r="D35" s="295">
        <v>2754</v>
      </c>
      <c r="E35" s="295">
        <v>2837</v>
      </c>
      <c r="F35" s="295">
        <v>2920</v>
      </c>
      <c r="G35" s="295">
        <v>3004</v>
      </c>
      <c r="H35" s="295">
        <v>3107</v>
      </c>
      <c r="I35" s="295">
        <v>3228</v>
      </c>
      <c r="J35" s="295">
        <v>3365</v>
      </c>
      <c r="K35" s="295">
        <v>3521</v>
      </c>
      <c r="L35" s="295">
        <v>3694</v>
      </c>
      <c r="M35" s="295">
        <v>3886</v>
      </c>
      <c r="N35" s="295">
        <v>4098</v>
      </c>
      <c r="O35" s="294"/>
      <c r="P35" s="294"/>
      <c r="Q35" s="293"/>
      <c r="R35" s="293"/>
      <c r="S35" s="296">
        <f t="shared" ref="S35:S57" si="1">COUNTA(C35:R35)</f>
        <v>12</v>
      </c>
      <c r="U35" s="294"/>
      <c r="V35" s="295"/>
      <c r="W35" s="295"/>
      <c r="X35" s="295"/>
      <c r="Y35" s="295"/>
      <c r="Z35" s="295"/>
      <c r="AA35" s="295"/>
      <c r="AB35" s="295"/>
      <c r="AC35" s="295"/>
      <c r="AD35" s="295"/>
      <c r="AE35" s="295"/>
      <c r="AF35" s="295"/>
      <c r="AG35" s="295"/>
      <c r="AH35" s="295"/>
      <c r="AI35" s="295"/>
      <c r="AJ35" s="295"/>
      <c r="AK35" s="295"/>
    </row>
    <row r="36" spans="2:37" x14ac:dyDescent="0.2">
      <c r="B36" s="294" t="s">
        <v>6</v>
      </c>
      <c r="C36" s="295">
        <v>2705</v>
      </c>
      <c r="D36" s="295">
        <v>2834</v>
      </c>
      <c r="E36" s="295">
        <v>2981</v>
      </c>
      <c r="F36" s="295">
        <v>3128</v>
      </c>
      <c r="G36" s="295">
        <v>3274</v>
      </c>
      <c r="H36" s="295">
        <v>3437</v>
      </c>
      <c r="I36" s="295">
        <v>3618</v>
      </c>
      <c r="J36" s="295">
        <v>3815</v>
      </c>
      <c r="K36" s="295">
        <v>4029</v>
      </c>
      <c r="L36" s="295">
        <v>4261</v>
      </c>
      <c r="M36" s="295">
        <v>4510</v>
      </c>
      <c r="N36" s="295">
        <v>4775</v>
      </c>
      <c r="O36" s="294"/>
      <c r="P36" s="294"/>
      <c r="Q36" s="293"/>
      <c r="R36" s="293"/>
      <c r="S36" s="296">
        <f t="shared" si="1"/>
        <v>12</v>
      </c>
      <c r="U36" s="294"/>
      <c r="V36" s="295"/>
      <c r="W36" s="295"/>
      <c r="X36" s="295"/>
      <c r="Y36" s="295"/>
      <c r="Z36" s="295"/>
      <c r="AA36" s="295"/>
      <c r="AB36" s="295"/>
      <c r="AC36" s="295"/>
      <c r="AD36" s="295"/>
      <c r="AE36" s="295"/>
      <c r="AF36" s="295"/>
      <c r="AG36" s="295"/>
      <c r="AH36" s="295"/>
      <c r="AI36" s="295"/>
      <c r="AJ36" s="295"/>
      <c r="AK36" s="295"/>
    </row>
    <row r="37" spans="2:37" x14ac:dyDescent="0.2">
      <c r="B37" s="294" t="s">
        <v>7</v>
      </c>
      <c r="C37" s="295">
        <v>2716</v>
      </c>
      <c r="D37" s="295">
        <v>2876</v>
      </c>
      <c r="E37" s="295">
        <v>3063</v>
      </c>
      <c r="F37" s="295">
        <v>3249</v>
      </c>
      <c r="G37" s="295">
        <v>3435</v>
      </c>
      <c r="H37" s="295">
        <v>3645</v>
      </c>
      <c r="I37" s="295">
        <v>3879</v>
      </c>
      <c r="J37" s="295">
        <v>4140</v>
      </c>
      <c r="K37" s="295">
        <v>4425</v>
      </c>
      <c r="L37" s="295">
        <v>4735</v>
      </c>
      <c r="M37" s="295">
        <v>5069</v>
      </c>
      <c r="N37" s="295">
        <v>5430</v>
      </c>
      <c r="O37" s="294"/>
      <c r="P37" s="294"/>
      <c r="Q37" s="293"/>
      <c r="R37" s="293"/>
      <c r="S37" s="296">
        <f t="shared" si="1"/>
        <v>12</v>
      </c>
      <c r="U37" s="294"/>
      <c r="V37" s="295"/>
      <c r="W37" s="295"/>
      <c r="X37" s="295"/>
      <c r="Y37" s="295"/>
      <c r="Z37" s="295"/>
      <c r="AA37" s="295"/>
      <c r="AB37" s="295"/>
      <c r="AC37" s="295"/>
      <c r="AD37" s="295"/>
      <c r="AE37" s="295"/>
      <c r="AF37" s="295"/>
      <c r="AG37" s="295"/>
      <c r="AH37" s="295"/>
      <c r="AI37" s="295"/>
      <c r="AJ37" s="295"/>
      <c r="AK37" s="295"/>
    </row>
    <row r="38" spans="2:37" x14ac:dyDescent="0.2">
      <c r="B38" s="294" t="s">
        <v>8</v>
      </c>
      <c r="C38" s="295">
        <v>3486</v>
      </c>
      <c r="D38" s="295">
        <v>3616</v>
      </c>
      <c r="E38" s="295">
        <v>3731</v>
      </c>
      <c r="F38" s="295">
        <v>3965</v>
      </c>
      <c r="G38" s="295">
        <v>4225</v>
      </c>
      <c r="H38" s="295">
        <v>4463</v>
      </c>
      <c r="I38" s="295">
        <v>4699</v>
      </c>
      <c r="J38" s="295">
        <v>4936</v>
      </c>
      <c r="K38" s="295">
        <v>5174</v>
      </c>
      <c r="L38" s="295">
        <v>5410</v>
      </c>
      <c r="M38" s="295">
        <v>5646</v>
      </c>
      <c r="N38" s="295">
        <v>5886</v>
      </c>
      <c r="O38" s="294"/>
      <c r="P38" s="294"/>
      <c r="Q38" s="293"/>
      <c r="R38" s="293"/>
      <c r="S38" s="296">
        <f t="shared" si="1"/>
        <v>12</v>
      </c>
      <c r="U38" s="294"/>
      <c r="V38" s="295"/>
      <c r="W38" s="295"/>
      <c r="X38" s="295"/>
      <c r="Y38" s="295"/>
      <c r="Z38" s="295"/>
      <c r="AA38" s="295"/>
      <c r="AB38" s="295"/>
      <c r="AC38" s="295"/>
      <c r="AD38" s="295"/>
      <c r="AE38" s="295"/>
      <c r="AF38" s="295"/>
      <c r="AG38" s="295"/>
      <c r="AH38" s="295"/>
      <c r="AI38" s="295"/>
      <c r="AJ38" s="295"/>
      <c r="AK38" s="295"/>
    </row>
    <row r="39" spans="2:37" x14ac:dyDescent="0.2">
      <c r="B39" s="294">
        <v>1</v>
      </c>
      <c r="C39" s="295">
        <v>1673</v>
      </c>
      <c r="D39" s="295">
        <v>1740</v>
      </c>
      <c r="E39" s="295">
        <v>1804</v>
      </c>
      <c r="F39" s="295">
        <v>1834</v>
      </c>
      <c r="G39" s="295">
        <v>1869</v>
      </c>
      <c r="H39" s="295">
        <v>1903</v>
      </c>
      <c r="I39" s="295">
        <v>1949</v>
      </c>
      <c r="J39" s="293"/>
      <c r="K39" s="293"/>
      <c r="L39" s="293"/>
      <c r="M39" s="293"/>
      <c r="N39" s="293"/>
      <c r="O39" s="293"/>
      <c r="P39" s="293"/>
      <c r="Q39" s="293"/>
      <c r="R39" s="293"/>
      <c r="S39" s="296">
        <f t="shared" si="1"/>
        <v>7</v>
      </c>
      <c r="U39" s="294"/>
      <c r="V39" s="295"/>
      <c r="W39" s="295"/>
      <c r="X39" s="295"/>
      <c r="Y39" s="295"/>
      <c r="Z39" s="295"/>
      <c r="AA39" s="295"/>
      <c r="AB39" s="295"/>
      <c r="AC39" s="295"/>
      <c r="AD39" s="295"/>
      <c r="AE39" s="295"/>
      <c r="AF39" s="295"/>
      <c r="AG39" s="295"/>
      <c r="AH39" s="295"/>
      <c r="AI39" s="295"/>
      <c r="AJ39" s="295"/>
      <c r="AK39" s="295"/>
    </row>
    <row r="40" spans="2:37" x14ac:dyDescent="0.2">
      <c r="B40" s="294">
        <v>2</v>
      </c>
      <c r="C40" s="295">
        <v>1709</v>
      </c>
      <c r="D40" s="295">
        <v>1773</v>
      </c>
      <c r="E40" s="295">
        <v>1834</v>
      </c>
      <c r="F40" s="295">
        <v>1903</v>
      </c>
      <c r="G40" s="295">
        <v>1949</v>
      </c>
      <c r="H40" s="295">
        <v>2002</v>
      </c>
      <c r="I40" s="295">
        <v>2066</v>
      </c>
      <c r="J40" s="295">
        <v>2126</v>
      </c>
      <c r="K40" s="295"/>
      <c r="L40" s="295"/>
      <c r="M40" s="295"/>
      <c r="N40" s="295"/>
      <c r="O40" s="293"/>
      <c r="P40" s="293"/>
      <c r="Q40" s="293"/>
      <c r="R40" s="293"/>
      <c r="S40" s="296">
        <f t="shared" si="1"/>
        <v>8</v>
      </c>
      <c r="U40" s="294"/>
      <c r="V40" s="295"/>
      <c r="W40" s="295"/>
      <c r="X40" s="295"/>
      <c r="Y40" s="295"/>
      <c r="Z40" s="295"/>
      <c r="AA40" s="295"/>
      <c r="AB40" s="295"/>
      <c r="AC40" s="295"/>
      <c r="AD40" s="295"/>
      <c r="AE40" s="295"/>
      <c r="AF40" s="295"/>
      <c r="AG40" s="295"/>
      <c r="AH40" s="295"/>
      <c r="AI40" s="295"/>
      <c r="AJ40" s="295"/>
      <c r="AK40" s="295"/>
    </row>
    <row r="41" spans="2:37" x14ac:dyDescent="0.2">
      <c r="B41" s="294">
        <v>3</v>
      </c>
      <c r="C41" s="295">
        <v>1709</v>
      </c>
      <c r="D41" s="295">
        <v>1834</v>
      </c>
      <c r="E41" s="295">
        <v>1903</v>
      </c>
      <c r="F41" s="295">
        <v>2002</v>
      </c>
      <c r="G41" s="295">
        <v>2066</v>
      </c>
      <c r="H41" s="295">
        <v>2126</v>
      </c>
      <c r="I41" s="295">
        <v>2186</v>
      </c>
      <c r="J41" s="295">
        <v>2244</v>
      </c>
      <c r="K41" s="295">
        <v>2301</v>
      </c>
      <c r="L41" s="295"/>
      <c r="M41" s="295"/>
      <c r="N41" s="295"/>
      <c r="O41" s="293"/>
      <c r="P41" s="293"/>
      <c r="Q41" s="293"/>
      <c r="R41" s="293"/>
      <c r="S41" s="296">
        <f t="shared" si="1"/>
        <v>9</v>
      </c>
      <c r="U41" s="294"/>
      <c r="V41" s="295"/>
      <c r="W41" s="295"/>
      <c r="X41" s="295"/>
      <c r="Y41" s="295"/>
      <c r="Z41" s="295"/>
      <c r="AA41" s="295"/>
      <c r="AB41" s="295"/>
      <c r="AC41" s="295"/>
      <c r="AD41" s="295"/>
      <c r="AE41" s="295"/>
      <c r="AF41" s="295"/>
      <c r="AG41" s="295"/>
      <c r="AH41" s="295"/>
      <c r="AI41" s="295"/>
      <c r="AJ41" s="295"/>
      <c r="AK41" s="295"/>
    </row>
    <row r="42" spans="2:37" x14ac:dyDescent="0.2">
      <c r="B42" s="294">
        <v>4</v>
      </c>
      <c r="C42" s="295">
        <v>1740</v>
      </c>
      <c r="D42" s="295">
        <v>1834</v>
      </c>
      <c r="E42" s="295">
        <v>1903</v>
      </c>
      <c r="F42" s="295">
        <v>2002</v>
      </c>
      <c r="G42" s="295">
        <v>2066</v>
      </c>
      <c r="H42" s="295">
        <v>2126</v>
      </c>
      <c r="I42" s="295">
        <v>2186</v>
      </c>
      <c r="J42" s="295">
        <v>2244</v>
      </c>
      <c r="K42" s="295">
        <v>2301</v>
      </c>
      <c r="L42" s="295">
        <v>2357</v>
      </c>
      <c r="M42" s="295">
        <v>2413</v>
      </c>
      <c r="N42" s="295"/>
      <c r="O42" s="295"/>
      <c r="P42" s="293"/>
      <c r="Q42" s="293"/>
      <c r="R42" s="293"/>
      <c r="S42" s="296">
        <f t="shared" si="1"/>
        <v>11</v>
      </c>
      <c r="U42" s="294"/>
      <c r="V42" s="295"/>
      <c r="W42" s="295"/>
      <c r="X42" s="295"/>
      <c r="Y42" s="295"/>
      <c r="Z42" s="295"/>
      <c r="AA42" s="295"/>
      <c r="AB42" s="295"/>
      <c r="AC42" s="295"/>
      <c r="AD42" s="295"/>
      <c r="AE42" s="295"/>
      <c r="AF42" s="295"/>
      <c r="AG42" s="295"/>
      <c r="AH42" s="295"/>
      <c r="AI42" s="295"/>
      <c r="AJ42" s="295"/>
      <c r="AK42" s="295"/>
    </row>
    <row r="43" spans="2:37" x14ac:dyDescent="0.2">
      <c r="B43" s="294">
        <v>5</v>
      </c>
      <c r="C43" s="295">
        <v>1773</v>
      </c>
      <c r="D43" s="295">
        <v>1834</v>
      </c>
      <c r="E43" s="295">
        <v>1903</v>
      </c>
      <c r="F43" s="295">
        <v>2002</v>
      </c>
      <c r="G43" s="295">
        <v>2126</v>
      </c>
      <c r="H43" s="295">
        <v>2186</v>
      </c>
      <c r="I43" s="295">
        <v>2244</v>
      </c>
      <c r="J43" s="295">
        <v>2301</v>
      </c>
      <c r="K43" s="295">
        <v>2357</v>
      </c>
      <c r="L43" s="295">
        <v>2413</v>
      </c>
      <c r="M43" s="295">
        <v>2469</v>
      </c>
      <c r="N43" s="295">
        <v>2533</v>
      </c>
      <c r="O43" s="295"/>
      <c r="P43" s="293"/>
      <c r="Q43" s="293"/>
      <c r="R43" s="293"/>
      <c r="S43" s="296">
        <f t="shared" si="1"/>
        <v>12</v>
      </c>
      <c r="U43" s="294"/>
      <c r="V43" s="295"/>
      <c r="W43" s="295"/>
      <c r="X43" s="295"/>
      <c r="Y43" s="295"/>
      <c r="Z43" s="295"/>
      <c r="AA43" s="295"/>
      <c r="AB43" s="295"/>
      <c r="AC43" s="295"/>
      <c r="AD43" s="295"/>
      <c r="AE43" s="295"/>
      <c r="AF43" s="295"/>
      <c r="AG43" s="295"/>
      <c r="AH43" s="295"/>
      <c r="AI43" s="295"/>
      <c r="AJ43" s="295"/>
      <c r="AK43" s="295"/>
    </row>
    <row r="44" spans="2:37" x14ac:dyDescent="0.2">
      <c r="B44" s="294">
        <v>6</v>
      </c>
      <c r="C44" s="295">
        <v>1834</v>
      </c>
      <c r="D44" s="295">
        <v>1903</v>
      </c>
      <c r="E44" s="295">
        <v>2126</v>
      </c>
      <c r="F44" s="295">
        <v>2244</v>
      </c>
      <c r="G44" s="295">
        <v>2301</v>
      </c>
      <c r="H44" s="295">
        <v>2357</v>
      </c>
      <c r="I44" s="295">
        <v>2417</v>
      </c>
      <c r="J44" s="295">
        <v>2469</v>
      </c>
      <c r="K44" s="295">
        <v>2533</v>
      </c>
      <c r="L44" s="295">
        <v>2595</v>
      </c>
      <c r="M44" s="295">
        <v>2653</v>
      </c>
      <c r="N44" s="295"/>
      <c r="O44" s="295"/>
      <c r="P44" s="293"/>
      <c r="Q44" s="293"/>
      <c r="R44" s="293"/>
      <c r="S44" s="296">
        <f t="shared" si="1"/>
        <v>11</v>
      </c>
      <c r="U44" s="294"/>
      <c r="V44" s="295"/>
      <c r="W44" s="295"/>
      <c r="X44" s="295"/>
      <c r="Y44" s="295"/>
      <c r="Z44" s="295"/>
      <c r="AA44" s="295"/>
      <c r="AB44" s="295"/>
      <c r="AC44" s="295"/>
      <c r="AD44" s="295"/>
      <c r="AE44" s="295"/>
      <c r="AF44" s="295"/>
      <c r="AG44" s="295"/>
      <c r="AH44" s="295"/>
      <c r="AI44" s="295"/>
      <c r="AJ44" s="295"/>
      <c r="AK44" s="295"/>
    </row>
    <row r="45" spans="2:37" x14ac:dyDescent="0.2">
      <c r="B45" s="294">
        <v>7</v>
      </c>
      <c r="C45" s="295">
        <v>1949</v>
      </c>
      <c r="D45" s="295">
        <v>2002</v>
      </c>
      <c r="E45" s="295">
        <v>2126</v>
      </c>
      <c r="F45" s="295">
        <v>2357</v>
      </c>
      <c r="G45" s="295">
        <v>2469</v>
      </c>
      <c r="H45" s="295">
        <v>2533</v>
      </c>
      <c r="I45" s="295">
        <v>2595</v>
      </c>
      <c r="J45" s="295">
        <v>2653</v>
      </c>
      <c r="K45" s="295">
        <v>2716</v>
      </c>
      <c r="L45" s="295">
        <v>2782</v>
      </c>
      <c r="M45" s="295">
        <v>2847</v>
      </c>
      <c r="N45" s="295">
        <v>2923</v>
      </c>
      <c r="O45" s="295"/>
      <c r="P45" s="293"/>
      <c r="Q45" s="293"/>
      <c r="R45" s="293"/>
      <c r="S45" s="296">
        <f t="shared" si="1"/>
        <v>12</v>
      </c>
      <c r="U45" s="294"/>
      <c r="V45" s="295"/>
      <c r="W45" s="295"/>
      <c r="X45" s="295"/>
      <c r="Y45" s="295"/>
      <c r="Z45" s="295"/>
      <c r="AA45" s="295"/>
      <c r="AB45" s="295"/>
      <c r="AC45" s="295"/>
      <c r="AD45" s="295"/>
      <c r="AE45" s="295"/>
      <c r="AF45" s="295"/>
      <c r="AG45" s="295"/>
      <c r="AH45" s="295"/>
      <c r="AI45" s="295"/>
      <c r="AJ45" s="295"/>
      <c r="AK45" s="295"/>
    </row>
    <row r="46" spans="2:37" x14ac:dyDescent="0.2">
      <c r="B46" s="294">
        <v>8</v>
      </c>
      <c r="C46" s="295">
        <v>2186</v>
      </c>
      <c r="D46" s="295">
        <v>2244</v>
      </c>
      <c r="E46" s="295">
        <v>2357</v>
      </c>
      <c r="F46" s="295">
        <v>2595</v>
      </c>
      <c r="G46" s="295">
        <v>2716</v>
      </c>
      <c r="H46" s="295">
        <v>2847</v>
      </c>
      <c r="I46" s="295">
        <v>2923</v>
      </c>
      <c r="J46" s="295">
        <v>2992</v>
      </c>
      <c r="K46" s="295">
        <v>3053</v>
      </c>
      <c r="L46" s="295">
        <v>3119</v>
      </c>
      <c r="M46" s="295">
        <v>3184</v>
      </c>
      <c r="N46" s="295">
        <v>3245</v>
      </c>
      <c r="O46" s="295">
        <v>3303</v>
      </c>
      <c r="P46" s="293"/>
      <c r="Q46" s="293"/>
      <c r="R46" s="293"/>
      <c r="S46" s="296">
        <f t="shared" si="1"/>
        <v>13</v>
      </c>
      <c r="U46" s="294"/>
      <c r="V46" s="295"/>
      <c r="W46" s="295"/>
      <c r="X46" s="295"/>
      <c r="Y46" s="295"/>
      <c r="Z46" s="295"/>
      <c r="AA46" s="295"/>
      <c r="AB46" s="295"/>
      <c r="AC46" s="295"/>
      <c r="AD46" s="295"/>
      <c r="AE46" s="295"/>
      <c r="AF46" s="295"/>
      <c r="AG46" s="295"/>
      <c r="AH46" s="295"/>
      <c r="AI46" s="295"/>
      <c r="AJ46" s="295"/>
      <c r="AK46" s="295"/>
    </row>
    <row r="47" spans="2:37" x14ac:dyDescent="0.2">
      <c r="B47" s="294">
        <v>9</v>
      </c>
      <c r="C47" s="295">
        <v>2469</v>
      </c>
      <c r="D47" s="295">
        <v>2595</v>
      </c>
      <c r="E47" s="295">
        <v>2847</v>
      </c>
      <c r="F47" s="295">
        <v>2992</v>
      </c>
      <c r="G47" s="295">
        <v>3119</v>
      </c>
      <c r="H47" s="295">
        <v>3245</v>
      </c>
      <c r="I47" s="295">
        <v>3366</v>
      </c>
      <c r="J47" s="295">
        <v>3486</v>
      </c>
      <c r="K47" s="295">
        <v>3616</v>
      </c>
      <c r="L47" s="295">
        <v>3731</v>
      </c>
      <c r="M47" s="295"/>
      <c r="N47" s="295"/>
      <c r="O47" s="295"/>
      <c r="P47" s="295"/>
      <c r="Q47" s="295"/>
      <c r="R47" s="295"/>
      <c r="S47" s="296">
        <f t="shared" si="1"/>
        <v>10</v>
      </c>
      <c r="U47" s="294"/>
      <c r="V47" s="295"/>
      <c r="W47" s="295"/>
      <c r="X47" s="295"/>
      <c r="Y47" s="295"/>
      <c r="Z47" s="295"/>
      <c r="AA47" s="295"/>
      <c r="AB47" s="295"/>
      <c r="AC47" s="295"/>
      <c r="AD47" s="295"/>
      <c r="AE47" s="295"/>
      <c r="AF47" s="295"/>
      <c r="AG47" s="295"/>
      <c r="AH47" s="295"/>
      <c r="AI47" s="295"/>
      <c r="AJ47" s="295"/>
      <c r="AK47" s="295"/>
    </row>
    <row r="48" spans="2:37" x14ac:dyDescent="0.2">
      <c r="B48" s="294">
        <v>10</v>
      </c>
      <c r="C48" s="295">
        <v>2469</v>
      </c>
      <c r="D48" s="295">
        <v>2716</v>
      </c>
      <c r="E48" s="295">
        <v>2847</v>
      </c>
      <c r="F48" s="295">
        <v>2992</v>
      </c>
      <c r="G48" s="295">
        <v>3119</v>
      </c>
      <c r="H48" s="295">
        <v>3245</v>
      </c>
      <c r="I48" s="295">
        <v>3366</v>
      </c>
      <c r="J48" s="295">
        <v>3486</v>
      </c>
      <c r="K48" s="295">
        <v>3616</v>
      </c>
      <c r="L48" s="295">
        <v>3731</v>
      </c>
      <c r="M48" s="295">
        <v>3850</v>
      </c>
      <c r="N48" s="295">
        <v>3965</v>
      </c>
      <c r="O48" s="295">
        <v>4098</v>
      </c>
      <c r="P48" s="295"/>
      <c r="Q48" s="295"/>
      <c r="R48" s="295"/>
      <c r="S48" s="296">
        <f t="shared" si="1"/>
        <v>13</v>
      </c>
      <c r="U48" s="294"/>
      <c r="V48" s="295"/>
      <c r="W48" s="295"/>
      <c r="X48" s="295"/>
      <c r="Y48" s="295"/>
      <c r="Z48" s="295"/>
      <c r="AA48" s="295"/>
      <c r="AB48" s="295"/>
      <c r="AC48" s="295"/>
      <c r="AD48" s="295"/>
      <c r="AE48" s="295"/>
      <c r="AF48" s="295"/>
      <c r="AG48" s="295"/>
      <c r="AH48" s="295"/>
      <c r="AI48" s="295"/>
      <c r="AJ48" s="295"/>
      <c r="AK48" s="295"/>
    </row>
    <row r="49" spans="2:37" x14ac:dyDescent="0.2">
      <c r="B49" s="294">
        <v>11</v>
      </c>
      <c r="C49" s="295">
        <v>2595</v>
      </c>
      <c r="D49" s="295">
        <v>2716</v>
      </c>
      <c r="E49" s="295">
        <v>2850</v>
      </c>
      <c r="F49" s="295">
        <v>2994</v>
      </c>
      <c r="G49" s="295">
        <v>3128</v>
      </c>
      <c r="H49" s="295">
        <v>3263</v>
      </c>
      <c r="I49" s="295">
        <v>3399</v>
      </c>
      <c r="J49" s="295">
        <v>3616</v>
      </c>
      <c r="K49" s="295">
        <v>3760</v>
      </c>
      <c r="L49" s="295">
        <v>3905</v>
      </c>
      <c r="M49" s="295">
        <v>4050</v>
      </c>
      <c r="N49" s="295">
        <v>4196</v>
      </c>
      <c r="O49" s="295">
        <v>4341</v>
      </c>
      <c r="P49" s="295">
        <v>4486</v>
      </c>
      <c r="Q49" s="295">
        <v>4632</v>
      </c>
      <c r="R49" s="295">
        <v>4775</v>
      </c>
      <c r="S49" s="296">
        <f t="shared" si="1"/>
        <v>16</v>
      </c>
      <c r="U49" s="294"/>
      <c r="V49" s="295"/>
      <c r="W49" s="295"/>
      <c r="X49" s="295"/>
      <c r="Y49" s="295"/>
      <c r="Z49" s="295"/>
      <c r="AA49" s="295"/>
      <c r="AB49" s="295"/>
      <c r="AC49" s="295"/>
      <c r="AD49" s="295"/>
      <c r="AE49" s="295"/>
      <c r="AF49" s="295"/>
      <c r="AG49" s="295"/>
      <c r="AH49" s="295"/>
      <c r="AI49" s="295"/>
      <c r="AJ49" s="295"/>
      <c r="AK49" s="295"/>
    </row>
    <row r="50" spans="2:37" x14ac:dyDescent="0.2">
      <c r="B50" s="294">
        <v>12</v>
      </c>
      <c r="C50" s="295">
        <v>3486</v>
      </c>
      <c r="D50" s="295">
        <v>3616</v>
      </c>
      <c r="E50" s="295">
        <v>3731</v>
      </c>
      <c r="F50" s="295">
        <v>3850</v>
      </c>
      <c r="G50" s="295">
        <v>3965</v>
      </c>
      <c r="H50" s="295">
        <v>4098</v>
      </c>
      <c r="I50" s="295">
        <v>4353</v>
      </c>
      <c r="J50" s="295">
        <v>4473</v>
      </c>
      <c r="K50" s="295">
        <v>4596</v>
      </c>
      <c r="L50" s="295">
        <v>4713</v>
      </c>
      <c r="M50" s="295">
        <v>4838</v>
      </c>
      <c r="N50" s="295">
        <v>4960</v>
      </c>
      <c r="O50" s="295">
        <v>5079</v>
      </c>
      <c r="P50" s="295">
        <v>5200</v>
      </c>
      <c r="Q50" s="295">
        <v>5352</v>
      </c>
      <c r="R50" s="295">
        <v>5430</v>
      </c>
      <c r="S50" s="296">
        <f t="shared" si="1"/>
        <v>16</v>
      </c>
      <c r="U50" s="294"/>
      <c r="V50" s="295"/>
      <c r="W50" s="295"/>
      <c r="X50" s="295"/>
      <c r="Y50" s="295"/>
      <c r="Z50" s="295"/>
      <c r="AA50" s="295"/>
      <c r="AB50" s="295"/>
      <c r="AC50" s="295"/>
      <c r="AD50" s="295"/>
      <c r="AE50" s="295"/>
      <c r="AF50" s="295"/>
      <c r="AG50" s="295"/>
      <c r="AH50" s="295"/>
      <c r="AI50" s="295"/>
      <c r="AJ50" s="295"/>
      <c r="AK50" s="295"/>
    </row>
    <row r="51" spans="2:37" x14ac:dyDescent="0.2">
      <c r="B51" s="294">
        <v>13</v>
      </c>
      <c r="C51" s="295">
        <v>4225</v>
      </c>
      <c r="D51" s="295">
        <v>4353</v>
      </c>
      <c r="E51" s="295">
        <v>4473</v>
      </c>
      <c r="F51" s="295">
        <v>4596</v>
      </c>
      <c r="G51" s="295">
        <v>4713</v>
      </c>
      <c r="H51" s="295">
        <v>4960</v>
      </c>
      <c r="I51" s="295">
        <v>5079</v>
      </c>
      <c r="J51" s="295">
        <v>5200</v>
      </c>
      <c r="K51" s="295">
        <v>5352</v>
      </c>
      <c r="L51" s="295">
        <v>5506</v>
      </c>
      <c r="M51" s="295">
        <v>5658</v>
      </c>
      <c r="N51" s="295">
        <v>5812</v>
      </c>
      <c r="O51" s="295">
        <v>5886</v>
      </c>
      <c r="P51" s="295"/>
      <c r="Q51" s="295"/>
      <c r="R51" s="295"/>
      <c r="S51" s="296">
        <f t="shared" si="1"/>
        <v>13</v>
      </c>
      <c r="U51" s="294"/>
      <c r="V51" s="295"/>
      <c r="W51" s="295"/>
      <c r="X51" s="295"/>
      <c r="Y51" s="295"/>
      <c r="Z51" s="295"/>
      <c r="AA51" s="295"/>
      <c r="AB51" s="295"/>
      <c r="AC51" s="295"/>
      <c r="AD51" s="295"/>
      <c r="AE51" s="295"/>
      <c r="AF51" s="295"/>
      <c r="AG51" s="295"/>
      <c r="AH51" s="295"/>
      <c r="AI51" s="295"/>
      <c r="AJ51" s="295"/>
      <c r="AK51" s="295"/>
    </row>
    <row r="52" spans="2:37" x14ac:dyDescent="0.2">
      <c r="B52" s="294">
        <v>14</v>
      </c>
      <c r="C52" s="295">
        <v>4838</v>
      </c>
      <c r="D52" s="295">
        <v>4960</v>
      </c>
      <c r="E52" s="295">
        <v>5200</v>
      </c>
      <c r="F52" s="295">
        <v>5352</v>
      </c>
      <c r="G52" s="295">
        <v>5506</v>
      </c>
      <c r="H52" s="295">
        <v>5658</v>
      </c>
      <c r="I52" s="295">
        <v>5812</v>
      </c>
      <c r="J52" s="295">
        <v>5966</v>
      </c>
      <c r="K52" s="295">
        <v>6128</v>
      </c>
      <c r="L52" s="295">
        <v>6294</v>
      </c>
      <c r="M52" s="295">
        <v>6465</v>
      </c>
      <c r="N52" s="295"/>
      <c r="O52" s="295"/>
      <c r="P52" s="295"/>
      <c r="Q52" s="295"/>
      <c r="R52" s="295"/>
      <c r="S52" s="296">
        <f t="shared" si="1"/>
        <v>11</v>
      </c>
      <c r="U52" s="294"/>
      <c r="V52" s="295"/>
      <c r="W52" s="295"/>
      <c r="X52" s="295"/>
      <c r="Y52" s="295"/>
      <c r="Z52" s="295"/>
      <c r="AA52" s="295"/>
      <c r="AB52" s="295"/>
      <c r="AC52" s="295"/>
      <c r="AD52" s="295"/>
      <c r="AE52" s="295"/>
      <c r="AF52" s="295"/>
      <c r="AG52" s="295"/>
      <c r="AH52" s="295"/>
      <c r="AI52" s="295"/>
      <c r="AJ52" s="295"/>
      <c r="AK52" s="295"/>
    </row>
    <row r="53" spans="2:37" x14ac:dyDescent="0.2">
      <c r="B53" s="294">
        <v>15</v>
      </c>
      <c r="C53" s="295">
        <v>5079</v>
      </c>
      <c r="D53" s="295">
        <v>5200</v>
      </c>
      <c r="E53" s="295">
        <v>5352</v>
      </c>
      <c r="F53" s="295">
        <v>5658</v>
      </c>
      <c r="G53" s="295">
        <v>5812</v>
      </c>
      <c r="H53" s="295">
        <v>5966</v>
      </c>
      <c r="I53" s="295">
        <v>6128</v>
      </c>
      <c r="J53" s="295">
        <v>6294</v>
      </c>
      <c r="K53" s="295">
        <v>6465</v>
      </c>
      <c r="L53" s="295">
        <v>6670</v>
      </c>
      <c r="M53" s="295">
        <v>6882</v>
      </c>
      <c r="N53" s="295">
        <v>7099</v>
      </c>
      <c r="O53" s="295"/>
      <c r="P53" s="295"/>
      <c r="Q53" s="295"/>
      <c r="R53" s="295"/>
      <c r="S53" s="296">
        <f t="shared" si="1"/>
        <v>12</v>
      </c>
      <c r="U53" s="294"/>
      <c r="V53" s="295"/>
      <c r="W53" s="295"/>
      <c r="X53" s="295"/>
      <c r="Y53" s="295"/>
      <c r="Z53" s="295"/>
      <c r="AA53" s="295"/>
      <c r="AB53" s="295"/>
      <c r="AC53" s="295"/>
      <c r="AD53" s="295"/>
      <c r="AE53" s="295"/>
      <c r="AF53" s="295"/>
      <c r="AG53" s="295"/>
      <c r="AH53" s="295"/>
      <c r="AI53" s="295"/>
      <c r="AJ53" s="295"/>
      <c r="AK53" s="295"/>
    </row>
    <row r="54" spans="2:37" x14ac:dyDescent="0.2">
      <c r="B54" s="294">
        <v>16</v>
      </c>
      <c r="C54" s="295">
        <v>5506</v>
      </c>
      <c r="D54" s="295">
        <v>5658</v>
      </c>
      <c r="E54" s="295">
        <v>5812</v>
      </c>
      <c r="F54" s="295">
        <v>6128</v>
      </c>
      <c r="G54" s="295">
        <v>6294</v>
      </c>
      <c r="H54" s="295">
        <v>6465</v>
      </c>
      <c r="I54" s="295">
        <v>6670</v>
      </c>
      <c r="J54" s="295">
        <v>6882</v>
      </c>
      <c r="K54" s="295">
        <v>7099</v>
      </c>
      <c r="L54" s="295">
        <v>7326</v>
      </c>
      <c r="M54" s="295">
        <v>7557</v>
      </c>
      <c r="N54" s="295">
        <v>7798</v>
      </c>
      <c r="O54" s="295"/>
      <c r="P54" s="295"/>
      <c r="Q54" s="295"/>
      <c r="R54" s="295"/>
      <c r="S54" s="296">
        <f t="shared" si="1"/>
        <v>12</v>
      </c>
      <c r="U54" s="294"/>
      <c r="V54" s="295"/>
      <c r="W54" s="295"/>
      <c r="X54" s="295"/>
      <c r="Y54" s="295"/>
      <c r="Z54" s="295"/>
      <c r="AA54" s="295"/>
      <c r="AB54" s="295"/>
      <c r="AC54" s="295"/>
      <c r="AD54" s="295"/>
      <c r="AE54" s="295"/>
      <c r="AF54" s="295"/>
      <c r="AG54" s="295"/>
      <c r="AH54" s="295"/>
      <c r="AI54" s="295"/>
      <c r="AJ54" s="295"/>
      <c r="AK54" s="295"/>
    </row>
    <row r="55" spans="2:37" x14ac:dyDescent="0.2">
      <c r="B55" s="294">
        <v>17</v>
      </c>
      <c r="C55" s="295">
        <v>5966</v>
      </c>
      <c r="D55" s="295">
        <v>6128</v>
      </c>
      <c r="E55" s="295">
        <v>6294</v>
      </c>
      <c r="F55" s="295">
        <v>6670</v>
      </c>
      <c r="G55" s="295">
        <v>6882</v>
      </c>
      <c r="H55" s="295">
        <v>7099</v>
      </c>
      <c r="I55" s="295">
        <v>7326</v>
      </c>
      <c r="J55" s="295">
        <v>7557</v>
      </c>
      <c r="K55" s="295">
        <v>7798</v>
      </c>
      <c r="L55" s="295">
        <v>8047</v>
      </c>
      <c r="M55" s="295">
        <v>8302</v>
      </c>
      <c r="N55" s="295">
        <v>8565</v>
      </c>
      <c r="O55" s="295"/>
      <c r="P55" s="295"/>
      <c r="Q55" s="295"/>
      <c r="R55" s="295"/>
      <c r="S55" s="296">
        <f t="shared" si="1"/>
        <v>12</v>
      </c>
      <c r="U55" s="294"/>
      <c r="V55" s="295"/>
      <c r="W55" s="295"/>
      <c r="X55" s="295"/>
      <c r="Y55" s="295"/>
      <c r="Z55" s="295"/>
      <c r="AA55" s="295"/>
      <c r="AB55" s="295"/>
      <c r="AC55" s="295"/>
      <c r="AD55" s="295"/>
      <c r="AE55" s="295"/>
      <c r="AF55" s="295"/>
      <c r="AG55" s="295"/>
      <c r="AH55" s="295"/>
      <c r="AI55" s="295"/>
      <c r="AJ55" s="295"/>
      <c r="AK55" s="295"/>
    </row>
    <row r="56" spans="2:37" x14ac:dyDescent="0.2">
      <c r="B56" s="294" t="s">
        <v>9</v>
      </c>
      <c r="C56" s="295">
        <v>1621.06</v>
      </c>
      <c r="D56" s="295">
        <v>1646.96</v>
      </c>
      <c r="E56" s="295">
        <v>1673</v>
      </c>
      <c r="F56" s="295">
        <v>1740</v>
      </c>
      <c r="G56" s="295">
        <v>1804</v>
      </c>
      <c r="H56" s="295">
        <v>1834</v>
      </c>
      <c r="I56" s="295">
        <v>1869</v>
      </c>
      <c r="J56" s="295">
        <v>1903</v>
      </c>
      <c r="K56" s="295">
        <v>1949</v>
      </c>
      <c r="L56" s="293"/>
      <c r="M56" s="293"/>
      <c r="N56" s="293"/>
      <c r="O56" s="293"/>
      <c r="P56" s="293"/>
      <c r="Q56" s="293"/>
      <c r="R56" s="293"/>
      <c r="S56" s="296">
        <f t="shared" si="1"/>
        <v>9</v>
      </c>
      <c r="U56" s="294"/>
      <c r="V56" s="295"/>
      <c r="W56" s="295"/>
      <c r="X56" s="295"/>
      <c r="Y56" s="295"/>
      <c r="Z56" s="295"/>
      <c r="AA56" s="295"/>
      <c r="AB56" s="295"/>
      <c r="AC56" s="295"/>
      <c r="AD56" s="295"/>
      <c r="AE56" s="295"/>
      <c r="AF56" s="295"/>
      <c r="AG56" s="295"/>
      <c r="AH56" s="295"/>
      <c r="AI56" s="295"/>
      <c r="AJ56" s="295"/>
      <c r="AK56" s="295"/>
    </row>
    <row r="57" spans="2:37" x14ac:dyDescent="0.2">
      <c r="B57" s="294" t="s">
        <v>10</v>
      </c>
      <c r="C57" s="295">
        <v>1709</v>
      </c>
      <c r="D57" s="295">
        <v>1773</v>
      </c>
      <c r="E57" s="295">
        <v>1834</v>
      </c>
      <c r="F57" s="295">
        <v>1903</v>
      </c>
      <c r="G57" s="295">
        <v>1949</v>
      </c>
      <c r="H57" s="295">
        <v>2002</v>
      </c>
      <c r="I57" s="295">
        <v>2066</v>
      </c>
      <c r="J57" s="295">
        <v>2126</v>
      </c>
      <c r="K57" s="295"/>
      <c r="L57" s="293"/>
      <c r="M57" s="293"/>
      <c r="N57" s="293"/>
      <c r="O57" s="293"/>
      <c r="P57" s="293"/>
      <c r="Q57" s="293"/>
      <c r="R57" s="293"/>
      <c r="S57" s="296">
        <f t="shared" si="1"/>
        <v>8</v>
      </c>
      <c r="U57" s="294"/>
      <c r="V57" s="295"/>
      <c r="W57" s="295"/>
      <c r="X57" s="295"/>
      <c r="Y57" s="295"/>
      <c r="Z57" s="295"/>
      <c r="AA57" s="295"/>
      <c r="AB57" s="295"/>
      <c r="AC57" s="295"/>
      <c r="AD57" s="295"/>
      <c r="AE57" s="295"/>
      <c r="AF57" s="295"/>
      <c r="AG57" s="295"/>
      <c r="AH57" s="295"/>
      <c r="AI57" s="295"/>
      <c r="AJ57" s="295"/>
      <c r="AK57" s="295"/>
    </row>
    <row r="58" spans="2:37" x14ac:dyDescent="0.2">
      <c r="B58" s="294" t="s">
        <v>11</v>
      </c>
      <c r="C58" s="295">
        <v>1709</v>
      </c>
      <c r="D58" s="295">
        <v>1834</v>
      </c>
      <c r="E58" s="295">
        <v>1903</v>
      </c>
      <c r="F58" s="295">
        <v>2002</v>
      </c>
      <c r="G58" s="295">
        <v>2066</v>
      </c>
      <c r="H58" s="295">
        <v>2126</v>
      </c>
      <c r="I58" s="295">
        <v>2186</v>
      </c>
      <c r="J58" s="295">
        <v>2244</v>
      </c>
      <c r="K58" s="295">
        <v>2301</v>
      </c>
      <c r="L58" s="293"/>
      <c r="M58" s="293"/>
      <c r="N58" s="293"/>
      <c r="O58" s="293"/>
      <c r="P58" s="293"/>
      <c r="Q58" s="293"/>
      <c r="R58" s="293"/>
      <c r="S58" s="296">
        <f>COUNTA(C58:R58)</f>
        <v>9</v>
      </c>
      <c r="U58" s="294"/>
      <c r="V58" s="295"/>
      <c r="W58" s="295"/>
      <c r="X58" s="295"/>
      <c r="Y58" s="295"/>
      <c r="Z58" s="295"/>
      <c r="AA58" s="295"/>
      <c r="AB58" s="295"/>
      <c r="AC58" s="295"/>
      <c r="AD58" s="295"/>
      <c r="AE58" s="295"/>
      <c r="AF58" s="295"/>
      <c r="AG58" s="295"/>
      <c r="AH58" s="295"/>
      <c r="AI58" s="295"/>
      <c r="AJ58" s="295"/>
      <c r="AK58" s="295"/>
    </row>
    <row r="59" spans="2:37" x14ac:dyDescent="0.2">
      <c r="B59" s="294" t="s">
        <v>12</v>
      </c>
      <c r="C59" s="295">
        <v>1358</v>
      </c>
      <c r="D59" s="293"/>
      <c r="E59" s="293"/>
      <c r="F59" s="293"/>
      <c r="G59" s="293"/>
      <c r="H59" s="293"/>
      <c r="I59" s="293"/>
      <c r="J59" s="293"/>
      <c r="K59" s="293"/>
      <c r="L59" s="293"/>
      <c r="M59" s="293"/>
      <c r="N59" s="293"/>
      <c r="O59" s="293"/>
      <c r="P59" s="293"/>
      <c r="Q59" s="293"/>
      <c r="R59" s="293"/>
      <c r="S59" s="296">
        <f t="shared" ref="S59" si="2">COUNTA(C59:R59)</f>
        <v>1</v>
      </c>
      <c r="U59" s="294"/>
      <c r="V59" s="295"/>
      <c r="W59" s="295"/>
      <c r="X59" s="295"/>
      <c r="Y59" s="295"/>
      <c r="Z59" s="295"/>
      <c r="AA59" s="295"/>
      <c r="AB59" s="295"/>
      <c r="AC59" s="295"/>
      <c r="AD59" s="295"/>
      <c r="AE59" s="295"/>
      <c r="AF59" s="295"/>
      <c r="AG59" s="295"/>
      <c r="AH59" s="295"/>
      <c r="AI59" s="295"/>
      <c r="AJ59" s="295"/>
      <c r="AK59" s="295"/>
    </row>
    <row r="61" spans="2:37" x14ac:dyDescent="0.2">
      <c r="B61" s="301" t="s">
        <v>2</v>
      </c>
      <c r="C61" s="302">
        <v>43617</v>
      </c>
      <c r="D61" s="303"/>
      <c r="E61" s="304" t="s">
        <v>279</v>
      </c>
      <c r="F61" s="305">
        <v>2.1499999999999998E-2</v>
      </c>
      <c r="G61" s="306"/>
      <c r="K61" s="306"/>
      <c r="L61" s="306"/>
      <c r="M61" s="306"/>
      <c r="N61" s="306"/>
      <c r="O61" s="306"/>
      <c r="P61" s="306"/>
      <c r="Q61" s="306"/>
      <c r="R61" s="306"/>
    </row>
    <row r="62" spans="2:37" x14ac:dyDescent="0.2">
      <c r="B62" s="307" t="s">
        <v>3</v>
      </c>
      <c r="C62" s="307">
        <v>1</v>
      </c>
      <c r="D62" s="307">
        <v>2</v>
      </c>
      <c r="E62" s="307">
        <v>3</v>
      </c>
      <c r="F62" s="307">
        <v>4</v>
      </c>
      <c r="G62" s="307">
        <v>5</v>
      </c>
      <c r="H62" s="307">
        <v>6</v>
      </c>
      <c r="I62" s="307">
        <v>7</v>
      </c>
      <c r="J62" s="307">
        <v>8</v>
      </c>
      <c r="K62" s="307">
        <v>9</v>
      </c>
      <c r="L62" s="307">
        <v>10</v>
      </c>
      <c r="M62" s="307">
        <v>11</v>
      </c>
      <c r="N62" s="307">
        <v>12</v>
      </c>
      <c r="O62" s="307">
        <v>13</v>
      </c>
      <c r="P62" s="307">
        <v>14</v>
      </c>
      <c r="Q62" s="307">
        <v>15</v>
      </c>
      <c r="R62" s="307">
        <v>16</v>
      </c>
      <c r="S62" s="307" t="s">
        <v>4</v>
      </c>
    </row>
    <row r="63" spans="2:37" x14ac:dyDescent="0.2">
      <c r="B63" s="294" t="s">
        <v>5</v>
      </c>
      <c r="C63" s="295">
        <v>2747</v>
      </c>
      <c r="D63" s="295">
        <v>2814</v>
      </c>
      <c r="E63" s="295">
        <v>2898</v>
      </c>
      <c r="F63" s="295">
        <v>2983</v>
      </c>
      <c r="G63" s="295">
        <v>3068</v>
      </c>
      <c r="H63" s="295">
        <v>3174</v>
      </c>
      <c r="I63" s="295">
        <v>3297</v>
      </c>
      <c r="J63" s="295">
        <v>3438</v>
      </c>
      <c r="K63" s="295">
        <v>3597</v>
      </c>
      <c r="L63" s="295">
        <v>3773</v>
      </c>
      <c r="M63" s="295">
        <v>3969</v>
      </c>
      <c r="N63" s="295">
        <v>4186</v>
      </c>
      <c r="O63" s="295"/>
      <c r="P63" s="295"/>
      <c r="Q63" s="295"/>
      <c r="R63" s="295"/>
      <c r="S63" s="296">
        <f t="shared" ref="S63:S87" si="3">COUNTA(C63:R63)</f>
        <v>12</v>
      </c>
    </row>
    <row r="64" spans="2:37" x14ac:dyDescent="0.2">
      <c r="B64" s="294" t="s">
        <v>6</v>
      </c>
      <c r="C64" s="295">
        <v>2764</v>
      </c>
      <c r="D64" s="295">
        <v>2895</v>
      </c>
      <c r="E64" s="295">
        <v>3045</v>
      </c>
      <c r="F64" s="295">
        <v>3195</v>
      </c>
      <c r="G64" s="295">
        <v>3344</v>
      </c>
      <c r="H64" s="295">
        <v>3511</v>
      </c>
      <c r="I64" s="295">
        <v>3696</v>
      </c>
      <c r="J64" s="295">
        <v>3897</v>
      </c>
      <c r="K64" s="295">
        <v>4116</v>
      </c>
      <c r="L64" s="295">
        <v>4353</v>
      </c>
      <c r="M64" s="295">
        <v>4607</v>
      </c>
      <c r="N64" s="295">
        <v>4878</v>
      </c>
      <c r="O64" s="295"/>
      <c r="P64" s="295"/>
      <c r="Q64" s="295"/>
      <c r="R64" s="295"/>
      <c r="S64" s="296">
        <f t="shared" si="3"/>
        <v>12</v>
      </c>
    </row>
    <row r="65" spans="2:19" x14ac:dyDescent="0.2">
      <c r="B65" s="294" t="s">
        <v>7</v>
      </c>
      <c r="C65" s="295">
        <v>2775</v>
      </c>
      <c r="D65" s="295">
        <v>2938</v>
      </c>
      <c r="E65" s="295">
        <v>3128</v>
      </c>
      <c r="F65" s="295">
        <v>3319</v>
      </c>
      <c r="G65" s="295">
        <v>3509</v>
      </c>
      <c r="H65" s="295">
        <v>3723</v>
      </c>
      <c r="I65" s="295">
        <v>3963</v>
      </c>
      <c r="J65" s="295">
        <v>4229</v>
      </c>
      <c r="K65" s="295">
        <v>4520</v>
      </c>
      <c r="L65" s="295">
        <v>4837</v>
      </c>
      <c r="M65" s="295">
        <v>5178</v>
      </c>
      <c r="N65" s="295">
        <v>5546</v>
      </c>
      <c r="O65" s="295"/>
      <c r="P65" s="295"/>
      <c r="Q65" s="295"/>
      <c r="R65" s="295"/>
      <c r="S65" s="296">
        <f t="shared" si="3"/>
        <v>12</v>
      </c>
    </row>
    <row r="66" spans="2:19" x14ac:dyDescent="0.2">
      <c r="B66" s="294" t="s">
        <v>8</v>
      </c>
      <c r="C66" s="295">
        <v>3561</v>
      </c>
      <c r="D66" s="295">
        <v>3693</v>
      </c>
      <c r="E66" s="295">
        <v>3811</v>
      </c>
      <c r="F66" s="295">
        <v>4050</v>
      </c>
      <c r="G66" s="295">
        <v>4316</v>
      </c>
      <c r="H66" s="295">
        <v>4559</v>
      </c>
      <c r="I66" s="295">
        <v>4800</v>
      </c>
      <c r="J66" s="295">
        <v>5043</v>
      </c>
      <c r="K66" s="295">
        <v>5285</v>
      </c>
      <c r="L66" s="295">
        <v>5526</v>
      </c>
      <c r="M66" s="295">
        <v>5768</v>
      </c>
      <c r="N66" s="295">
        <v>6012</v>
      </c>
      <c r="O66" s="295"/>
      <c r="P66" s="295"/>
      <c r="Q66" s="295"/>
      <c r="R66" s="295"/>
      <c r="S66" s="296">
        <f t="shared" si="3"/>
        <v>12</v>
      </c>
    </row>
    <row r="67" spans="2:19" x14ac:dyDescent="0.2">
      <c r="B67" s="294">
        <v>1</v>
      </c>
      <c r="C67" s="295">
        <v>1709</v>
      </c>
      <c r="D67" s="295">
        <v>1777</v>
      </c>
      <c r="E67" s="295">
        <v>1843</v>
      </c>
      <c r="F67" s="295">
        <v>1874</v>
      </c>
      <c r="G67" s="295">
        <v>1909</v>
      </c>
      <c r="H67" s="295">
        <v>1944</v>
      </c>
      <c r="I67" s="295">
        <v>1991</v>
      </c>
      <c r="J67" s="295"/>
      <c r="K67" s="295"/>
      <c r="L67" s="295"/>
      <c r="M67" s="295"/>
      <c r="N67" s="295"/>
      <c r="O67" s="295"/>
      <c r="P67" s="295"/>
      <c r="Q67" s="295"/>
      <c r="R67" s="295"/>
      <c r="S67" s="296">
        <f t="shared" si="3"/>
        <v>7</v>
      </c>
    </row>
    <row r="68" spans="2:19" x14ac:dyDescent="0.2">
      <c r="B68" s="294">
        <v>2</v>
      </c>
      <c r="C68" s="295">
        <v>1746</v>
      </c>
      <c r="D68" s="295">
        <v>1811</v>
      </c>
      <c r="E68" s="295">
        <v>1874</v>
      </c>
      <c r="F68" s="295">
        <v>1944</v>
      </c>
      <c r="G68" s="295">
        <v>1991</v>
      </c>
      <c r="H68" s="295">
        <v>2045</v>
      </c>
      <c r="I68" s="295">
        <v>2111</v>
      </c>
      <c r="J68" s="295">
        <v>2172</v>
      </c>
      <c r="K68" s="295"/>
      <c r="L68" s="295"/>
      <c r="M68" s="295"/>
      <c r="N68" s="295"/>
      <c r="O68" s="295"/>
      <c r="P68" s="295"/>
      <c r="Q68" s="295"/>
      <c r="R68" s="295"/>
      <c r="S68" s="296">
        <f t="shared" si="3"/>
        <v>8</v>
      </c>
    </row>
    <row r="69" spans="2:19" x14ac:dyDescent="0.2">
      <c r="B69" s="294">
        <v>3</v>
      </c>
      <c r="C69" s="295">
        <v>1746</v>
      </c>
      <c r="D69" s="295">
        <v>1874</v>
      </c>
      <c r="E69" s="295">
        <v>1944</v>
      </c>
      <c r="F69" s="295">
        <v>2045</v>
      </c>
      <c r="G69" s="295">
        <v>2111</v>
      </c>
      <c r="H69" s="295">
        <v>2172</v>
      </c>
      <c r="I69" s="295">
        <v>2233</v>
      </c>
      <c r="J69" s="295">
        <v>2292</v>
      </c>
      <c r="K69" s="295">
        <v>2351</v>
      </c>
      <c r="L69" s="295"/>
      <c r="M69" s="295"/>
      <c r="N69" s="295"/>
      <c r="O69" s="295"/>
      <c r="P69" s="295"/>
      <c r="Q69" s="295"/>
      <c r="R69" s="295"/>
      <c r="S69" s="296">
        <f t="shared" si="3"/>
        <v>9</v>
      </c>
    </row>
    <row r="70" spans="2:19" x14ac:dyDescent="0.2">
      <c r="B70" s="294">
        <v>4</v>
      </c>
      <c r="C70" s="295">
        <v>1777</v>
      </c>
      <c r="D70" s="295">
        <v>1874</v>
      </c>
      <c r="E70" s="295">
        <v>1944</v>
      </c>
      <c r="F70" s="295">
        <v>2045</v>
      </c>
      <c r="G70" s="295">
        <v>2111</v>
      </c>
      <c r="H70" s="295">
        <v>2172</v>
      </c>
      <c r="I70" s="295">
        <v>2233</v>
      </c>
      <c r="J70" s="295">
        <v>2292</v>
      </c>
      <c r="K70" s="295">
        <v>2351</v>
      </c>
      <c r="L70" s="295">
        <v>2408</v>
      </c>
      <c r="M70" s="295">
        <v>2464</v>
      </c>
      <c r="N70" s="295"/>
      <c r="O70" s="295"/>
      <c r="P70" s="295"/>
      <c r="Q70" s="295"/>
      <c r="R70" s="295"/>
      <c r="S70" s="296">
        <f t="shared" si="3"/>
        <v>11</v>
      </c>
    </row>
    <row r="71" spans="2:19" x14ac:dyDescent="0.2">
      <c r="B71" s="294">
        <v>5</v>
      </c>
      <c r="C71" s="295">
        <v>1811</v>
      </c>
      <c r="D71" s="295">
        <v>1874</v>
      </c>
      <c r="E71" s="295">
        <v>1944</v>
      </c>
      <c r="F71" s="295">
        <v>2045</v>
      </c>
      <c r="G71" s="295">
        <v>2172</v>
      </c>
      <c r="H71" s="295">
        <v>2233</v>
      </c>
      <c r="I71" s="295">
        <v>2292</v>
      </c>
      <c r="J71" s="295">
        <v>2351</v>
      </c>
      <c r="K71" s="295">
        <v>2408</v>
      </c>
      <c r="L71" s="295">
        <v>2464</v>
      </c>
      <c r="M71" s="295">
        <v>2522</v>
      </c>
      <c r="N71" s="295">
        <v>2588</v>
      </c>
      <c r="O71" s="295"/>
      <c r="P71" s="295"/>
      <c r="Q71" s="295"/>
      <c r="R71" s="295"/>
      <c r="S71" s="296">
        <f t="shared" si="3"/>
        <v>12</v>
      </c>
    </row>
    <row r="72" spans="2:19" x14ac:dyDescent="0.2">
      <c r="B72" s="294">
        <v>6</v>
      </c>
      <c r="C72" s="295">
        <v>1874</v>
      </c>
      <c r="D72" s="295">
        <v>1944</v>
      </c>
      <c r="E72" s="295">
        <v>2172</v>
      </c>
      <c r="F72" s="295">
        <v>2292</v>
      </c>
      <c r="G72" s="295">
        <v>2351</v>
      </c>
      <c r="H72" s="295">
        <v>2408</v>
      </c>
      <c r="I72" s="295">
        <v>2464</v>
      </c>
      <c r="J72" s="295">
        <v>2522</v>
      </c>
      <c r="K72" s="295">
        <v>2588</v>
      </c>
      <c r="L72" s="295">
        <v>2651</v>
      </c>
      <c r="M72" s="295">
        <v>2710</v>
      </c>
      <c r="N72" s="295"/>
      <c r="O72" s="295"/>
      <c r="P72" s="295"/>
      <c r="Q72" s="295"/>
      <c r="R72" s="295"/>
      <c r="S72" s="296">
        <f t="shared" si="3"/>
        <v>11</v>
      </c>
    </row>
    <row r="73" spans="2:19" x14ac:dyDescent="0.2">
      <c r="B73" s="294">
        <v>7</v>
      </c>
      <c r="C73" s="295">
        <v>1991</v>
      </c>
      <c r="D73" s="295">
        <v>2045</v>
      </c>
      <c r="E73" s="295">
        <v>2172</v>
      </c>
      <c r="F73" s="295">
        <v>2408</v>
      </c>
      <c r="G73" s="295">
        <v>2522</v>
      </c>
      <c r="H73" s="295">
        <v>2588</v>
      </c>
      <c r="I73" s="295">
        <v>2651</v>
      </c>
      <c r="J73" s="295">
        <v>2710</v>
      </c>
      <c r="K73" s="295">
        <v>2775</v>
      </c>
      <c r="L73" s="295">
        <v>2841</v>
      </c>
      <c r="M73" s="295">
        <v>2908</v>
      </c>
      <c r="N73" s="295">
        <v>2986</v>
      </c>
      <c r="O73" s="295"/>
      <c r="P73" s="295"/>
      <c r="Q73" s="295"/>
      <c r="R73" s="295"/>
      <c r="S73" s="296">
        <f t="shared" si="3"/>
        <v>12</v>
      </c>
    </row>
    <row r="74" spans="2:19" x14ac:dyDescent="0.2">
      <c r="B74" s="294">
        <v>8</v>
      </c>
      <c r="C74" s="295">
        <v>2233</v>
      </c>
      <c r="D74" s="295">
        <v>2292</v>
      </c>
      <c r="E74" s="295">
        <v>2408</v>
      </c>
      <c r="F74" s="295">
        <v>2651</v>
      </c>
      <c r="G74" s="295">
        <v>2775</v>
      </c>
      <c r="H74" s="295">
        <v>2908</v>
      </c>
      <c r="I74" s="295">
        <v>2986</v>
      </c>
      <c r="J74" s="295">
        <v>3056</v>
      </c>
      <c r="K74" s="295">
        <v>3118</v>
      </c>
      <c r="L74" s="295">
        <v>3186</v>
      </c>
      <c r="M74" s="295">
        <v>3253</v>
      </c>
      <c r="N74" s="295">
        <v>3315</v>
      </c>
      <c r="O74" s="295">
        <v>3374</v>
      </c>
      <c r="P74" s="295"/>
      <c r="Q74" s="295"/>
      <c r="R74" s="295"/>
      <c r="S74" s="296">
        <f t="shared" si="3"/>
        <v>13</v>
      </c>
    </row>
    <row r="75" spans="2:19" x14ac:dyDescent="0.2">
      <c r="B75" s="294">
        <v>9</v>
      </c>
      <c r="C75" s="295">
        <v>2522</v>
      </c>
      <c r="D75" s="295">
        <v>2651</v>
      </c>
      <c r="E75" s="295">
        <v>2908</v>
      </c>
      <c r="F75" s="295">
        <v>3056</v>
      </c>
      <c r="G75" s="295">
        <v>3186</v>
      </c>
      <c r="H75" s="295">
        <v>3315</v>
      </c>
      <c r="I75" s="295">
        <v>3439</v>
      </c>
      <c r="J75" s="295">
        <v>3561</v>
      </c>
      <c r="K75" s="295">
        <v>3693</v>
      </c>
      <c r="L75" s="295">
        <v>3811</v>
      </c>
      <c r="M75" s="295"/>
      <c r="N75" s="295"/>
      <c r="O75" s="295"/>
      <c r="P75" s="295"/>
      <c r="Q75" s="295"/>
      <c r="R75" s="295"/>
      <c r="S75" s="296">
        <f t="shared" si="3"/>
        <v>10</v>
      </c>
    </row>
    <row r="76" spans="2:19" x14ac:dyDescent="0.2">
      <c r="B76" s="294">
        <v>10</v>
      </c>
      <c r="C76" s="295">
        <v>2522</v>
      </c>
      <c r="D76" s="295">
        <v>2775</v>
      </c>
      <c r="E76" s="295">
        <v>2908</v>
      </c>
      <c r="F76" s="295">
        <v>3056</v>
      </c>
      <c r="G76" s="295">
        <v>3186</v>
      </c>
      <c r="H76" s="295">
        <v>3315</v>
      </c>
      <c r="I76" s="295">
        <v>3439</v>
      </c>
      <c r="J76" s="295">
        <v>3561</v>
      </c>
      <c r="K76" s="295">
        <v>3693</v>
      </c>
      <c r="L76" s="295">
        <v>3811</v>
      </c>
      <c r="M76" s="295">
        <v>3933</v>
      </c>
      <c r="N76" s="295">
        <v>4050</v>
      </c>
      <c r="O76" s="295">
        <v>4186</v>
      </c>
      <c r="P76" s="295"/>
      <c r="Q76" s="295"/>
      <c r="R76" s="295"/>
      <c r="S76" s="296">
        <f t="shared" si="3"/>
        <v>13</v>
      </c>
    </row>
    <row r="77" spans="2:19" x14ac:dyDescent="0.2">
      <c r="B77" s="294">
        <v>11</v>
      </c>
      <c r="C77" s="295">
        <v>2651</v>
      </c>
      <c r="D77" s="295">
        <v>2775</v>
      </c>
      <c r="E77" s="295">
        <v>2911</v>
      </c>
      <c r="F77" s="295">
        <v>3058</v>
      </c>
      <c r="G77" s="295">
        <v>3195</v>
      </c>
      <c r="H77" s="295">
        <v>3333</v>
      </c>
      <c r="I77" s="295">
        <v>3472</v>
      </c>
      <c r="J77" s="295">
        <v>3693</v>
      </c>
      <c r="K77" s="295">
        <v>3841</v>
      </c>
      <c r="L77" s="295">
        <v>3989</v>
      </c>
      <c r="M77" s="295">
        <v>4137</v>
      </c>
      <c r="N77" s="295">
        <v>4286</v>
      </c>
      <c r="O77" s="295">
        <v>4434</v>
      </c>
      <c r="P77" s="295">
        <v>4582</v>
      </c>
      <c r="Q77" s="295">
        <v>4731</v>
      </c>
      <c r="R77" s="295">
        <v>4878</v>
      </c>
      <c r="S77" s="296">
        <f t="shared" si="3"/>
        <v>16</v>
      </c>
    </row>
    <row r="78" spans="2:19" x14ac:dyDescent="0.2">
      <c r="B78" s="294">
        <v>12</v>
      </c>
      <c r="C78" s="295">
        <v>3561</v>
      </c>
      <c r="D78" s="295">
        <v>3693</v>
      </c>
      <c r="E78" s="295">
        <v>3811</v>
      </c>
      <c r="F78" s="295">
        <v>3933</v>
      </c>
      <c r="G78" s="295">
        <v>4050</v>
      </c>
      <c r="H78" s="295">
        <v>4186</v>
      </c>
      <c r="I78" s="295">
        <v>4446</v>
      </c>
      <c r="J78" s="295">
        <v>4569</v>
      </c>
      <c r="K78" s="295">
        <v>4694</v>
      </c>
      <c r="L78" s="295">
        <v>4815</v>
      </c>
      <c r="M78" s="295">
        <v>4942</v>
      </c>
      <c r="N78" s="295">
        <v>5067</v>
      </c>
      <c r="O78" s="295">
        <v>5188</v>
      </c>
      <c r="P78" s="295">
        <v>5312</v>
      </c>
      <c r="Q78" s="295">
        <v>5467</v>
      </c>
      <c r="R78" s="295">
        <v>5546</v>
      </c>
      <c r="S78" s="296">
        <f t="shared" si="3"/>
        <v>16</v>
      </c>
    </row>
    <row r="79" spans="2:19" x14ac:dyDescent="0.2">
      <c r="B79" s="294">
        <v>13</v>
      </c>
      <c r="C79" s="295">
        <v>4316</v>
      </c>
      <c r="D79" s="295">
        <v>4446</v>
      </c>
      <c r="E79" s="295">
        <v>4569</v>
      </c>
      <c r="F79" s="295">
        <v>4694</v>
      </c>
      <c r="G79" s="295">
        <v>4815</v>
      </c>
      <c r="H79" s="295">
        <v>5067</v>
      </c>
      <c r="I79" s="295">
        <v>5188</v>
      </c>
      <c r="J79" s="295">
        <v>5312</v>
      </c>
      <c r="K79" s="295">
        <v>5467</v>
      </c>
      <c r="L79" s="295">
        <v>5624</v>
      </c>
      <c r="M79" s="295">
        <v>5780</v>
      </c>
      <c r="N79" s="295">
        <v>5937</v>
      </c>
      <c r="O79" s="295">
        <v>6012</v>
      </c>
      <c r="P79" s="295"/>
      <c r="Q79" s="295"/>
      <c r="R79" s="295"/>
      <c r="S79" s="296">
        <f t="shared" si="3"/>
        <v>13</v>
      </c>
    </row>
    <row r="80" spans="2:19" x14ac:dyDescent="0.2">
      <c r="B80" s="294">
        <v>14</v>
      </c>
      <c r="C80" s="295">
        <v>4942</v>
      </c>
      <c r="D80" s="295">
        <v>5067</v>
      </c>
      <c r="E80" s="295">
        <v>5312</v>
      </c>
      <c r="F80" s="295">
        <v>5467</v>
      </c>
      <c r="G80" s="295">
        <v>5624</v>
      </c>
      <c r="H80" s="295">
        <v>5780</v>
      </c>
      <c r="I80" s="295">
        <v>5937</v>
      </c>
      <c r="J80" s="295">
        <v>6095</v>
      </c>
      <c r="K80" s="295">
        <v>6259</v>
      </c>
      <c r="L80" s="295">
        <v>6430</v>
      </c>
      <c r="M80" s="295">
        <v>6604</v>
      </c>
      <c r="N80" s="295"/>
      <c r="O80" s="295"/>
      <c r="P80" s="295"/>
      <c r="Q80" s="295"/>
      <c r="R80" s="295"/>
      <c r="S80" s="296">
        <f t="shared" si="3"/>
        <v>11</v>
      </c>
    </row>
    <row r="81" spans="2:19" x14ac:dyDescent="0.2">
      <c r="B81" s="294">
        <v>15</v>
      </c>
      <c r="C81" s="295">
        <v>5188</v>
      </c>
      <c r="D81" s="295">
        <v>5312</v>
      </c>
      <c r="E81" s="295">
        <v>5467</v>
      </c>
      <c r="F81" s="295">
        <v>5780</v>
      </c>
      <c r="G81" s="295">
        <v>5937</v>
      </c>
      <c r="H81" s="295">
        <v>6095</v>
      </c>
      <c r="I81" s="295">
        <v>6259</v>
      </c>
      <c r="J81" s="295">
        <v>6430</v>
      </c>
      <c r="K81" s="295">
        <v>6604</v>
      </c>
      <c r="L81" s="295">
        <v>6813</v>
      </c>
      <c r="M81" s="295">
        <v>7030</v>
      </c>
      <c r="N81" s="295">
        <v>7251</v>
      </c>
      <c r="O81" s="295"/>
      <c r="P81" s="295"/>
      <c r="Q81" s="295"/>
      <c r="R81" s="295"/>
      <c r="S81" s="296">
        <f t="shared" si="3"/>
        <v>12</v>
      </c>
    </row>
    <row r="82" spans="2:19" x14ac:dyDescent="0.2">
      <c r="B82" s="294">
        <v>16</v>
      </c>
      <c r="C82" s="295">
        <v>5624</v>
      </c>
      <c r="D82" s="295">
        <v>5780</v>
      </c>
      <c r="E82" s="295">
        <v>5937</v>
      </c>
      <c r="F82" s="295">
        <v>6259</v>
      </c>
      <c r="G82" s="295">
        <v>6430</v>
      </c>
      <c r="H82" s="295">
        <v>6604</v>
      </c>
      <c r="I82" s="295">
        <v>6813</v>
      </c>
      <c r="J82" s="295">
        <v>7030</v>
      </c>
      <c r="K82" s="295">
        <v>7251</v>
      </c>
      <c r="L82" s="295">
        <v>7484</v>
      </c>
      <c r="M82" s="295">
        <v>7720</v>
      </c>
      <c r="N82" s="295">
        <v>7966</v>
      </c>
      <c r="O82" s="295"/>
      <c r="P82" s="295"/>
      <c r="Q82" s="295"/>
      <c r="R82" s="295"/>
      <c r="S82" s="296">
        <f t="shared" si="3"/>
        <v>12</v>
      </c>
    </row>
    <row r="83" spans="2:19" x14ac:dyDescent="0.2">
      <c r="B83" s="294">
        <v>17</v>
      </c>
      <c r="C83" s="295">
        <v>6095</v>
      </c>
      <c r="D83" s="295">
        <v>6259</v>
      </c>
      <c r="E83" s="295">
        <v>6430</v>
      </c>
      <c r="F83" s="295">
        <v>6813</v>
      </c>
      <c r="G83" s="295">
        <v>7030</v>
      </c>
      <c r="H83" s="295">
        <v>7251</v>
      </c>
      <c r="I83" s="295">
        <v>7484</v>
      </c>
      <c r="J83" s="295">
        <v>7720</v>
      </c>
      <c r="K83" s="295">
        <v>7966</v>
      </c>
      <c r="L83" s="295">
        <v>8220</v>
      </c>
      <c r="M83" s="295">
        <v>8480</v>
      </c>
      <c r="N83" s="295">
        <v>8750</v>
      </c>
      <c r="O83" s="295"/>
      <c r="P83" s="295"/>
      <c r="Q83" s="295"/>
      <c r="R83" s="295"/>
      <c r="S83" s="296">
        <f t="shared" si="3"/>
        <v>12</v>
      </c>
    </row>
    <row r="84" spans="2:19" x14ac:dyDescent="0.2">
      <c r="B84" s="294" t="s">
        <v>9</v>
      </c>
      <c r="C84" s="295">
        <v>1635.6</v>
      </c>
      <c r="D84" s="295">
        <v>1665.1</v>
      </c>
      <c r="E84" s="295">
        <v>1709</v>
      </c>
      <c r="F84" s="295">
        <v>1777</v>
      </c>
      <c r="G84" s="295">
        <v>1843</v>
      </c>
      <c r="H84" s="295">
        <v>1874</v>
      </c>
      <c r="I84" s="295">
        <v>1909</v>
      </c>
      <c r="J84" s="295">
        <v>1944</v>
      </c>
      <c r="K84" s="295">
        <v>1991</v>
      </c>
      <c r="L84" s="295"/>
      <c r="M84" s="295"/>
      <c r="N84" s="295"/>
      <c r="O84" s="295"/>
      <c r="P84" s="295"/>
      <c r="Q84" s="295"/>
      <c r="R84" s="295"/>
      <c r="S84" s="296">
        <f t="shared" si="3"/>
        <v>9</v>
      </c>
    </row>
    <row r="85" spans="2:19" x14ac:dyDescent="0.2">
      <c r="B85" s="294" t="s">
        <v>10</v>
      </c>
      <c r="C85" s="295">
        <v>1746</v>
      </c>
      <c r="D85" s="295">
        <v>1811</v>
      </c>
      <c r="E85" s="295">
        <v>1874</v>
      </c>
      <c r="F85" s="295">
        <v>1944</v>
      </c>
      <c r="G85" s="295">
        <v>1991</v>
      </c>
      <c r="H85" s="295">
        <v>2045</v>
      </c>
      <c r="I85" s="295">
        <v>2111</v>
      </c>
      <c r="J85" s="295">
        <v>2172</v>
      </c>
      <c r="K85" s="295"/>
      <c r="L85" s="295"/>
      <c r="M85" s="295"/>
      <c r="N85" s="295"/>
      <c r="O85" s="295"/>
      <c r="P85" s="295"/>
      <c r="Q85" s="295"/>
      <c r="R85" s="295"/>
      <c r="S85" s="296">
        <f t="shared" si="3"/>
        <v>8</v>
      </c>
    </row>
    <row r="86" spans="2:19" x14ac:dyDescent="0.2">
      <c r="B86" s="294" t="s">
        <v>11</v>
      </c>
      <c r="C86" s="295">
        <v>1746</v>
      </c>
      <c r="D86" s="295">
        <v>1874</v>
      </c>
      <c r="E86" s="295">
        <v>1944</v>
      </c>
      <c r="F86" s="295">
        <v>2045</v>
      </c>
      <c r="G86" s="295">
        <v>2111</v>
      </c>
      <c r="H86" s="295">
        <v>2172</v>
      </c>
      <c r="I86" s="295">
        <v>2233</v>
      </c>
      <c r="J86" s="295">
        <v>2292</v>
      </c>
      <c r="K86" s="295">
        <v>2351</v>
      </c>
      <c r="L86" s="295"/>
      <c r="M86" s="295"/>
      <c r="N86" s="295"/>
      <c r="O86" s="295"/>
      <c r="P86" s="295"/>
      <c r="Q86" s="295"/>
      <c r="R86" s="295"/>
      <c r="S86" s="296">
        <f t="shared" si="3"/>
        <v>9</v>
      </c>
    </row>
    <row r="87" spans="2:19" x14ac:dyDescent="0.2">
      <c r="B87" s="294" t="s">
        <v>12</v>
      </c>
      <c r="C87" s="295">
        <v>1387</v>
      </c>
      <c r="D87" s="309"/>
      <c r="E87" s="309"/>
      <c r="F87" s="309"/>
      <c r="G87" s="309"/>
      <c r="H87" s="309"/>
      <c r="I87" s="309"/>
      <c r="J87" s="309"/>
      <c r="K87" s="309"/>
      <c r="L87" s="309"/>
      <c r="M87" s="309"/>
      <c r="N87" s="309"/>
      <c r="O87" s="309"/>
      <c r="P87" s="309"/>
      <c r="Q87" s="309"/>
      <c r="R87" s="309"/>
      <c r="S87" s="296">
        <f t="shared" si="3"/>
        <v>1</v>
      </c>
    </row>
    <row r="89" spans="2:19" x14ac:dyDescent="0.2">
      <c r="B89" s="301" t="s">
        <v>2</v>
      </c>
      <c r="C89" s="302">
        <v>43739</v>
      </c>
      <c r="D89" s="303"/>
      <c r="E89" s="304" t="s">
        <v>277</v>
      </c>
      <c r="F89" s="305">
        <v>0</v>
      </c>
      <c r="G89" s="306"/>
      <c r="K89" s="306"/>
      <c r="L89" s="306"/>
      <c r="M89" s="306"/>
      <c r="N89" s="306"/>
      <c r="O89" s="306"/>
      <c r="P89" s="306"/>
      <c r="Q89" s="306"/>
      <c r="R89" s="306"/>
    </row>
    <row r="90" spans="2:19" x14ac:dyDescent="0.2">
      <c r="B90" s="307" t="s">
        <v>3</v>
      </c>
      <c r="C90" s="307">
        <v>1</v>
      </c>
      <c r="D90" s="307">
        <v>2</v>
      </c>
      <c r="E90" s="307">
        <v>3</v>
      </c>
      <c r="F90" s="307">
        <v>4</v>
      </c>
      <c r="G90" s="307">
        <v>5</v>
      </c>
      <c r="H90" s="307">
        <v>6</v>
      </c>
      <c r="I90" s="307">
        <v>7</v>
      </c>
      <c r="J90" s="307">
        <v>8</v>
      </c>
      <c r="K90" s="307">
        <v>9</v>
      </c>
      <c r="L90" s="307">
        <v>10</v>
      </c>
      <c r="M90" s="307">
        <v>11</v>
      </c>
      <c r="N90" s="307">
        <v>12</v>
      </c>
      <c r="O90" s="307">
        <v>13</v>
      </c>
      <c r="P90" s="307">
        <v>14</v>
      </c>
      <c r="Q90" s="307">
        <v>15</v>
      </c>
      <c r="R90" s="307">
        <v>16</v>
      </c>
      <c r="S90" s="307" t="s">
        <v>4</v>
      </c>
    </row>
    <row r="91" spans="2:19" x14ac:dyDescent="0.2">
      <c r="B91" s="294" t="s">
        <v>5</v>
      </c>
      <c r="C91" s="295">
        <v>2747</v>
      </c>
      <c r="D91" s="295">
        <v>2814</v>
      </c>
      <c r="E91" s="295">
        <v>2898</v>
      </c>
      <c r="F91" s="295">
        <v>2983</v>
      </c>
      <c r="G91" s="295">
        <v>3068</v>
      </c>
      <c r="H91" s="295">
        <v>3174</v>
      </c>
      <c r="I91" s="295">
        <v>3297</v>
      </c>
      <c r="J91" s="295">
        <v>3438</v>
      </c>
      <c r="K91" s="295">
        <v>3597</v>
      </c>
      <c r="L91" s="295">
        <v>3773</v>
      </c>
      <c r="M91" s="295">
        <v>3969</v>
      </c>
      <c r="N91" s="295">
        <v>4186</v>
      </c>
      <c r="O91" s="295"/>
      <c r="P91" s="295"/>
      <c r="Q91" s="295"/>
      <c r="R91" s="295"/>
      <c r="S91" s="296">
        <f t="shared" ref="S91:S115" si="4">COUNTA(C91:R91)</f>
        <v>12</v>
      </c>
    </row>
    <row r="92" spans="2:19" x14ac:dyDescent="0.2">
      <c r="B92" s="294" t="s">
        <v>6</v>
      </c>
      <c r="C92" s="295">
        <v>2764</v>
      </c>
      <c r="D92" s="295">
        <v>2895</v>
      </c>
      <c r="E92" s="295">
        <v>3045</v>
      </c>
      <c r="F92" s="295">
        <v>3195</v>
      </c>
      <c r="G92" s="295">
        <v>3344</v>
      </c>
      <c r="H92" s="295">
        <v>3511</v>
      </c>
      <c r="I92" s="295">
        <v>3696</v>
      </c>
      <c r="J92" s="295">
        <v>3897</v>
      </c>
      <c r="K92" s="295">
        <v>4116</v>
      </c>
      <c r="L92" s="295">
        <v>4353</v>
      </c>
      <c r="M92" s="295">
        <v>4607</v>
      </c>
      <c r="N92" s="295">
        <v>4878</v>
      </c>
      <c r="O92" s="295"/>
      <c r="P92" s="295"/>
      <c r="Q92" s="295"/>
      <c r="R92" s="295"/>
      <c r="S92" s="296">
        <f t="shared" si="4"/>
        <v>12</v>
      </c>
    </row>
    <row r="93" spans="2:19" x14ac:dyDescent="0.2">
      <c r="B93" s="294" t="s">
        <v>7</v>
      </c>
      <c r="C93" s="295">
        <v>2775</v>
      </c>
      <c r="D93" s="295">
        <v>2938</v>
      </c>
      <c r="E93" s="295">
        <v>3128</v>
      </c>
      <c r="F93" s="295">
        <v>3319</v>
      </c>
      <c r="G93" s="295">
        <v>3509</v>
      </c>
      <c r="H93" s="295">
        <v>3723</v>
      </c>
      <c r="I93" s="295">
        <v>3963</v>
      </c>
      <c r="J93" s="295">
        <v>4229</v>
      </c>
      <c r="K93" s="295">
        <v>4520</v>
      </c>
      <c r="L93" s="295">
        <v>4837</v>
      </c>
      <c r="M93" s="295">
        <v>5178</v>
      </c>
      <c r="N93" s="295">
        <v>5546</v>
      </c>
      <c r="O93" s="295"/>
      <c r="P93" s="295"/>
      <c r="Q93" s="295"/>
      <c r="R93" s="295"/>
      <c r="S93" s="296">
        <f t="shared" si="4"/>
        <v>12</v>
      </c>
    </row>
    <row r="94" spans="2:19" x14ac:dyDescent="0.2">
      <c r="B94" s="294" t="s">
        <v>8</v>
      </c>
      <c r="C94" s="295">
        <v>3561</v>
      </c>
      <c r="D94" s="295">
        <v>3693</v>
      </c>
      <c r="E94" s="295">
        <v>3811</v>
      </c>
      <c r="F94" s="295">
        <v>4050</v>
      </c>
      <c r="G94" s="295">
        <v>4316</v>
      </c>
      <c r="H94" s="295">
        <v>4559</v>
      </c>
      <c r="I94" s="295">
        <v>4800</v>
      </c>
      <c r="J94" s="295">
        <v>5043</v>
      </c>
      <c r="K94" s="295">
        <v>5285</v>
      </c>
      <c r="L94" s="295">
        <v>5526</v>
      </c>
      <c r="M94" s="295">
        <v>5768</v>
      </c>
      <c r="N94" s="295">
        <v>6012</v>
      </c>
      <c r="O94" s="295"/>
      <c r="P94" s="295"/>
      <c r="Q94" s="295"/>
      <c r="R94" s="295"/>
      <c r="S94" s="296">
        <f t="shared" si="4"/>
        <v>12</v>
      </c>
    </row>
    <row r="95" spans="2:19" x14ac:dyDescent="0.2">
      <c r="B95" s="294">
        <v>1</v>
      </c>
      <c r="C95" s="295">
        <v>1709</v>
      </c>
      <c r="D95" s="295">
        <v>1777</v>
      </c>
      <c r="E95" s="295">
        <v>1843</v>
      </c>
      <c r="F95" s="295">
        <v>1874</v>
      </c>
      <c r="G95" s="295">
        <v>1909</v>
      </c>
      <c r="H95" s="295">
        <v>1944</v>
      </c>
      <c r="I95" s="295">
        <v>1991</v>
      </c>
      <c r="J95" s="295"/>
      <c r="K95" s="295"/>
      <c r="L95" s="295"/>
      <c r="M95" s="295"/>
      <c r="N95" s="295"/>
      <c r="O95" s="295"/>
      <c r="P95" s="295"/>
      <c r="Q95" s="295"/>
      <c r="R95" s="295"/>
      <c r="S95" s="296">
        <f t="shared" si="4"/>
        <v>7</v>
      </c>
    </row>
    <row r="96" spans="2:19" x14ac:dyDescent="0.2">
      <c r="B96" s="294">
        <v>2</v>
      </c>
      <c r="C96" s="295">
        <v>1746</v>
      </c>
      <c r="D96" s="295">
        <v>1811</v>
      </c>
      <c r="E96" s="295">
        <v>1874</v>
      </c>
      <c r="F96" s="295">
        <v>1944</v>
      </c>
      <c r="G96" s="295">
        <v>1991</v>
      </c>
      <c r="H96" s="295">
        <v>2045</v>
      </c>
      <c r="I96" s="295">
        <v>2111</v>
      </c>
      <c r="J96" s="295">
        <v>2172</v>
      </c>
      <c r="K96" s="295"/>
      <c r="L96" s="295"/>
      <c r="M96" s="295"/>
      <c r="N96" s="295"/>
      <c r="O96" s="295"/>
      <c r="P96" s="295"/>
      <c r="Q96" s="295"/>
      <c r="R96" s="295"/>
      <c r="S96" s="296">
        <f t="shared" si="4"/>
        <v>8</v>
      </c>
    </row>
    <row r="97" spans="2:19" x14ac:dyDescent="0.2">
      <c r="B97" s="294">
        <v>3</v>
      </c>
      <c r="C97" s="295">
        <v>1746</v>
      </c>
      <c r="D97" s="295">
        <v>1874</v>
      </c>
      <c r="E97" s="295">
        <v>1944</v>
      </c>
      <c r="F97" s="295">
        <v>2045</v>
      </c>
      <c r="G97" s="295">
        <v>2111</v>
      </c>
      <c r="H97" s="295">
        <v>2172</v>
      </c>
      <c r="I97" s="295">
        <v>2233</v>
      </c>
      <c r="J97" s="295">
        <v>2292</v>
      </c>
      <c r="K97" s="295">
        <v>2351</v>
      </c>
      <c r="L97" s="295"/>
      <c r="M97" s="295"/>
      <c r="N97" s="295"/>
      <c r="O97" s="295"/>
      <c r="P97" s="295"/>
      <c r="Q97" s="295"/>
      <c r="R97" s="295"/>
      <c r="S97" s="296">
        <f t="shared" si="4"/>
        <v>9</v>
      </c>
    </row>
    <row r="98" spans="2:19" x14ac:dyDescent="0.2">
      <c r="B98" s="294">
        <v>4</v>
      </c>
      <c r="C98" s="295">
        <v>1777</v>
      </c>
      <c r="D98" s="295">
        <v>1874</v>
      </c>
      <c r="E98" s="295">
        <v>1944</v>
      </c>
      <c r="F98" s="295">
        <v>2045</v>
      </c>
      <c r="G98" s="295">
        <v>2111</v>
      </c>
      <c r="H98" s="295">
        <v>2172</v>
      </c>
      <c r="I98" s="295">
        <v>2233</v>
      </c>
      <c r="J98" s="295">
        <v>2292</v>
      </c>
      <c r="K98" s="295">
        <v>2351</v>
      </c>
      <c r="L98" s="295">
        <v>2408</v>
      </c>
      <c r="M98" s="295">
        <v>2464</v>
      </c>
      <c r="N98" s="295"/>
      <c r="O98" s="295"/>
      <c r="P98" s="295"/>
      <c r="Q98" s="295"/>
      <c r="R98" s="295"/>
      <c r="S98" s="296">
        <f t="shared" si="4"/>
        <v>11</v>
      </c>
    </row>
    <row r="99" spans="2:19" x14ac:dyDescent="0.2">
      <c r="B99" s="294">
        <v>5</v>
      </c>
      <c r="C99" s="295">
        <v>1811</v>
      </c>
      <c r="D99" s="295">
        <v>1874</v>
      </c>
      <c r="E99" s="295">
        <v>1944</v>
      </c>
      <c r="F99" s="295">
        <v>2045</v>
      </c>
      <c r="G99" s="295">
        <v>2172</v>
      </c>
      <c r="H99" s="295">
        <v>2233</v>
      </c>
      <c r="I99" s="295">
        <v>2292</v>
      </c>
      <c r="J99" s="295">
        <v>2351</v>
      </c>
      <c r="K99" s="295">
        <v>2408</v>
      </c>
      <c r="L99" s="295">
        <v>2464</v>
      </c>
      <c r="M99" s="295">
        <v>2522</v>
      </c>
      <c r="N99" s="295">
        <v>2588</v>
      </c>
      <c r="O99" s="295"/>
      <c r="P99" s="295"/>
      <c r="Q99" s="295"/>
      <c r="R99" s="295"/>
      <c r="S99" s="296">
        <f t="shared" si="4"/>
        <v>12</v>
      </c>
    </row>
    <row r="100" spans="2:19" x14ac:dyDescent="0.2">
      <c r="B100" s="294">
        <v>6</v>
      </c>
      <c r="C100" s="295">
        <v>1874</v>
      </c>
      <c r="D100" s="295">
        <v>1944</v>
      </c>
      <c r="E100" s="295">
        <v>2172</v>
      </c>
      <c r="F100" s="295">
        <v>2292</v>
      </c>
      <c r="G100" s="295">
        <v>2351</v>
      </c>
      <c r="H100" s="295">
        <v>2408</v>
      </c>
      <c r="I100" s="295">
        <v>2464</v>
      </c>
      <c r="J100" s="295">
        <v>2522</v>
      </c>
      <c r="K100" s="295">
        <v>2588</v>
      </c>
      <c r="L100" s="295">
        <v>2651</v>
      </c>
      <c r="M100" s="295">
        <v>2710</v>
      </c>
      <c r="N100" s="295"/>
      <c r="O100" s="295"/>
      <c r="P100" s="295"/>
      <c r="Q100" s="295"/>
      <c r="R100" s="295"/>
      <c r="S100" s="296">
        <f t="shared" si="4"/>
        <v>11</v>
      </c>
    </row>
    <row r="101" spans="2:19" x14ac:dyDescent="0.2">
      <c r="B101" s="294">
        <v>7</v>
      </c>
      <c r="C101" s="295">
        <v>1991</v>
      </c>
      <c r="D101" s="295">
        <v>2045</v>
      </c>
      <c r="E101" s="295">
        <v>2172</v>
      </c>
      <c r="F101" s="295">
        <v>2408</v>
      </c>
      <c r="G101" s="295">
        <v>2522</v>
      </c>
      <c r="H101" s="295">
        <v>2588</v>
      </c>
      <c r="I101" s="295">
        <v>2651</v>
      </c>
      <c r="J101" s="295">
        <v>2710</v>
      </c>
      <c r="K101" s="295">
        <v>2775</v>
      </c>
      <c r="L101" s="295">
        <v>2841</v>
      </c>
      <c r="M101" s="295">
        <v>2908</v>
      </c>
      <c r="N101" s="295">
        <v>2986</v>
      </c>
      <c r="O101" s="295"/>
      <c r="P101" s="295"/>
      <c r="Q101" s="295"/>
      <c r="R101" s="295"/>
      <c r="S101" s="296">
        <f t="shared" si="4"/>
        <v>12</v>
      </c>
    </row>
    <row r="102" spans="2:19" x14ac:dyDescent="0.2">
      <c r="B102" s="294">
        <v>8</v>
      </c>
      <c r="C102" s="295">
        <v>2233</v>
      </c>
      <c r="D102" s="295">
        <v>2292</v>
      </c>
      <c r="E102" s="295">
        <v>2408</v>
      </c>
      <c r="F102" s="295">
        <v>2651</v>
      </c>
      <c r="G102" s="295">
        <v>2775</v>
      </c>
      <c r="H102" s="295">
        <v>2908</v>
      </c>
      <c r="I102" s="295">
        <v>2986</v>
      </c>
      <c r="J102" s="295">
        <v>3056</v>
      </c>
      <c r="K102" s="295">
        <v>3118</v>
      </c>
      <c r="L102" s="295">
        <v>3186</v>
      </c>
      <c r="M102" s="295">
        <v>3253</v>
      </c>
      <c r="N102" s="295">
        <v>3315</v>
      </c>
      <c r="O102" s="295">
        <v>3374</v>
      </c>
      <c r="P102" s="295"/>
      <c r="Q102" s="295"/>
      <c r="R102" s="295"/>
      <c r="S102" s="296">
        <f t="shared" si="4"/>
        <v>13</v>
      </c>
    </row>
    <row r="103" spans="2:19" x14ac:dyDescent="0.2">
      <c r="B103" s="294">
        <v>9</v>
      </c>
      <c r="C103" s="295">
        <v>2522</v>
      </c>
      <c r="D103" s="295">
        <v>2651</v>
      </c>
      <c r="E103" s="295">
        <v>2908</v>
      </c>
      <c r="F103" s="295">
        <v>3056</v>
      </c>
      <c r="G103" s="295">
        <v>3186</v>
      </c>
      <c r="H103" s="295">
        <v>3315</v>
      </c>
      <c r="I103" s="295">
        <v>3439</v>
      </c>
      <c r="J103" s="295">
        <v>3561</v>
      </c>
      <c r="K103" s="295">
        <v>3693</v>
      </c>
      <c r="L103" s="295">
        <v>3811</v>
      </c>
      <c r="M103" s="295"/>
      <c r="N103" s="295"/>
      <c r="O103" s="295"/>
      <c r="P103" s="295"/>
      <c r="Q103" s="295"/>
      <c r="R103" s="295"/>
      <c r="S103" s="296">
        <f t="shared" si="4"/>
        <v>10</v>
      </c>
    </row>
    <row r="104" spans="2:19" x14ac:dyDescent="0.2">
      <c r="B104" s="294">
        <v>10</v>
      </c>
      <c r="C104" s="295">
        <v>2522</v>
      </c>
      <c r="D104" s="295">
        <v>2775</v>
      </c>
      <c r="E104" s="295">
        <v>2908</v>
      </c>
      <c r="F104" s="295">
        <v>3056</v>
      </c>
      <c r="G104" s="295">
        <v>3186</v>
      </c>
      <c r="H104" s="295">
        <v>3315</v>
      </c>
      <c r="I104" s="295">
        <v>3439</v>
      </c>
      <c r="J104" s="295">
        <v>3561</v>
      </c>
      <c r="K104" s="295">
        <v>3693</v>
      </c>
      <c r="L104" s="295">
        <v>3811</v>
      </c>
      <c r="M104" s="295">
        <v>3933</v>
      </c>
      <c r="N104" s="295">
        <v>4050</v>
      </c>
      <c r="O104" s="295">
        <v>4186</v>
      </c>
      <c r="P104" s="295"/>
      <c r="Q104" s="295"/>
      <c r="R104" s="295"/>
      <c r="S104" s="296">
        <f t="shared" si="4"/>
        <v>13</v>
      </c>
    </row>
    <row r="105" spans="2:19" x14ac:dyDescent="0.2">
      <c r="B105" s="294">
        <v>11</v>
      </c>
      <c r="C105" s="295">
        <v>2651</v>
      </c>
      <c r="D105" s="295">
        <v>2775</v>
      </c>
      <c r="E105" s="295">
        <v>2911</v>
      </c>
      <c r="F105" s="295">
        <v>3058</v>
      </c>
      <c r="G105" s="295">
        <v>3195</v>
      </c>
      <c r="H105" s="295">
        <v>3333</v>
      </c>
      <c r="I105" s="295">
        <v>3472</v>
      </c>
      <c r="J105" s="295">
        <v>3693</v>
      </c>
      <c r="K105" s="295">
        <v>3841</v>
      </c>
      <c r="L105" s="295">
        <v>3989</v>
      </c>
      <c r="M105" s="295">
        <v>4137</v>
      </c>
      <c r="N105" s="295">
        <v>4286</v>
      </c>
      <c r="O105" s="295">
        <v>4434</v>
      </c>
      <c r="P105" s="295">
        <v>4582</v>
      </c>
      <c r="Q105" s="295">
        <v>4731</v>
      </c>
      <c r="R105" s="295">
        <v>4878</v>
      </c>
      <c r="S105" s="296">
        <f t="shared" si="4"/>
        <v>16</v>
      </c>
    </row>
    <row r="106" spans="2:19" x14ac:dyDescent="0.2">
      <c r="B106" s="294">
        <v>12</v>
      </c>
      <c r="C106" s="295">
        <v>3561</v>
      </c>
      <c r="D106" s="295">
        <v>3693</v>
      </c>
      <c r="E106" s="295">
        <v>3811</v>
      </c>
      <c r="F106" s="295">
        <v>3933</v>
      </c>
      <c r="G106" s="295">
        <v>4050</v>
      </c>
      <c r="H106" s="295">
        <v>4186</v>
      </c>
      <c r="I106" s="295">
        <v>4446</v>
      </c>
      <c r="J106" s="295">
        <v>4569</v>
      </c>
      <c r="K106" s="295">
        <v>4694</v>
      </c>
      <c r="L106" s="295">
        <v>4815</v>
      </c>
      <c r="M106" s="295">
        <v>4942</v>
      </c>
      <c r="N106" s="295">
        <v>5067</v>
      </c>
      <c r="O106" s="295">
        <v>5188</v>
      </c>
      <c r="P106" s="295">
        <v>5312</v>
      </c>
      <c r="Q106" s="295">
        <v>5467</v>
      </c>
      <c r="R106" s="295">
        <v>5546</v>
      </c>
      <c r="S106" s="296">
        <f t="shared" si="4"/>
        <v>16</v>
      </c>
    </row>
    <row r="107" spans="2:19" x14ac:dyDescent="0.2">
      <c r="B107" s="294">
        <v>13</v>
      </c>
      <c r="C107" s="295">
        <v>4316</v>
      </c>
      <c r="D107" s="295">
        <v>4446</v>
      </c>
      <c r="E107" s="295">
        <v>4569</v>
      </c>
      <c r="F107" s="295">
        <v>4694</v>
      </c>
      <c r="G107" s="295">
        <v>4815</v>
      </c>
      <c r="H107" s="295">
        <v>5067</v>
      </c>
      <c r="I107" s="295">
        <v>5188</v>
      </c>
      <c r="J107" s="295">
        <v>5312</v>
      </c>
      <c r="K107" s="295">
        <v>5467</v>
      </c>
      <c r="L107" s="295">
        <v>5624</v>
      </c>
      <c r="M107" s="295">
        <v>5780</v>
      </c>
      <c r="N107" s="295">
        <v>5937</v>
      </c>
      <c r="O107" s="295">
        <v>6012</v>
      </c>
      <c r="P107" s="295"/>
      <c r="Q107" s="295"/>
      <c r="R107" s="295"/>
      <c r="S107" s="296">
        <f t="shared" si="4"/>
        <v>13</v>
      </c>
    </row>
    <row r="108" spans="2:19" x14ac:dyDescent="0.2">
      <c r="B108" s="294">
        <v>14</v>
      </c>
      <c r="C108" s="295">
        <v>4942</v>
      </c>
      <c r="D108" s="295">
        <v>5067</v>
      </c>
      <c r="E108" s="295">
        <v>5312</v>
      </c>
      <c r="F108" s="295">
        <v>5467</v>
      </c>
      <c r="G108" s="295">
        <v>5624</v>
      </c>
      <c r="H108" s="295">
        <v>5780</v>
      </c>
      <c r="I108" s="295">
        <v>5937</v>
      </c>
      <c r="J108" s="295">
        <v>6095</v>
      </c>
      <c r="K108" s="295">
        <v>6259</v>
      </c>
      <c r="L108" s="295">
        <v>6430</v>
      </c>
      <c r="M108" s="295">
        <v>6604</v>
      </c>
      <c r="N108" s="295"/>
      <c r="O108" s="295"/>
      <c r="P108" s="295"/>
      <c r="Q108" s="295"/>
      <c r="R108" s="295"/>
      <c r="S108" s="296">
        <f t="shared" si="4"/>
        <v>11</v>
      </c>
    </row>
    <row r="109" spans="2:19" x14ac:dyDescent="0.2">
      <c r="B109" s="294">
        <v>15</v>
      </c>
      <c r="C109" s="295">
        <v>5188</v>
      </c>
      <c r="D109" s="295">
        <v>5312</v>
      </c>
      <c r="E109" s="295">
        <v>5467</v>
      </c>
      <c r="F109" s="295">
        <v>5780</v>
      </c>
      <c r="G109" s="295">
        <v>5937</v>
      </c>
      <c r="H109" s="295">
        <v>6095</v>
      </c>
      <c r="I109" s="295">
        <v>6259</v>
      </c>
      <c r="J109" s="295">
        <v>6430</v>
      </c>
      <c r="K109" s="295">
        <v>6604</v>
      </c>
      <c r="L109" s="295">
        <v>6813</v>
      </c>
      <c r="M109" s="295">
        <v>7030</v>
      </c>
      <c r="N109" s="295">
        <v>7251</v>
      </c>
      <c r="O109" s="295"/>
      <c r="P109" s="295"/>
      <c r="Q109" s="295"/>
      <c r="R109" s="295"/>
      <c r="S109" s="296">
        <f t="shared" si="4"/>
        <v>12</v>
      </c>
    </row>
    <row r="110" spans="2:19" x14ac:dyDescent="0.2">
      <c r="B110" s="294">
        <v>16</v>
      </c>
      <c r="C110" s="295">
        <v>5624</v>
      </c>
      <c r="D110" s="295">
        <v>5780</v>
      </c>
      <c r="E110" s="295">
        <v>5937</v>
      </c>
      <c r="F110" s="295">
        <v>6259</v>
      </c>
      <c r="G110" s="295">
        <v>6430</v>
      </c>
      <c r="H110" s="295">
        <v>6604</v>
      </c>
      <c r="I110" s="295">
        <v>6813</v>
      </c>
      <c r="J110" s="295">
        <v>7030</v>
      </c>
      <c r="K110" s="295">
        <v>7251</v>
      </c>
      <c r="L110" s="295">
        <v>7484</v>
      </c>
      <c r="M110" s="295">
        <v>7720</v>
      </c>
      <c r="N110" s="295">
        <v>7966</v>
      </c>
      <c r="O110" s="295"/>
      <c r="P110" s="295"/>
      <c r="Q110" s="295"/>
      <c r="R110" s="295"/>
      <c r="S110" s="296">
        <f t="shared" si="4"/>
        <v>12</v>
      </c>
    </row>
    <row r="111" spans="2:19" x14ac:dyDescent="0.2">
      <c r="B111" s="294">
        <v>17</v>
      </c>
      <c r="C111" s="295">
        <v>6095</v>
      </c>
      <c r="D111" s="295">
        <v>6259</v>
      </c>
      <c r="E111" s="295">
        <v>6430</v>
      </c>
      <c r="F111" s="295">
        <v>6813</v>
      </c>
      <c r="G111" s="295">
        <v>7030</v>
      </c>
      <c r="H111" s="295">
        <v>7251</v>
      </c>
      <c r="I111" s="295">
        <v>7484</v>
      </c>
      <c r="J111" s="295">
        <v>7720</v>
      </c>
      <c r="K111" s="295">
        <v>7966</v>
      </c>
      <c r="L111" s="295">
        <v>8220</v>
      </c>
      <c r="M111" s="295">
        <v>8480</v>
      </c>
      <c r="N111" s="295">
        <v>8750</v>
      </c>
      <c r="O111" s="295"/>
      <c r="P111" s="295"/>
      <c r="Q111" s="295"/>
      <c r="R111" s="295"/>
      <c r="S111" s="296">
        <f t="shared" si="4"/>
        <v>12</v>
      </c>
    </row>
    <row r="112" spans="2:19" x14ac:dyDescent="0.2">
      <c r="B112" s="294" t="s">
        <v>9</v>
      </c>
      <c r="C112" s="295">
        <v>1635.6</v>
      </c>
      <c r="D112" s="295">
        <v>1665.1</v>
      </c>
      <c r="E112" s="295">
        <v>1709</v>
      </c>
      <c r="F112" s="295">
        <v>1777</v>
      </c>
      <c r="G112" s="295">
        <v>1843</v>
      </c>
      <c r="H112" s="295">
        <v>1874</v>
      </c>
      <c r="I112" s="295">
        <v>1909</v>
      </c>
      <c r="J112" s="295">
        <v>1944</v>
      </c>
      <c r="K112" s="295">
        <v>1991</v>
      </c>
      <c r="L112" s="295"/>
      <c r="M112" s="295"/>
      <c r="N112" s="295"/>
      <c r="O112" s="295"/>
      <c r="P112" s="295"/>
      <c r="Q112" s="295"/>
      <c r="R112" s="295"/>
      <c r="S112" s="296">
        <f t="shared" si="4"/>
        <v>9</v>
      </c>
    </row>
    <row r="113" spans="2:19" x14ac:dyDescent="0.2">
      <c r="B113" s="294" t="s">
        <v>10</v>
      </c>
      <c r="C113" s="295">
        <v>1746</v>
      </c>
      <c r="D113" s="295">
        <v>1811</v>
      </c>
      <c r="E113" s="295">
        <v>1874</v>
      </c>
      <c r="F113" s="295">
        <v>1944</v>
      </c>
      <c r="G113" s="295">
        <v>1991</v>
      </c>
      <c r="H113" s="295">
        <v>2045</v>
      </c>
      <c r="I113" s="295">
        <v>2111</v>
      </c>
      <c r="J113" s="295">
        <v>2172</v>
      </c>
      <c r="K113" s="295"/>
      <c r="L113" s="295"/>
      <c r="M113" s="295"/>
      <c r="N113" s="295"/>
      <c r="O113" s="295"/>
      <c r="P113" s="295"/>
      <c r="Q113" s="295"/>
      <c r="R113" s="295"/>
      <c r="S113" s="296">
        <f t="shared" si="4"/>
        <v>8</v>
      </c>
    </row>
    <row r="114" spans="2:19" x14ac:dyDescent="0.2">
      <c r="B114" s="294" t="s">
        <v>11</v>
      </c>
      <c r="C114" s="295">
        <v>1746</v>
      </c>
      <c r="D114" s="295">
        <v>1874</v>
      </c>
      <c r="E114" s="295">
        <v>1944</v>
      </c>
      <c r="F114" s="295">
        <v>2045</v>
      </c>
      <c r="G114" s="295">
        <v>2111</v>
      </c>
      <c r="H114" s="295">
        <v>2172</v>
      </c>
      <c r="I114" s="295">
        <v>2233</v>
      </c>
      <c r="J114" s="295">
        <v>2292</v>
      </c>
      <c r="K114" s="295">
        <v>2351</v>
      </c>
      <c r="L114" s="295"/>
      <c r="M114" s="295"/>
      <c r="N114" s="295"/>
      <c r="O114" s="295"/>
      <c r="P114" s="295"/>
      <c r="Q114" s="295"/>
      <c r="R114" s="295"/>
      <c r="S114" s="296">
        <f t="shared" si="4"/>
        <v>9</v>
      </c>
    </row>
    <row r="115" spans="2:19" x14ac:dyDescent="0.2">
      <c r="B115" s="294" t="s">
        <v>12</v>
      </c>
      <c r="C115" s="295">
        <v>1387</v>
      </c>
      <c r="D115" s="309"/>
      <c r="E115" s="309"/>
      <c r="F115" s="309"/>
      <c r="G115" s="309"/>
      <c r="H115" s="309"/>
      <c r="I115" s="309"/>
      <c r="J115" s="309"/>
      <c r="K115" s="309"/>
      <c r="L115" s="309"/>
      <c r="M115" s="309"/>
      <c r="N115" s="309"/>
      <c r="O115" s="309"/>
      <c r="P115" s="309"/>
      <c r="Q115" s="309"/>
      <c r="R115" s="309"/>
      <c r="S115" s="296">
        <f t="shared" si="4"/>
        <v>1</v>
      </c>
    </row>
  </sheetData>
  <sheetProtection algorithmName="SHA-512" hashValue="2egjbdTuPBJATHolD2KkX6Zp0nRTgcorpq/52DpvOpetgX3mokapZibcc2i2neEMFANFlknyi23GevAE5q4lVA==" saltValue="RrqDwGS3Zh11AoPTuHeGzw=="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16</vt:i4>
      </vt:variant>
    </vt:vector>
  </HeadingPairs>
  <TitlesOfParts>
    <vt:vector size="25" baseType="lpstr">
      <vt:lpstr>Toelichting</vt:lpstr>
      <vt:lpstr>wgl</vt:lpstr>
      <vt:lpstr>wgl tot</vt:lpstr>
      <vt:lpstr>Blad1</vt:lpstr>
      <vt:lpstr>Ouderschapsverlof</vt:lpstr>
      <vt:lpstr>Functiedifferentiatie</vt:lpstr>
      <vt:lpstr>Extra periodieken</vt:lpstr>
      <vt:lpstr>tabellen</vt:lpstr>
      <vt:lpstr>saltab</vt:lpstr>
      <vt:lpstr>Blad1!_ftnref1</vt:lpstr>
      <vt:lpstr>'Extra periodieken'!Afdrukbereik</vt:lpstr>
      <vt:lpstr>Functiedifferentiatie!Afdrukbereik</vt:lpstr>
      <vt:lpstr>Ouderschapsverlof!Afdrukbereik</vt:lpstr>
      <vt:lpstr>tabellen!Afdrukbereik</vt:lpstr>
      <vt:lpstr>Toelichting!Afdrukbereik</vt:lpstr>
      <vt:lpstr>wgl!Afdrukbereik</vt:lpstr>
      <vt:lpstr>'wgl tot'!Afdrukbereik</vt:lpstr>
      <vt:lpstr>bindingstoelage</vt:lpstr>
      <vt:lpstr>eindejaarsuitkering_OOP</vt:lpstr>
      <vt:lpstr>saltab2018juni</vt:lpstr>
      <vt:lpstr>saltab2018sept</vt:lpstr>
      <vt:lpstr>saltab2019jan</vt:lpstr>
      <vt:lpstr>saltab2019juni</vt:lpstr>
      <vt:lpstr>saltab2019okt</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2020-02-26T16:29:35Z</cp:lastPrinted>
  <dcterms:created xsi:type="dcterms:W3CDTF">2013-01-15T12:00:14Z</dcterms:created>
  <dcterms:modified xsi:type="dcterms:W3CDTF">2020-02-27T17:28:02Z</dcterms:modified>
</cp:coreProperties>
</file>