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bbe\Documents\Instrumenten\toolbox 2020\po\"/>
    </mc:Choice>
  </mc:AlternateContent>
  <bookViews>
    <workbookView xWindow="0" yWindow="0" windowWidth="19200" windowHeight="10605" tabRatio="762" activeTab="1"/>
  </bookViews>
  <sheets>
    <sheet name="toel" sheetId="10" r:id="rId1"/>
    <sheet name="wgl" sheetId="1" r:id="rId2"/>
    <sheet name="wgl tot" sheetId="12" r:id="rId3"/>
    <sheet name="tabellen" sheetId="3" r:id="rId4"/>
  </sheets>
  <definedNames>
    <definedName name="_xlnm._FilterDatabase" localSheetId="1" hidden="1">wgl!$D$55:$E$58</definedName>
    <definedName name="_xlnm.Print_Area" localSheetId="3">tabellen!$A$1:$M$74</definedName>
    <definedName name="_xlnm.Print_Area" localSheetId="0">toel!$B$2:$N$113</definedName>
    <definedName name="_xlnm.Print_Area" localSheetId="1">wgl!$B$2:$S$79</definedName>
    <definedName name="_xlnm.Print_Area" localSheetId="2">'wgl tot'!$B$2:$AV$88</definedName>
    <definedName name="_xlnm.Print_Area">'wgl tot'!$AY$8:$BT$24</definedName>
    <definedName name="arbeidskorting">tabellen!$B$71:$D$74</definedName>
    <definedName name="eindejaarsuitkering_OOP">tabellen!$C$46:$D$49</definedName>
    <definedName name="premie_Vervaningsfonds__Vf">wgl!$E$56</definedName>
    <definedName name="premies">tabellen!$B$6:$G$17</definedName>
    <definedName name="saltab2020">tabellen!$A$79:$V$130</definedName>
    <definedName name="schaalregel">wgl!$U$81:$V$132</definedName>
    <definedName name="uitlooptoeslag">tabellen!$B$31:$C$35</definedName>
  </definedNames>
  <calcPr calcId="152511"/>
</workbook>
</file>

<file path=xl/calcChain.xml><?xml version="1.0" encoding="utf-8"?>
<calcChain xmlns="http://schemas.openxmlformats.org/spreadsheetml/2006/main">
  <c r="U13" i="12" l="1"/>
  <c r="U14" i="12"/>
  <c r="U15" i="12"/>
  <c r="U16" i="12"/>
  <c r="U17" i="12"/>
  <c r="U18" i="12"/>
  <c r="U19" i="12"/>
  <c r="U20" i="12"/>
  <c r="U21" i="12"/>
  <c r="U22" i="12"/>
  <c r="U23" i="12"/>
  <c r="U24" i="12"/>
  <c r="U25" i="12"/>
  <c r="U26" i="12"/>
  <c r="U27" i="12"/>
  <c r="U28" i="12"/>
  <c r="U29" i="12"/>
  <c r="U30" i="12"/>
  <c r="U31" i="12"/>
  <c r="U32" i="12"/>
  <c r="U33" i="12"/>
  <c r="U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61" i="12"/>
  <c r="U62" i="12"/>
  <c r="U63" i="12"/>
  <c r="U64" i="12"/>
  <c r="U65" i="12"/>
  <c r="U66" i="12"/>
  <c r="U67" i="12"/>
  <c r="U68" i="12"/>
  <c r="U69" i="12"/>
  <c r="U70" i="12"/>
  <c r="U71" i="12"/>
  <c r="U72" i="12"/>
  <c r="U73" i="12"/>
  <c r="U74" i="12"/>
  <c r="U75" i="12"/>
  <c r="U76" i="12"/>
  <c r="U77" i="12"/>
  <c r="U78" i="12"/>
  <c r="U79" i="12"/>
  <c r="U80" i="12"/>
  <c r="U81" i="12"/>
  <c r="U82" i="12"/>
  <c r="U83" i="12"/>
  <c r="U84" i="12"/>
  <c r="U85" i="12"/>
  <c r="U86" i="12"/>
  <c r="U12" i="12" l="1"/>
  <c r="H36" i="1"/>
  <c r="K27" i="12" l="1"/>
  <c r="K28" i="12"/>
  <c r="K26" i="12"/>
  <c r="E32" i="1"/>
  <c r="AK86" i="12"/>
  <c r="AK85" i="12"/>
  <c r="AK84" i="12"/>
  <c r="AK83" i="12"/>
  <c r="AK82" i="12"/>
  <c r="AK81" i="12"/>
  <c r="AK80" i="12"/>
  <c r="AK79" i="12"/>
  <c r="AK78" i="12"/>
  <c r="AK77" i="12"/>
  <c r="AK76" i="12"/>
  <c r="AK75" i="12"/>
  <c r="AK74" i="12"/>
  <c r="AK73" i="12"/>
  <c r="AK72" i="12"/>
  <c r="AK71" i="12"/>
  <c r="AK70" i="12"/>
  <c r="AK69" i="12"/>
  <c r="AK68" i="12"/>
  <c r="AK67" i="12"/>
  <c r="AK66" i="12"/>
  <c r="AK65" i="12"/>
  <c r="AK64" i="12"/>
  <c r="AK63" i="12"/>
  <c r="AK62" i="12"/>
  <c r="AK61" i="12"/>
  <c r="AK60" i="12"/>
  <c r="AK59" i="12"/>
  <c r="AK58" i="12"/>
  <c r="AK57" i="12"/>
  <c r="AK56" i="12"/>
  <c r="AK55" i="12"/>
  <c r="AK54" i="12"/>
  <c r="AK53" i="12"/>
  <c r="AK52" i="12"/>
  <c r="AK51" i="12"/>
  <c r="AK50" i="12"/>
  <c r="AK49" i="12"/>
  <c r="AK48" i="12"/>
  <c r="AK47" i="12"/>
  <c r="AK46" i="12"/>
  <c r="AK45" i="12"/>
  <c r="AK44" i="12"/>
  <c r="AK43" i="12"/>
  <c r="AK42" i="12"/>
  <c r="AK41" i="12"/>
  <c r="AK40" i="12"/>
  <c r="AK39" i="12"/>
  <c r="AK38" i="12"/>
  <c r="AK37" i="12"/>
  <c r="AK36" i="12"/>
  <c r="AK35" i="12"/>
  <c r="AK34" i="12"/>
  <c r="AK33" i="12"/>
  <c r="AK32" i="12"/>
  <c r="AK31" i="12"/>
  <c r="AK30" i="12"/>
  <c r="AK29"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J77" i="12"/>
  <c r="AJ78" i="12"/>
  <c r="AJ79" i="12"/>
  <c r="AJ80" i="12"/>
  <c r="AJ81" i="12"/>
  <c r="AJ82" i="12"/>
  <c r="AJ83" i="12"/>
  <c r="AJ84" i="12"/>
  <c r="AJ85" i="12"/>
  <c r="AJ86" i="12"/>
  <c r="G35" i="1" l="1"/>
  <c r="BE12" i="12" l="1"/>
  <c r="K22" i="12"/>
  <c r="H35" i="1"/>
  <c r="G22" i="1"/>
  <c r="G18" i="1"/>
  <c r="G32" i="1" l="1"/>
  <c r="H32" i="1" s="1"/>
  <c r="V87" i="3"/>
  <c r="V88" i="3"/>
  <c r="V89" i="3"/>
  <c r="V90" i="3"/>
  <c r="V91" i="3"/>
  <c r="D48" i="3" l="1"/>
  <c r="D47" i="3"/>
  <c r="K13" i="12" l="1"/>
  <c r="K14" i="12"/>
  <c r="K15" i="12"/>
  <c r="K16" i="12"/>
  <c r="K17" i="12"/>
  <c r="K18" i="12"/>
  <c r="K19" i="12"/>
  <c r="K20" i="12"/>
  <c r="K21" i="12"/>
  <c r="K23" i="12"/>
  <c r="K24" i="12"/>
  <c r="K25"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12" i="12"/>
  <c r="V130" i="3" l="1"/>
  <c r="V129" i="3"/>
  <c r="V128" i="3"/>
  <c r="V127" i="3"/>
  <c r="V126" i="3"/>
  <c r="V125" i="3"/>
  <c r="V124" i="3"/>
  <c r="V123" i="3"/>
  <c r="V122" i="3"/>
  <c r="V121" i="3"/>
  <c r="V120" i="3"/>
  <c r="V119" i="3"/>
  <c r="V118" i="3"/>
  <c r="V117" i="3"/>
  <c r="V116" i="3"/>
  <c r="V115" i="3"/>
  <c r="V114" i="3"/>
  <c r="V113" i="3"/>
  <c r="V112" i="3"/>
  <c r="V111" i="3"/>
  <c r="V110" i="3"/>
  <c r="B109" i="3"/>
  <c r="V109" i="3" s="1"/>
  <c r="B108" i="3"/>
  <c r="V108" i="3" s="1"/>
  <c r="V107" i="3"/>
  <c r="V106" i="3"/>
  <c r="V105" i="3"/>
  <c r="V104" i="3"/>
  <c r="V103" i="3"/>
  <c r="V102" i="3"/>
  <c r="V101" i="3"/>
  <c r="V100" i="3"/>
  <c r="V99" i="3"/>
  <c r="V98" i="3"/>
  <c r="V97" i="3"/>
  <c r="V96" i="3"/>
  <c r="V95" i="3"/>
  <c r="V94" i="3"/>
  <c r="V93" i="3"/>
  <c r="V92" i="3"/>
  <c r="V86" i="3"/>
  <c r="V85" i="3"/>
  <c r="V84" i="3"/>
  <c r="V83" i="3"/>
  <c r="V82" i="3"/>
  <c r="V81" i="3"/>
  <c r="V80" i="3"/>
  <c r="V79" i="3"/>
  <c r="S13" i="12" l="1"/>
  <c r="T13" i="12"/>
  <c r="S14" i="12"/>
  <c r="T14" i="12"/>
  <c r="S15" i="12"/>
  <c r="T15" i="12"/>
  <c r="S16" i="12"/>
  <c r="T16" i="12"/>
  <c r="S17" i="12"/>
  <c r="T17" i="12"/>
  <c r="S18" i="12"/>
  <c r="T18" i="12"/>
  <c r="S19" i="12"/>
  <c r="T19" i="12"/>
  <c r="S20" i="12"/>
  <c r="T20" i="12"/>
  <c r="S21" i="12"/>
  <c r="T21" i="12"/>
  <c r="S22" i="12"/>
  <c r="T22" i="12"/>
  <c r="S23" i="12"/>
  <c r="T23" i="12"/>
  <c r="S24" i="12"/>
  <c r="T24" i="12"/>
  <c r="S25" i="12"/>
  <c r="T25" i="12"/>
  <c r="S26" i="12"/>
  <c r="T26" i="12"/>
  <c r="S27" i="12"/>
  <c r="T27" i="12"/>
  <c r="S28" i="12"/>
  <c r="T28" i="12"/>
  <c r="S29" i="12"/>
  <c r="T29" i="12"/>
  <c r="S30" i="12"/>
  <c r="T30" i="12"/>
  <c r="S31" i="12"/>
  <c r="T31" i="12"/>
  <c r="S32" i="12"/>
  <c r="T32" i="12"/>
  <c r="S33" i="12"/>
  <c r="T33" i="12"/>
  <c r="S34" i="12"/>
  <c r="T34" i="12"/>
  <c r="S35" i="12"/>
  <c r="T35" i="12"/>
  <c r="S36" i="12"/>
  <c r="T36" i="12"/>
  <c r="S37" i="12"/>
  <c r="T37" i="12"/>
  <c r="S38" i="12"/>
  <c r="T38" i="12"/>
  <c r="S39" i="12"/>
  <c r="T39" i="12"/>
  <c r="S40" i="12"/>
  <c r="T40" i="12"/>
  <c r="S41" i="12"/>
  <c r="T41" i="12"/>
  <c r="S42" i="12"/>
  <c r="T42" i="12"/>
  <c r="S43" i="12"/>
  <c r="T43" i="12"/>
  <c r="S44" i="12"/>
  <c r="T44" i="12"/>
  <c r="S45" i="12"/>
  <c r="T45" i="12"/>
  <c r="S46" i="12"/>
  <c r="T46" i="12"/>
  <c r="S47" i="12"/>
  <c r="T47" i="12"/>
  <c r="S48" i="12"/>
  <c r="T48" i="12"/>
  <c r="S49" i="12"/>
  <c r="T49" i="12"/>
  <c r="S50" i="12"/>
  <c r="T50" i="12"/>
  <c r="S51" i="12"/>
  <c r="T51" i="12"/>
  <c r="S52" i="12"/>
  <c r="T52" i="12"/>
  <c r="S53" i="12"/>
  <c r="T53" i="12"/>
  <c r="S54" i="12"/>
  <c r="T54" i="12"/>
  <c r="S55" i="12"/>
  <c r="T55" i="12"/>
  <c r="S56" i="12"/>
  <c r="T56" i="12"/>
  <c r="S57" i="12"/>
  <c r="T57" i="12"/>
  <c r="S58" i="12"/>
  <c r="T58" i="12"/>
  <c r="S59" i="12"/>
  <c r="T59" i="12"/>
  <c r="S60" i="12"/>
  <c r="T60" i="12"/>
  <c r="S61" i="12"/>
  <c r="T61" i="12"/>
  <c r="S62" i="12"/>
  <c r="T62" i="12"/>
  <c r="S63" i="12"/>
  <c r="T63" i="12"/>
  <c r="S64" i="12"/>
  <c r="T64" i="12"/>
  <c r="S65" i="12"/>
  <c r="T65" i="12"/>
  <c r="S66" i="12"/>
  <c r="T66" i="12"/>
  <c r="S67" i="12"/>
  <c r="T67" i="12"/>
  <c r="S68" i="12"/>
  <c r="T68" i="12"/>
  <c r="S69" i="12"/>
  <c r="T69" i="12"/>
  <c r="S70" i="12"/>
  <c r="T70" i="12"/>
  <c r="S71" i="12"/>
  <c r="T71" i="12"/>
  <c r="S72" i="12"/>
  <c r="T72" i="12"/>
  <c r="S73" i="12"/>
  <c r="T73" i="12"/>
  <c r="S74" i="12"/>
  <c r="T74" i="12"/>
  <c r="S75" i="12"/>
  <c r="T75" i="12"/>
  <c r="S76" i="12"/>
  <c r="T76" i="12"/>
  <c r="S77" i="12"/>
  <c r="T77" i="12"/>
  <c r="S78" i="12"/>
  <c r="T78" i="12"/>
  <c r="S79" i="12"/>
  <c r="T79" i="12"/>
  <c r="S80" i="12"/>
  <c r="T80" i="12"/>
  <c r="S81" i="12"/>
  <c r="T81" i="12"/>
  <c r="S82" i="12"/>
  <c r="T82" i="12"/>
  <c r="S83" i="12"/>
  <c r="T83" i="12"/>
  <c r="S84" i="12"/>
  <c r="T84" i="12"/>
  <c r="S85" i="12"/>
  <c r="T85" i="12"/>
  <c r="S86" i="12"/>
  <c r="T86" i="12"/>
  <c r="T12" i="12"/>
  <c r="H34" i="1"/>
  <c r="L13" i="12" l="1"/>
  <c r="L14" i="12"/>
  <c r="L15" i="12"/>
  <c r="L16" i="12"/>
  <c r="L17" i="12"/>
  <c r="L18" i="12"/>
  <c r="P18" i="12"/>
  <c r="L19" i="12"/>
  <c r="P19" i="12"/>
  <c r="L20" i="12"/>
  <c r="P20" i="12"/>
  <c r="L21" i="12"/>
  <c r="P21" i="12"/>
  <c r="L22" i="12"/>
  <c r="P22" i="12"/>
  <c r="L23" i="12"/>
  <c r="P23" i="12"/>
  <c r="W22" i="12" l="1"/>
  <c r="W23" i="12"/>
  <c r="W20" i="12"/>
  <c r="AA20" i="12" s="1"/>
  <c r="W21" i="12"/>
  <c r="W18" i="12"/>
  <c r="AA18" i="12" s="1"/>
  <c r="W19" i="12"/>
  <c r="G63" i="1"/>
  <c r="AA22" i="12" l="1"/>
  <c r="AA23" i="12"/>
  <c r="AA21" i="12"/>
  <c r="AA19" i="12"/>
  <c r="C4" i="1" l="1"/>
  <c r="C5" i="1"/>
  <c r="H20" i="1"/>
  <c r="E33" i="1" s="1"/>
  <c r="G33" i="1" s="1"/>
  <c r="H33" i="1" s="1"/>
  <c r="G24" i="1"/>
  <c r="G31" i="1"/>
  <c r="H31" i="1" s="1"/>
  <c r="G34" i="1"/>
  <c r="G57" i="1"/>
  <c r="G64" i="1"/>
  <c r="G65" i="1"/>
  <c r="G66" i="1"/>
  <c r="G67" i="1"/>
  <c r="H68" i="1"/>
  <c r="G36" i="1" l="1"/>
  <c r="G68" i="1"/>
  <c r="G30" i="1"/>
  <c r="H30" i="1" s="1"/>
  <c r="H24" i="1"/>
  <c r="G37" i="1"/>
  <c r="H37" i="1" s="1"/>
  <c r="G29" i="1"/>
  <c r="G56" i="1" s="1"/>
  <c r="G58" i="1" l="1"/>
  <c r="H29" i="1"/>
  <c r="H39" i="1" s="1"/>
  <c r="H41" i="1" s="1"/>
  <c r="G39" i="1"/>
  <c r="G41" i="1" s="1"/>
  <c r="H42" i="1" l="1"/>
  <c r="G49" i="1" s="1"/>
  <c r="Q26" i="1"/>
  <c r="Q12" i="1"/>
  <c r="P26" i="1"/>
  <c r="G42" i="1" l="1"/>
  <c r="H9" i="3"/>
  <c r="B4" i="3"/>
  <c r="Q23" i="1" l="1"/>
  <c r="G48" i="1" l="1"/>
  <c r="H48" i="1" s="1"/>
  <c r="P21" i="1"/>
  <c r="P23" i="1"/>
  <c r="P22" i="1"/>
  <c r="Q21" i="1"/>
  <c r="H49" i="1"/>
  <c r="G50" i="1"/>
  <c r="H50" i="1" s="1"/>
  <c r="Q22" i="1"/>
  <c r="F1" i="3"/>
  <c r="Q24" i="1" l="1"/>
  <c r="Q28" i="1" s="1"/>
  <c r="Q30" i="1" s="1"/>
  <c r="P24" i="1"/>
  <c r="P27" i="1" s="1"/>
  <c r="P28" i="1" s="1"/>
  <c r="G51" i="1" s="1"/>
  <c r="G14" i="1"/>
  <c r="H14" i="1"/>
  <c r="BT70" i="12"/>
  <c r="BR70" i="12"/>
  <c r="BQ70" i="12"/>
  <c r="BP70" i="12"/>
  <c r="BS70" i="12" s="1"/>
  <c r="BH70" i="12"/>
  <c r="Q70" i="12" s="1"/>
  <c r="BF70" i="12"/>
  <c r="BE70" i="12"/>
  <c r="BC70" i="12"/>
  <c r="BB70" i="12"/>
  <c r="BG70" i="12" s="1"/>
  <c r="R70" i="12" s="1"/>
  <c r="AH70" i="12"/>
  <c r="AG70" i="12"/>
  <c r="AF70" i="12"/>
  <c r="AD70" i="12"/>
  <c r="AC70" i="12"/>
  <c r="P70" i="12"/>
  <c r="L70" i="12"/>
  <c r="BT69" i="12"/>
  <c r="BR69" i="12"/>
  <c r="BQ69" i="12"/>
  <c r="BP69" i="12"/>
  <c r="BH69" i="12"/>
  <c r="Q69" i="12" s="1"/>
  <c r="BF69" i="12"/>
  <c r="BE69" i="12"/>
  <c r="BC69" i="12"/>
  <c r="BB69" i="12"/>
  <c r="BG69" i="12" s="1"/>
  <c r="R69" i="12" s="1"/>
  <c r="AH69" i="12"/>
  <c r="AG69" i="12"/>
  <c r="AF69" i="12"/>
  <c r="AD69" i="12"/>
  <c r="AC69" i="12"/>
  <c r="P69" i="12"/>
  <c r="L69" i="12"/>
  <c r="BT68" i="12"/>
  <c r="BR68" i="12"/>
  <c r="BQ68" i="12"/>
  <c r="BP68" i="12"/>
  <c r="BH68" i="12"/>
  <c r="Q68" i="12" s="1"/>
  <c r="BF68" i="12"/>
  <c r="BE68" i="12"/>
  <c r="BC68" i="12"/>
  <c r="BB68" i="12"/>
  <c r="BG68" i="12" s="1"/>
  <c r="R68" i="12" s="1"/>
  <c r="AH68" i="12"/>
  <c r="AG68" i="12"/>
  <c r="AF68" i="12"/>
  <c r="AD68" i="12"/>
  <c r="AC68" i="12"/>
  <c r="P68" i="12"/>
  <c r="L68" i="12"/>
  <c r="BT67" i="12"/>
  <c r="BR67" i="12"/>
  <c r="BQ67" i="12"/>
  <c r="BP67" i="12"/>
  <c r="BH67" i="12"/>
  <c r="Q67" i="12" s="1"/>
  <c r="BF67" i="12"/>
  <c r="BE67" i="12"/>
  <c r="BC67" i="12"/>
  <c r="BB67" i="12"/>
  <c r="BG67" i="12" s="1"/>
  <c r="R67" i="12" s="1"/>
  <c r="AH67" i="12"/>
  <c r="AG67" i="12"/>
  <c r="AF67" i="12"/>
  <c r="AD67" i="12"/>
  <c r="AC67" i="12"/>
  <c r="P67" i="12"/>
  <c r="L67" i="12"/>
  <c r="BT66" i="12"/>
  <c r="BR66" i="12"/>
  <c r="BQ66" i="12"/>
  <c r="BP66" i="12"/>
  <c r="BS66" i="12" s="1"/>
  <c r="BH66" i="12"/>
  <c r="Q66" i="12" s="1"/>
  <c r="BF66" i="12"/>
  <c r="BE66" i="12"/>
  <c r="BC66" i="12"/>
  <c r="BB66" i="12"/>
  <c r="BG66" i="12" s="1"/>
  <c r="R66" i="12" s="1"/>
  <c r="AH66" i="12"/>
  <c r="AG66" i="12"/>
  <c r="AF66" i="12"/>
  <c r="AD66" i="12"/>
  <c r="AC66" i="12"/>
  <c r="P66" i="12"/>
  <c r="L66" i="12"/>
  <c r="BT65" i="12"/>
  <c r="BR65" i="12"/>
  <c r="BQ65" i="12"/>
  <c r="BP65" i="12"/>
  <c r="BH65" i="12"/>
  <c r="Q65" i="12" s="1"/>
  <c r="BF65" i="12"/>
  <c r="BE65" i="12"/>
  <c r="BC65" i="12"/>
  <c r="BB65" i="12"/>
  <c r="BG65" i="12" s="1"/>
  <c r="R65" i="12" s="1"/>
  <c r="AH65" i="12"/>
  <c r="AG65" i="12"/>
  <c r="AF65" i="12"/>
  <c r="AD65" i="12"/>
  <c r="AC65" i="12"/>
  <c r="P65" i="12"/>
  <c r="L65" i="12"/>
  <c r="BT64" i="12"/>
  <c r="BR64" i="12"/>
  <c r="BQ64" i="12"/>
  <c r="BP64" i="12"/>
  <c r="BH64" i="12"/>
  <c r="Q64" i="12" s="1"/>
  <c r="BF64" i="12"/>
  <c r="BE64" i="12"/>
  <c r="BC64" i="12"/>
  <c r="BB64" i="12"/>
  <c r="BG64" i="12" s="1"/>
  <c r="R64" i="12" s="1"/>
  <c r="AH64" i="12"/>
  <c r="AG64" i="12"/>
  <c r="AF64" i="12"/>
  <c r="AD64" i="12"/>
  <c r="AC64" i="12"/>
  <c r="P64" i="12"/>
  <c r="L64" i="12"/>
  <c r="BT63" i="12"/>
  <c r="BR63" i="12"/>
  <c r="BQ63" i="12"/>
  <c r="BP63" i="12"/>
  <c r="BH63" i="12"/>
  <c r="Q63" i="12" s="1"/>
  <c r="BF63" i="12"/>
  <c r="BE63" i="12"/>
  <c r="BC63" i="12"/>
  <c r="BB63" i="12"/>
  <c r="BG63" i="12" s="1"/>
  <c r="R63" i="12" s="1"/>
  <c r="AH63" i="12"/>
  <c r="AG63" i="12"/>
  <c r="AF63" i="12"/>
  <c r="AD63" i="12"/>
  <c r="AC63" i="12"/>
  <c r="P63" i="12"/>
  <c r="L63" i="12"/>
  <c r="BT62" i="12"/>
  <c r="BR62" i="12"/>
  <c r="BQ62" i="12"/>
  <c r="BP62" i="12"/>
  <c r="BS62" i="12" s="1"/>
  <c r="BH62" i="12"/>
  <c r="Q62" i="12" s="1"/>
  <c r="BF62" i="12"/>
  <c r="BE62" i="12"/>
  <c r="BC62" i="12"/>
  <c r="BB62" i="12"/>
  <c r="BG62" i="12" s="1"/>
  <c r="R62" i="12" s="1"/>
  <c r="AH62" i="12"/>
  <c r="AG62" i="12"/>
  <c r="AF62" i="12"/>
  <c r="AD62" i="12"/>
  <c r="AC62" i="12"/>
  <c r="P62" i="12"/>
  <c r="L62" i="12"/>
  <c r="BT61" i="12"/>
  <c r="BR61" i="12"/>
  <c r="BQ61" i="12"/>
  <c r="BP61" i="12"/>
  <c r="BH61" i="12"/>
  <c r="Q61" i="12" s="1"/>
  <c r="BF61" i="12"/>
  <c r="BE61" i="12"/>
  <c r="BC61" i="12"/>
  <c r="BB61" i="12"/>
  <c r="BG61" i="12" s="1"/>
  <c r="R61" i="12" s="1"/>
  <c r="AH61" i="12"/>
  <c r="AG61" i="12"/>
  <c r="AF61" i="12"/>
  <c r="AD61" i="12"/>
  <c r="AC61" i="12"/>
  <c r="P61" i="12"/>
  <c r="L61" i="12"/>
  <c r="BT60" i="12"/>
  <c r="BR60" i="12"/>
  <c r="BQ60" i="12"/>
  <c r="BP60" i="12"/>
  <c r="BH60" i="12"/>
  <c r="Q60" i="12" s="1"/>
  <c r="BF60" i="12"/>
  <c r="BE60" i="12"/>
  <c r="BC60" i="12"/>
  <c r="BB60" i="12"/>
  <c r="BG60" i="12" s="1"/>
  <c r="R60" i="12" s="1"/>
  <c r="AH60" i="12"/>
  <c r="AG60" i="12"/>
  <c r="AF60" i="12"/>
  <c r="AD60" i="12"/>
  <c r="AC60" i="12"/>
  <c r="P60" i="12"/>
  <c r="L60" i="12"/>
  <c r="BT59" i="12"/>
  <c r="BR59" i="12"/>
  <c r="BQ59" i="12"/>
  <c r="BP59" i="12"/>
  <c r="BH59" i="12"/>
  <c r="Q59" i="12" s="1"/>
  <c r="BF59" i="12"/>
  <c r="BE59" i="12"/>
  <c r="BC59" i="12"/>
  <c r="BB59" i="12"/>
  <c r="BG59" i="12" s="1"/>
  <c r="R59" i="12" s="1"/>
  <c r="AH59" i="12"/>
  <c r="AG59" i="12"/>
  <c r="AF59" i="12"/>
  <c r="AD59" i="12"/>
  <c r="AC59" i="12"/>
  <c r="P59" i="12"/>
  <c r="L59" i="12"/>
  <c r="BT58" i="12"/>
  <c r="BR58" i="12"/>
  <c r="BQ58" i="12"/>
  <c r="BP58" i="12"/>
  <c r="BS58" i="12" s="1"/>
  <c r="BH58" i="12"/>
  <c r="Q58" i="12" s="1"/>
  <c r="BF58" i="12"/>
  <c r="BE58" i="12"/>
  <c r="BC58" i="12"/>
  <c r="BB58" i="12"/>
  <c r="BG58" i="12" s="1"/>
  <c r="R58" i="12" s="1"/>
  <c r="AH58" i="12"/>
  <c r="AG58" i="12"/>
  <c r="AF58" i="12"/>
  <c r="AD58" i="12"/>
  <c r="AC58" i="12"/>
  <c r="P58" i="12"/>
  <c r="L58" i="12"/>
  <c r="BT57" i="12"/>
  <c r="BR57" i="12"/>
  <c r="BQ57" i="12"/>
  <c r="BP57" i="12"/>
  <c r="BH57" i="12"/>
  <c r="Q57" i="12" s="1"/>
  <c r="BF57" i="12"/>
  <c r="BE57" i="12"/>
  <c r="BC57" i="12"/>
  <c r="BB57" i="12"/>
  <c r="BG57" i="12" s="1"/>
  <c r="R57" i="12" s="1"/>
  <c r="AH57" i="12"/>
  <c r="AG57" i="12"/>
  <c r="AF57" i="12"/>
  <c r="AD57" i="12"/>
  <c r="AC57" i="12"/>
  <c r="P57" i="12"/>
  <c r="L57" i="12"/>
  <c r="BT56" i="12"/>
  <c r="BR56" i="12"/>
  <c r="BQ56" i="12"/>
  <c r="BP56" i="12"/>
  <c r="BH56" i="12"/>
  <c r="Q56" i="12" s="1"/>
  <c r="BF56" i="12"/>
  <c r="BE56" i="12"/>
  <c r="BC56" i="12"/>
  <c r="BB56" i="12"/>
  <c r="BG56" i="12" s="1"/>
  <c r="R56" i="12" s="1"/>
  <c r="AH56" i="12"/>
  <c r="AG56" i="12"/>
  <c r="AF56" i="12"/>
  <c r="AD56" i="12"/>
  <c r="AC56" i="12"/>
  <c r="P56" i="12"/>
  <c r="L56" i="12"/>
  <c r="BT55" i="12"/>
  <c r="BR55" i="12"/>
  <c r="BQ55" i="12"/>
  <c r="BP55" i="12"/>
  <c r="BH55" i="12"/>
  <c r="Q55" i="12" s="1"/>
  <c r="BF55" i="12"/>
  <c r="BE55" i="12"/>
  <c r="BC55" i="12"/>
  <c r="BB55" i="12"/>
  <c r="BG55" i="12" s="1"/>
  <c r="R55" i="12" s="1"/>
  <c r="AH55" i="12"/>
  <c r="AG55" i="12"/>
  <c r="AF55" i="12"/>
  <c r="AD55" i="12"/>
  <c r="AC55" i="12"/>
  <c r="P55" i="12"/>
  <c r="L55" i="12"/>
  <c r="BT54" i="12"/>
  <c r="BR54" i="12"/>
  <c r="BQ54" i="12"/>
  <c r="BP54" i="12"/>
  <c r="BS54" i="12" s="1"/>
  <c r="BH54" i="12"/>
  <c r="Q54" i="12" s="1"/>
  <c r="BF54" i="12"/>
  <c r="BE54" i="12"/>
  <c r="BC54" i="12"/>
  <c r="BB54" i="12"/>
  <c r="BG54" i="12" s="1"/>
  <c r="R54" i="12" s="1"/>
  <c r="AH54" i="12"/>
  <c r="AG54" i="12"/>
  <c r="AF54" i="12"/>
  <c r="AD54" i="12"/>
  <c r="AC54" i="12"/>
  <c r="P54" i="12"/>
  <c r="L54" i="12"/>
  <c r="BT53" i="12"/>
  <c r="BR53" i="12"/>
  <c r="BQ53" i="12"/>
  <c r="BP53" i="12"/>
  <c r="BH53" i="12"/>
  <c r="Q53" i="12" s="1"/>
  <c r="BF53" i="12"/>
  <c r="BE53" i="12"/>
  <c r="BC53" i="12"/>
  <c r="BB53" i="12"/>
  <c r="BG53" i="12" s="1"/>
  <c r="R53" i="12" s="1"/>
  <c r="AH53" i="12"/>
  <c r="AG53" i="12"/>
  <c r="AF53" i="12"/>
  <c r="AD53" i="12"/>
  <c r="AC53" i="12"/>
  <c r="P53" i="12"/>
  <c r="L53" i="12"/>
  <c r="BT52" i="12"/>
  <c r="BR52" i="12"/>
  <c r="BQ52" i="12"/>
  <c r="BP52" i="12"/>
  <c r="BH52" i="12"/>
  <c r="Q52" i="12" s="1"/>
  <c r="BF52" i="12"/>
  <c r="BE52" i="12"/>
  <c r="BC52" i="12"/>
  <c r="BB52" i="12"/>
  <c r="BG52" i="12" s="1"/>
  <c r="R52" i="12" s="1"/>
  <c r="AH52" i="12"/>
  <c r="AG52" i="12"/>
  <c r="AF52" i="12"/>
  <c r="AD52" i="12"/>
  <c r="AC52" i="12"/>
  <c r="P52" i="12"/>
  <c r="L52" i="12"/>
  <c r="BT51" i="12"/>
  <c r="BR51" i="12"/>
  <c r="BQ51" i="12"/>
  <c r="BP51" i="12"/>
  <c r="BH51" i="12"/>
  <c r="Q51" i="12" s="1"/>
  <c r="BF51" i="12"/>
  <c r="BE51" i="12"/>
  <c r="BC51" i="12"/>
  <c r="BB51" i="12"/>
  <c r="BG51" i="12" s="1"/>
  <c r="R51" i="12" s="1"/>
  <c r="AH51" i="12"/>
  <c r="AG51" i="12"/>
  <c r="AF51" i="12"/>
  <c r="AD51" i="12"/>
  <c r="AC51" i="12"/>
  <c r="P51" i="12"/>
  <c r="L51" i="12"/>
  <c r="S12" i="12"/>
  <c r="AY9" i="12"/>
  <c r="BS51" i="12" l="1"/>
  <c r="BS55" i="12"/>
  <c r="BS59" i="12"/>
  <c r="BS63" i="12"/>
  <c r="BS67" i="12"/>
  <c r="BS52" i="12"/>
  <c r="BS56" i="12"/>
  <c r="BS60" i="12"/>
  <c r="BS64" i="12"/>
  <c r="BS68" i="12"/>
  <c r="BS53" i="12"/>
  <c r="BS57" i="12"/>
  <c r="BS61" i="12"/>
  <c r="BS65" i="12"/>
  <c r="BS69" i="12"/>
  <c r="H56" i="1"/>
  <c r="H51" i="1"/>
  <c r="W67" i="12"/>
  <c r="AA67" i="12" s="1"/>
  <c r="W51" i="12"/>
  <c r="AA51" i="12" s="1"/>
  <c r="W55" i="12"/>
  <c r="AA55" i="12" s="1"/>
  <c r="W57" i="12"/>
  <c r="AA57" i="12" s="1"/>
  <c r="W63" i="12"/>
  <c r="AA63" i="12" s="1"/>
  <c r="W65" i="12"/>
  <c r="AA65" i="12" s="1"/>
  <c r="W69" i="12"/>
  <c r="AA69" i="12" s="1"/>
  <c r="W52" i="12"/>
  <c r="AA52" i="12" s="1"/>
  <c r="W54" i="12"/>
  <c r="AA54" i="12" s="1"/>
  <c r="W56" i="12"/>
  <c r="AA56" i="12" s="1"/>
  <c r="W58" i="12"/>
  <c r="AA58" i="12" s="1"/>
  <c r="W60" i="12"/>
  <c r="AA60" i="12" s="1"/>
  <c r="W62" i="12"/>
  <c r="AA62" i="12" s="1"/>
  <c r="W64" i="12"/>
  <c r="AA64" i="12" s="1"/>
  <c r="W66" i="12"/>
  <c r="AA66" i="12" s="1"/>
  <c r="W68" i="12"/>
  <c r="AA68" i="12" s="1"/>
  <c r="W70" i="12"/>
  <c r="AA70" i="12" s="1"/>
  <c r="W53" i="12"/>
  <c r="AA53" i="12" s="1"/>
  <c r="W59" i="12"/>
  <c r="AA59" i="12" s="1"/>
  <c r="W61" i="12"/>
  <c r="AA61" i="12" s="1"/>
  <c r="H58" i="1"/>
  <c r="P30" i="1"/>
  <c r="Q27" i="1"/>
  <c r="BA61" i="12"/>
  <c r="BA12" i="12"/>
  <c r="N51" i="12"/>
  <c r="N70" i="12"/>
  <c r="N52" i="12"/>
  <c r="N57" i="12"/>
  <c r="O62" i="12"/>
  <c r="N58" i="12"/>
  <c r="N53" i="12"/>
  <c r="N60" i="12"/>
  <c r="N54" i="12"/>
  <c r="N59" i="12"/>
  <c r="O63" i="12"/>
  <c r="AZ51" i="12"/>
  <c r="N66" i="12"/>
  <c r="O66" i="12"/>
  <c r="AZ52" i="12"/>
  <c r="O61" i="12"/>
  <c r="O70" i="12"/>
  <c r="AZ53" i="12"/>
  <c r="AY54" i="12"/>
  <c r="O56" i="12"/>
  <c r="O51" i="12"/>
  <c r="BA51" i="12"/>
  <c r="O52" i="12"/>
  <c r="BA52" i="12"/>
  <c r="O53" i="12"/>
  <c r="AZ54" i="12"/>
  <c r="AY55" i="12"/>
  <c r="AZ57" i="12"/>
  <c r="AZ59" i="12"/>
  <c r="BA62" i="12"/>
  <c r="N63" i="12"/>
  <c r="N64" i="12"/>
  <c r="O64" i="12"/>
  <c r="BA67" i="12"/>
  <c r="O55" i="12"/>
  <c r="BA63" i="12"/>
  <c r="N55" i="12"/>
  <c r="AZ55" i="12"/>
  <c r="N56" i="12"/>
  <c r="N62" i="12"/>
  <c r="N65" i="12"/>
  <c r="O65" i="12"/>
  <c r="N68" i="12"/>
  <c r="O68" i="12"/>
  <c r="AZ70" i="12"/>
  <c r="AZ69" i="12"/>
  <c r="AZ68" i="12"/>
  <c r="AZ67" i="12"/>
  <c r="AZ66" i="12"/>
  <c r="AZ65" i="12"/>
  <c r="AZ64" i="12"/>
  <c r="AY70" i="12"/>
  <c r="AY69" i="12"/>
  <c r="AY68" i="12"/>
  <c r="AY67" i="12"/>
  <c r="AY66" i="12"/>
  <c r="AY65" i="12"/>
  <c r="AY64" i="12"/>
  <c r="AY63" i="12"/>
  <c r="AY62" i="12"/>
  <c r="AY61" i="12"/>
  <c r="AY60" i="12"/>
  <c r="BA68" i="12"/>
  <c r="BA64" i="12"/>
  <c r="AZ63" i="12"/>
  <c r="AZ62" i="12"/>
  <c r="AZ61" i="12"/>
  <c r="AZ60" i="12"/>
  <c r="AY59" i="12"/>
  <c r="AY58" i="12"/>
  <c r="AY57" i="12"/>
  <c r="AY56" i="12"/>
  <c r="BA69" i="12"/>
  <c r="BA65" i="12"/>
  <c r="BA70" i="12"/>
  <c r="BA66" i="12"/>
  <c r="BA59" i="12"/>
  <c r="BA58" i="12"/>
  <c r="BA57" i="12"/>
  <c r="BA56" i="12"/>
  <c r="BA55" i="12"/>
  <c r="BA54" i="12"/>
  <c r="BA53" i="12"/>
  <c r="AY51" i="12"/>
  <c r="AY52" i="12"/>
  <c r="AY53" i="12"/>
  <c r="O54" i="12"/>
  <c r="AZ56" i="12"/>
  <c r="AZ58" i="12"/>
  <c r="BA60" i="12"/>
  <c r="N61" i="12"/>
  <c r="N67" i="12"/>
  <c r="O67" i="12"/>
  <c r="N69" i="12"/>
  <c r="O69" i="12"/>
  <c r="O57" i="12"/>
  <c r="O58" i="12"/>
  <c r="O59" i="12"/>
  <c r="O60" i="12"/>
  <c r="V67" i="12" l="1"/>
  <c r="X67" i="12"/>
  <c r="Z67" i="12" s="1"/>
  <c r="X64" i="12"/>
  <c r="Z64" i="12" s="1"/>
  <c r="V64" i="12"/>
  <c r="V60" i="12"/>
  <c r="X60" i="12"/>
  <c r="X57" i="12"/>
  <c r="Z57" i="12" s="1"/>
  <c r="V57" i="12"/>
  <c r="X56" i="12"/>
  <c r="Z56" i="12" s="1"/>
  <c r="V56" i="12"/>
  <c r="V52" i="12"/>
  <c r="X52" i="12"/>
  <c r="Z52" i="12" s="1"/>
  <c r="X69" i="12"/>
  <c r="Z69" i="12" s="1"/>
  <c r="V69" i="12"/>
  <c r="V59" i="12"/>
  <c r="X59" i="12"/>
  <c r="Z59" i="12" s="1"/>
  <c r="V58" i="12"/>
  <c r="X58" i="12"/>
  <c r="Z58" i="12" s="1"/>
  <c r="V70" i="12"/>
  <c r="X70" i="12"/>
  <c r="Z70" i="12" s="1"/>
  <c r="V62" i="12"/>
  <c r="X62" i="12"/>
  <c r="Z62" i="12" s="1"/>
  <c r="X61" i="12"/>
  <c r="Z61" i="12" s="1"/>
  <c r="V61" i="12"/>
  <c r="V68" i="12"/>
  <c r="X68" i="12"/>
  <c r="Z68" i="12" s="1"/>
  <c r="V63" i="12"/>
  <c r="X63" i="12"/>
  <c r="Z63" i="12" s="1"/>
  <c r="X53" i="12"/>
  <c r="Z53" i="12" s="1"/>
  <c r="V53" i="12"/>
  <c r="X65" i="12"/>
  <c r="Z65" i="12" s="1"/>
  <c r="V65" i="12"/>
  <c r="V55" i="12"/>
  <c r="X55" i="12"/>
  <c r="Z55" i="12" s="1"/>
  <c r="V66" i="12"/>
  <c r="X66" i="12"/>
  <c r="Z66" i="12" s="1"/>
  <c r="V54" i="12"/>
  <c r="X54" i="12"/>
  <c r="Z54" i="12" s="1"/>
  <c r="V51" i="12"/>
  <c r="X51" i="12"/>
  <c r="Z51" i="12" s="1"/>
  <c r="H59" i="1"/>
  <c r="Z60" i="12"/>
  <c r="G59" i="1"/>
  <c r="BK67" i="12" l="1"/>
  <c r="BI67" i="12"/>
  <c r="BL67" i="12" s="1"/>
  <c r="BM67" i="12" s="1"/>
  <c r="AE67" i="12"/>
  <c r="AP67" i="12" s="1"/>
  <c r="BJ67" i="12"/>
  <c r="BK68" i="12"/>
  <c r="BJ68" i="12"/>
  <c r="AE68" i="12"/>
  <c r="AP68" i="12" s="1"/>
  <c r="BI68" i="12"/>
  <c r="BL68" i="12" s="1"/>
  <c r="BM68" i="12" s="1"/>
  <c r="BK69" i="12"/>
  <c r="BJ69" i="12"/>
  <c r="AE69" i="12"/>
  <c r="AP69" i="12" s="1"/>
  <c r="BI69" i="12"/>
  <c r="BL69" i="12" s="1"/>
  <c r="BM69" i="12" s="1"/>
  <c r="BK52" i="12"/>
  <c r="BJ52" i="12"/>
  <c r="BI52" i="12"/>
  <c r="BL52" i="12" s="1"/>
  <c r="BM52" i="12" s="1"/>
  <c r="AE52" i="12"/>
  <c r="AP52" i="12" s="1"/>
  <c r="BK51" i="12"/>
  <c r="BJ51" i="12"/>
  <c r="BI51" i="12"/>
  <c r="BL51" i="12" s="1"/>
  <c r="BM51" i="12" s="1"/>
  <c r="AE51" i="12"/>
  <c r="AP51" i="12" s="1"/>
  <c r="BK62" i="12"/>
  <c r="BI62" i="12"/>
  <c r="BL62" i="12" s="1"/>
  <c r="BM62" i="12" s="1"/>
  <c r="AE62" i="12"/>
  <c r="AP62" i="12" s="1"/>
  <c r="BJ62" i="12"/>
  <c r="BI53" i="12"/>
  <c r="BL53" i="12" s="1"/>
  <c r="BM53" i="12" s="1"/>
  <c r="BK53" i="12"/>
  <c r="AE53" i="12"/>
  <c r="AP53" i="12" s="1"/>
  <c r="BJ53" i="12"/>
  <c r="BK61" i="12"/>
  <c r="BI61" i="12"/>
  <c r="BL61" i="12" s="1"/>
  <c r="BM61" i="12" s="1"/>
  <c r="AE61" i="12"/>
  <c r="AP61" i="12" s="1"/>
  <c r="BJ61" i="12"/>
  <c r="BK58" i="12"/>
  <c r="BJ58" i="12"/>
  <c r="BI58" i="12"/>
  <c r="BL58" i="12" s="1"/>
  <c r="BM58" i="12" s="1"/>
  <c r="AE58" i="12"/>
  <c r="AP58" i="12" s="1"/>
  <c r="BK57" i="12"/>
  <c r="BJ57" i="12"/>
  <c r="BI57" i="12"/>
  <c r="BL57" i="12" s="1"/>
  <c r="BM57" i="12" s="1"/>
  <c r="AE57" i="12"/>
  <c r="AP57" i="12" s="1"/>
  <c r="BK63" i="12"/>
  <c r="BI63" i="12"/>
  <c r="BL63" i="12" s="1"/>
  <c r="BM63" i="12" s="1"/>
  <c r="AE63" i="12"/>
  <c r="AP63" i="12" s="1"/>
  <c r="BJ63" i="12"/>
  <c r="BI55" i="12"/>
  <c r="BL55" i="12" s="1"/>
  <c r="BM55" i="12" s="1"/>
  <c r="AE55" i="12"/>
  <c r="AP55" i="12" s="1"/>
  <c r="BK55" i="12"/>
  <c r="BJ55" i="12"/>
  <c r="BK59" i="12"/>
  <c r="BJ59" i="12"/>
  <c r="BI59" i="12"/>
  <c r="BL59" i="12" s="1"/>
  <c r="BM59" i="12" s="1"/>
  <c r="AE59" i="12"/>
  <c r="AP59" i="12" s="1"/>
  <c r="BI54" i="12"/>
  <c r="BL54" i="12" s="1"/>
  <c r="BM54" i="12" s="1"/>
  <c r="AE54" i="12"/>
  <c r="AP54" i="12" s="1"/>
  <c r="BK54" i="12"/>
  <c r="BJ54" i="12"/>
  <c r="BK56" i="12"/>
  <c r="BJ56" i="12"/>
  <c r="BI56" i="12"/>
  <c r="BL56" i="12" s="1"/>
  <c r="BM56" i="12" s="1"/>
  <c r="AE56" i="12"/>
  <c r="AP56" i="12" s="1"/>
  <c r="BK60" i="12"/>
  <c r="BI60" i="12"/>
  <c r="BL60" i="12" s="1"/>
  <c r="BM60" i="12" s="1"/>
  <c r="AE60" i="12"/>
  <c r="AP60" i="12" s="1"/>
  <c r="BJ60" i="12"/>
  <c r="BK66" i="12"/>
  <c r="BJ66" i="12"/>
  <c r="AE66" i="12"/>
  <c r="AP66" i="12" s="1"/>
  <c r="BI66" i="12"/>
  <c r="BL66" i="12" s="1"/>
  <c r="BM66" i="12" s="1"/>
  <c r="BK70" i="12"/>
  <c r="BJ70" i="12"/>
  <c r="AE70" i="12"/>
  <c r="AP70" i="12" s="1"/>
  <c r="BI70" i="12"/>
  <c r="BL70" i="12" s="1"/>
  <c r="BM70" i="12" s="1"/>
  <c r="BK65" i="12"/>
  <c r="BJ65" i="12"/>
  <c r="AE65" i="12"/>
  <c r="AP65" i="12" s="1"/>
  <c r="BI65" i="12"/>
  <c r="BL65" i="12" s="1"/>
  <c r="BM65" i="12" s="1"/>
  <c r="BK64" i="12"/>
  <c r="BJ64" i="12"/>
  <c r="AE64" i="12"/>
  <c r="AP64" i="12" s="1"/>
  <c r="BI64" i="12"/>
  <c r="BL64" i="12" s="1"/>
  <c r="BM64" i="12" s="1"/>
  <c r="AQ64" i="12" l="1"/>
  <c r="AQ65" i="12"/>
  <c r="AQ55" i="12"/>
  <c r="AQ53" i="12"/>
  <c r="AQ59" i="12"/>
  <c r="AT70" i="12"/>
  <c r="AS68" i="12" l="1"/>
  <c r="AT68" i="12"/>
  <c r="AS66" i="12"/>
  <c r="AT66" i="12"/>
  <c r="AS63" i="12"/>
  <c r="AT63" i="12"/>
  <c r="AS56" i="12"/>
  <c r="AT56" i="12"/>
  <c r="AS61" i="12"/>
  <c r="AT61" i="12"/>
  <c r="AS51" i="12"/>
  <c r="AT51" i="12"/>
  <c r="AS69" i="12"/>
  <c r="AT69" i="12"/>
  <c r="AS55" i="12"/>
  <c r="AT55" i="12"/>
  <c r="AS52" i="12"/>
  <c r="AT52" i="12"/>
  <c r="AS57" i="12"/>
  <c r="AT57" i="12"/>
  <c r="AS54" i="12"/>
  <c r="AT54" i="12"/>
  <c r="AS58" i="12"/>
  <c r="AT58" i="12"/>
  <c r="AS62" i="12"/>
  <c r="AT62" i="12"/>
  <c r="AS65" i="12"/>
  <c r="AT65" i="12"/>
  <c r="AS60" i="12"/>
  <c r="AT60" i="12"/>
  <c r="AS67" i="12"/>
  <c r="AT67" i="12"/>
  <c r="AS59" i="12"/>
  <c r="AT59" i="12"/>
  <c r="AS53" i="12"/>
  <c r="AT53" i="12"/>
  <c r="AS64" i="12"/>
  <c r="AT64" i="12"/>
  <c r="AQ69" i="12"/>
  <c r="AQ51" i="12"/>
  <c r="AQ57" i="12"/>
  <c r="AQ62" i="12"/>
  <c r="AQ56" i="12"/>
  <c r="AQ63" i="12"/>
  <c r="AQ58" i="12"/>
  <c r="AQ70" i="12"/>
  <c r="AS70" i="12"/>
  <c r="AQ68" i="12"/>
  <c r="AQ66" i="12"/>
  <c r="AQ52" i="12"/>
  <c r="AQ54" i="12"/>
  <c r="AQ61" i="12"/>
  <c r="AQ60" i="12"/>
  <c r="AQ67" i="12"/>
  <c r="BB13" i="12" l="1"/>
  <c r="BB14" i="12"/>
  <c r="BB15" i="12"/>
  <c r="BB16" i="12"/>
  <c r="BB17" i="12"/>
  <c r="BB18" i="12"/>
  <c r="BB19" i="12"/>
  <c r="BB20" i="12"/>
  <c r="BB21" i="12"/>
  <c r="BB22" i="12"/>
  <c r="BB23" i="12"/>
  <c r="BB24" i="12"/>
  <c r="BB25" i="12"/>
  <c r="BB26" i="12"/>
  <c r="BB27" i="12"/>
  <c r="BB28" i="12"/>
  <c r="BB29" i="12"/>
  <c r="BB30" i="12"/>
  <c r="BB31" i="12"/>
  <c r="BB32" i="12"/>
  <c r="BB33" i="12"/>
  <c r="BB34" i="12"/>
  <c r="BB35" i="12"/>
  <c r="BB36" i="12"/>
  <c r="BB37" i="12"/>
  <c r="BB38" i="12"/>
  <c r="BB39" i="12"/>
  <c r="BB40" i="12"/>
  <c r="BB41" i="12"/>
  <c r="BB42" i="12"/>
  <c r="BB43" i="12"/>
  <c r="BB44" i="12"/>
  <c r="BB45" i="12"/>
  <c r="BB46" i="12"/>
  <c r="BB47" i="12"/>
  <c r="BB48" i="12"/>
  <c r="BB49" i="12"/>
  <c r="BB50" i="12"/>
  <c r="BB71" i="12"/>
  <c r="BB72" i="12"/>
  <c r="BB73" i="12"/>
  <c r="BB74" i="12"/>
  <c r="BB75" i="12"/>
  <c r="BB76" i="12"/>
  <c r="BB77" i="12"/>
  <c r="BB78" i="12"/>
  <c r="BB79" i="12"/>
  <c r="BB80" i="12"/>
  <c r="BB81" i="12"/>
  <c r="BB82" i="12"/>
  <c r="BB83" i="12"/>
  <c r="BB84" i="12"/>
  <c r="BB85" i="12"/>
  <c r="BB86" i="12"/>
  <c r="BB12" i="12"/>
  <c r="BG12" i="12" s="1"/>
  <c r="G10" i="3" l="1"/>
  <c r="H10" i="3"/>
  <c r="H11" i="3" s="1"/>
  <c r="G52" i="1" s="1"/>
  <c r="G11" i="3"/>
  <c r="G12" i="3"/>
  <c r="G53" i="1" s="1"/>
  <c r="H53" i="1" s="1"/>
  <c r="D22" i="3"/>
  <c r="C22" i="3"/>
  <c r="P31" i="1" l="1"/>
  <c r="P32" i="1" s="1"/>
  <c r="G54" i="1"/>
  <c r="G70" i="1" s="1"/>
  <c r="G73" i="1" s="1"/>
  <c r="Q10" i="1" s="1"/>
  <c r="H52" i="1"/>
  <c r="H12" i="3"/>
  <c r="BN62" i="12"/>
  <c r="BO62" i="12" s="1"/>
  <c r="BN51" i="12"/>
  <c r="BO51" i="12" s="1"/>
  <c r="BN59" i="12"/>
  <c r="BO59" i="12" s="1"/>
  <c r="BN56" i="12"/>
  <c r="BO56" i="12" s="1"/>
  <c r="BN69" i="12"/>
  <c r="BO69" i="12" s="1"/>
  <c r="BN70" i="12"/>
  <c r="BO70" i="12" s="1"/>
  <c r="BN65" i="12"/>
  <c r="BO65" i="12" s="1"/>
  <c r="BN63" i="12"/>
  <c r="BO63" i="12" s="1"/>
  <c r="BN57" i="12"/>
  <c r="BO57" i="12" s="1"/>
  <c r="BN66" i="12"/>
  <c r="BO66" i="12" s="1"/>
  <c r="BN61" i="12"/>
  <c r="BO61" i="12" s="1"/>
  <c r="BN53" i="12"/>
  <c r="BO53" i="12" s="1"/>
  <c r="BN58" i="12"/>
  <c r="BO58" i="12" s="1"/>
  <c r="BN54" i="12"/>
  <c r="BO54" i="12" s="1"/>
  <c r="BN67" i="12"/>
  <c r="BO67" i="12" s="1"/>
  <c r="BN60" i="12"/>
  <c r="BO60" i="12" s="1"/>
  <c r="BN68" i="12"/>
  <c r="BO68" i="12" s="1"/>
  <c r="BN55" i="12"/>
  <c r="BO55" i="12" s="1"/>
  <c r="BN52" i="12"/>
  <c r="BO52" i="12" s="1"/>
  <c r="BN64" i="12"/>
  <c r="BO64" i="12" s="1"/>
  <c r="E22" i="3"/>
  <c r="Q31" i="1" l="1"/>
  <c r="Q32" i="1" s="1"/>
  <c r="H54" i="1"/>
  <c r="H70" i="1" s="1"/>
  <c r="H73" i="1" s="1"/>
  <c r="Q11" i="1"/>
  <c r="Q13" i="1"/>
  <c r="Q14" i="1"/>
  <c r="AF29" i="12"/>
  <c r="AF30" i="12"/>
  <c r="AF31" i="12"/>
  <c r="AF32" i="12"/>
  <c r="AF33" i="12"/>
  <c r="AF34" i="12"/>
  <c r="AF35" i="12"/>
  <c r="AF36" i="12"/>
  <c r="AF37" i="12"/>
  <c r="AF38" i="12"/>
  <c r="AF39" i="12"/>
  <c r="AF40" i="12"/>
  <c r="AF41" i="12"/>
  <c r="AF42" i="12"/>
  <c r="AF43" i="12"/>
  <c r="AF44" i="12"/>
  <c r="AF45" i="12"/>
  <c r="AF46" i="12"/>
  <c r="AF47" i="12"/>
  <c r="AF48" i="12"/>
  <c r="AF49" i="12"/>
  <c r="AF50" i="12"/>
  <c r="AF71" i="12"/>
  <c r="AF72" i="12"/>
  <c r="AF73" i="12"/>
  <c r="AF74" i="12"/>
  <c r="AF75" i="12"/>
  <c r="AF76" i="12"/>
  <c r="AF77" i="12"/>
  <c r="AF78" i="12"/>
  <c r="AF79" i="12"/>
  <c r="AF80" i="12"/>
  <c r="AF81" i="12"/>
  <c r="AF82" i="12"/>
  <c r="AF83" i="12"/>
  <c r="AF84" i="12"/>
  <c r="AF85" i="12"/>
  <c r="AF86" i="12"/>
  <c r="H84" i="1" l="1"/>
  <c r="H85" i="1"/>
  <c r="BP13" i="12"/>
  <c r="BQ13" i="12"/>
  <c r="BR13" i="12"/>
  <c r="BT13" i="12"/>
  <c r="BP14" i="12"/>
  <c r="BQ14" i="12"/>
  <c r="BR14" i="12"/>
  <c r="BT14" i="12"/>
  <c r="BP15" i="12"/>
  <c r="BQ15" i="12"/>
  <c r="BR15" i="12"/>
  <c r="BT15" i="12"/>
  <c r="BP16" i="12"/>
  <c r="BQ16" i="12"/>
  <c r="BR16" i="12"/>
  <c r="BT16" i="12"/>
  <c r="BP17" i="12"/>
  <c r="BQ17" i="12"/>
  <c r="BR17" i="12"/>
  <c r="BT17" i="12"/>
  <c r="BP18" i="12"/>
  <c r="BQ18" i="12"/>
  <c r="BR18" i="12"/>
  <c r="BT18" i="12"/>
  <c r="BP19" i="12"/>
  <c r="BQ19" i="12"/>
  <c r="BR19" i="12"/>
  <c r="BT19" i="12"/>
  <c r="BP20" i="12"/>
  <c r="BQ20" i="12"/>
  <c r="BR20" i="12"/>
  <c r="BT20" i="12"/>
  <c r="BP21" i="12"/>
  <c r="BQ21" i="12"/>
  <c r="BR21" i="12"/>
  <c r="BT21" i="12"/>
  <c r="BP22" i="12"/>
  <c r="BQ22" i="12"/>
  <c r="BR22" i="12"/>
  <c r="BT22" i="12"/>
  <c r="BP23" i="12"/>
  <c r="BQ23" i="12"/>
  <c r="BR23" i="12"/>
  <c r="BT23" i="12"/>
  <c r="BP24" i="12"/>
  <c r="BQ24" i="12"/>
  <c r="BR24" i="12"/>
  <c r="BT24" i="12"/>
  <c r="BP25" i="12"/>
  <c r="BQ25" i="12"/>
  <c r="BR25" i="12"/>
  <c r="BT25" i="12"/>
  <c r="BP26" i="12"/>
  <c r="BQ26" i="12"/>
  <c r="BR26" i="12"/>
  <c r="BT26" i="12"/>
  <c r="BP27" i="12"/>
  <c r="BQ27" i="12"/>
  <c r="BR27" i="12"/>
  <c r="BT27" i="12"/>
  <c r="BP28" i="12"/>
  <c r="BQ28" i="12"/>
  <c r="BR28" i="12"/>
  <c r="BT28" i="12"/>
  <c r="BP29" i="12"/>
  <c r="BQ29" i="12"/>
  <c r="BR29" i="12"/>
  <c r="BT29" i="12"/>
  <c r="BP30" i="12"/>
  <c r="BQ30" i="12"/>
  <c r="BR30" i="12"/>
  <c r="BT30" i="12"/>
  <c r="BP31" i="12"/>
  <c r="BQ31" i="12"/>
  <c r="BR31" i="12"/>
  <c r="BT31" i="12"/>
  <c r="BP32" i="12"/>
  <c r="BQ32" i="12"/>
  <c r="BR32" i="12"/>
  <c r="BT32" i="12"/>
  <c r="BP33" i="12"/>
  <c r="BQ33" i="12"/>
  <c r="BR33" i="12"/>
  <c r="BT33" i="12"/>
  <c r="BP34" i="12"/>
  <c r="BQ34" i="12"/>
  <c r="BR34" i="12"/>
  <c r="BT34" i="12"/>
  <c r="BP35" i="12"/>
  <c r="BQ35" i="12"/>
  <c r="BR35" i="12"/>
  <c r="BT35" i="12"/>
  <c r="BP36" i="12"/>
  <c r="BQ36" i="12"/>
  <c r="BR36" i="12"/>
  <c r="BT36" i="12"/>
  <c r="BP37" i="12"/>
  <c r="BQ37" i="12"/>
  <c r="BR37" i="12"/>
  <c r="BT37" i="12"/>
  <c r="BP38" i="12"/>
  <c r="BQ38" i="12"/>
  <c r="BR38" i="12"/>
  <c r="BT38" i="12"/>
  <c r="BP39" i="12"/>
  <c r="BQ39" i="12"/>
  <c r="BR39" i="12"/>
  <c r="BT39" i="12"/>
  <c r="BP40" i="12"/>
  <c r="BQ40" i="12"/>
  <c r="BR40" i="12"/>
  <c r="BT40" i="12"/>
  <c r="BP41" i="12"/>
  <c r="BQ41" i="12"/>
  <c r="BR41" i="12"/>
  <c r="BT41" i="12"/>
  <c r="BP42" i="12"/>
  <c r="BQ42" i="12"/>
  <c r="BR42" i="12"/>
  <c r="BT42" i="12"/>
  <c r="BP43" i="12"/>
  <c r="BQ43" i="12"/>
  <c r="BR43" i="12"/>
  <c r="BT43" i="12"/>
  <c r="BP44" i="12"/>
  <c r="BQ44" i="12"/>
  <c r="BR44" i="12"/>
  <c r="BT44" i="12"/>
  <c r="BP45" i="12"/>
  <c r="BQ45" i="12"/>
  <c r="BR45" i="12"/>
  <c r="BT45" i="12"/>
  <c r="BP46" i="12"/>
  <c r="BQ46" i="12"/>
  <c r="BR46" i="12"/>
  <c r="BT46" i="12"/>
  <c r="BP47" i="12"/>
  <c r="BQ47" i="12"/>
  <c r="BR47" i="12"/>
  <c r="BT47" i="12"/>
  <c r="BP48" i="12"/>
  <c r="BQ48" i="12"/>
  <c r="BR48" i="12"/>
  <c r="BT48" i="12"/>
  <c r="BP49" i="12"/>
  <c r="BQ49" i="12"/>
  <c r="BR49" i="12"/>
  <c r="BT49" i="12"/>
  <c r="BP50" i="12"/>
  <c r="BQ50" i="12"/>
  <c r="BR50" i="12"/>
  <c r="BT50" i="12"/>
  <c r="BP71" i="12"/>
  <c r="BQ71" i="12"/>
  <c r="BR71" i="12"/>
  <c r="BT71" i="12"/>
  <c r="BP72" i="12"/>
  <c r="BQ72" i="12"/>
  <c r="BR72" i="12"/>
  <c r="BT72" i="12"/>
  <c r="BP73" i="12"/>
  <c r="BQ73" i="12"/>
  <c r="BR73" i="12"/>
  <c r="BT73" i="12"/>
  <c r="BP74" i="12"/>
  <c r="BQ74" i="12"/>
  <c r="BR74" i="12"/>
  <c r="BT74" i="12"/>
  <c r="BP75" i="12"/>
  <c r="BQ75" i="12"/>
  <c r="BR75" i="12"/>
  <c r="BT75" i="12"/>
  <c r="BP76" i="12"/>
  <c r="BQ76" i="12"/>
  <c r="BR76" i="12"/>
  <c r="BT76" i="12"/>
  <c r="BP77" i="12"/>
  <c r="BQ77" i="12"/>
  <c r="BR77" i="12"/>
  <c r="BT77" i="12"/>
  <c r="BP78" i="12"/>
  <c r="BQ78" i="12"/>
  <c r="BR78" i="12"/>
  <c r="BT78" i="12"/>
  <c r="BP79" i="12"/>
  <c r="BQ79" i="12"/>
  <c r="BR79" i="12"/>
  <c r="BT79" i="12"/>
  <c r="BP80" i="12"/>
  <c r="BQ80" i="12"/>
  <c r="BR80" i="12"/>
  <c r="BT80" i="12"/>
  <c r="BP81" i="12"/>
  <c r="BQ81" i="12"/>
  <c r="BR81" i="12"/>
  <c r="BT81" i="12"/>
  <c r="BP82" i="12"/>
  <c r="BQ82" i="12"/>
  <c r="BR82" i="12"/>
  <c r="BT82" i="12"/>
  <c r="BP83" i="12"/>
  <c r="BQ83" i="12"/>
  <c r="BR83" i="12"/>
  <c r="BT83" i="12"/>
  <c r="BP84" i="12"/>
  <c r="BQ84" i="12"/>
  <c r="BR84" i="12"/>
  <c r="BT84" i="12"/>
  <c r="BP85" i="12"/>
  <c r="BQ85" i="12"/>
  <c r="BR85" i="12"/>
  <c r="BT85" i="12"/>
  <c r="BP86" i="12"/>
  <c r="BQ86" i="12"/>
  <c r="BR86" i="12"/>
  <c r="BT86" i="12"/>
  <c r="BT12" i="12"/>
  <c r="BR12" i="12"/>
  <c r="BQ12" i="12"/>
  <c r="BP12" i="12"/>
  <c r="BS85" i="12" l="1"/>
  <c r="BS82" i="12"/>
  <c r="BS80" i="12"/>
  <c r="BS78" i="12"/>
  <c r="BS77" i="12"/>
  <c r="BS76" i="12"/>
  <c r="BS75" i="12"/>
  <c r="BS74" i="12"/>
  <c r="BS73" i="12"/>
  <c r="BS72" i="12"/>
  <c r="BS71" i="12"/>
  <c r="BS50" i="12"/>
  <c r="BS49" i="12"/>
  <c r="BS48" i="12"/>
  <c r="BS47" i="12"/>
  <c r="BS46" i="12"/>
  <c r="BS45" i="12"/>
  <c r="BS44" i="12"/>
  <c r="BS43" i="12"/>
  <c r="BS42" i="12"/>
  <c r="BS41" i="12"/>
  <c r="BS40" i="12"/>
  <c r="BS39" i="12"/>
  <c r="BS38" i="12"/>
  <c r="BS37" i="12"/>
  <c r="BS36" i="12"/>
  <c r="BS35" i="12"/>
  <c r="BS34" i="12"/>
  <c r="BS33" i="12"/>
  <c r="BS32" i="12"/>
  <c r="BS31" i="12"/>
  <c r="BS30" i="12"/>
  <c r="BS29" i="12"/>
  <c r="BS28" i="12"/>
  <c r="BS27" i="12"/>
  <c r="BS26" i="12"/>
  <c r="BS25" i="12"/>
  <c r="BS24" i="12"/>
  <c r="BS23" i="12"/>
  <c r="BS22" i="12"/>
  <c r="BS21" i="12"/>
  <c r="BS20" i="12"/>
  <c r="BS19" i="12"/>
  <c r="BS18" i="12"/>
  <c r="BS17" i="12"/>
  <c r="BS16" i="12"/>
  <c r="BS15" i="12"/>
  <c r="BS14" i="12"/>
  <c r="BS13" i="12"/>
  <c r="BS86" i="12"/>
  <c r="BS81" i="12"/>
  <c r="BS12" i="12"/>
  <c r="BS84" i="12"/>
  <c r="BS83" i="12"/>
  <c r="BS79" i="12"/>
  <c r="D147" i="12"/>
  <c r="C4" i="12"/>
  <c r="F7" i="3" l="1"/>
  <c r="F6" i="3"/>
  <c r="BE86" i="12" l="1"/>
  <c r="BE85" i="12"/>
  <c r="BE84" i="12"/>
  <c r="BE83" i="12"/>
  <c r="BE82" i="12"/>
  <c r="BE81" i="12"/>
  <c r="BE80" i="12"/>
  <c r="BE79" i="12"/>
  <c r="BE78" i="12"/>
  <c r="BE77" i="12"/>
  <c r="BE76" i="12"/>
  <c r="BE75" i="12"/>
  <c r="BE74" i="12"/>
  <c r="BE73" i="12"/>
  <c r="BE72" i="12"/>
  <c r="BE71" i="12"/>
  <c r="BE50" i="12"/>
  <c r="BE49" i="12"/>
  <c r="BE48" i="12"/>
  <c r="BE47" i="12"/>
  <c r="BE46" i="12"/>
  <c r="BE45" i="12"/>
  <c r="BE44" i="12"/>
  <c r="BE43" i="12"/>
  <c r="BE42" i="12"/>
  <c r="BE41" i="12"/>
  <c r="BE40" i="12"/>
  <c r="BE39" i="12"/>
  <c r="BE38" i="12"/>
  <c r="BE37" i="12"/>
  <c r="BE36" i="12"/>
  <c r="BE35" i="12"/>
  <c r="BE34" i="12"/>
  <c r="BE33" i="12"/>
  <c r="BE32" i="12"/>
  <c r="BE31" i="12"/>
  <c r="BE30" i="12"/>
  <c r="BE29" i="12"/>
  <c r="BE28" i="12"/>
  <c r="BE27" i="12"/>
  <c r="BE26" i="12"/>
  <c r="BE25" i="12"/>
  <c r="BE24" i="12"/>
  <c r="BE23" i="12"/>
  <c r="N23" i="12" s="1"/>
  <c r="BE22" i="12"/>
  <c r="N22" i="12" s="1"/>
  <c r="BE21" i="12"/>
  <c r="N21" i="12" s="1"/>
  <c r="BE20" i="12"/>
  <c r="N20" i="12" s="1"/>
  <c r="BE19" i="12"/>
  <c r="N19" i="12" s="1"/>
  <c r="BE18" i="12"/>
  <c r="N18" i="12" s="1"/>
  <c r="BE17" i="12"/>
  <c r="BE16" i="12"/>
  <c r="BE15" i="12"/>
  <c r="BE14" i="12"/>
  <c r="BE13" i="12"/>
  <c r="L85" i="12"/>
  <c r="P85" i="12"/>
  <c r="BG85" i="12"/>
  <c r="R85" i="12" s="1"/>
  <c r="BC85" i="12"/>
  <c r="BF85" i="12"/>
  <c r="BH85" i="12"/>
  <c r="Q85" i="12" s="1"/>
  <c r="BC12" i="12"/>
  <c r="P12" i="12" s="1"/>
  <c r="BH14" i="12"/>
  <c r="Q14" i="12" s="1"/>
  <c r="BF14" i="12"/>
  <c r="BG15" i="12"/>
  <c r="R15" i="12" s="1"/>
  <c r="BC15" i="12"/>
  <c r="P15" i="12" s="1"/>
  <c r="W15" i="12" s="1"/>
  <c r="BC14" i="12"/>
  <c r="P14" i="12" s="1"/>
  <c r="W14" i="12" s="1"/>
  <c r="C5" i="12"/>
  <c r="BC86" i="12"/>
  <c r="BC84" i="12"/>
  <c r="BC83" i="12"/>
  <c r="BC82" i="12"/>
  <c r="BC81" i="12"/>
  <c r="BC80" i="12"/>
  <c r="BC79" i="12"/>
  <c r="BC78" i="12"/>
  <c r="BC77" i="12"/>
  <c r="BC76" i="12"/>
  <c r="BC75" i="12"/>
  <c r="BC74" i="12"/>
  <c r="BC73" i="12"/>
  <c r="BC72" i="12"/>
  <c r="BC71" i="12"/>
  <c r="BC50" i="12"/>
  <c r="BC49" i="12"/>
  <c r="BC48" i="12"/>
  <c r="BC47" i="12"/>
  <c r="BC46" i="12"/>
  <c r="BC45" i="12"/>
  <c r="BC44" i="12"/>
  <c r="BC43" i="12"/>
  <c r="BC42" i="12"/>
  <c r="BC41" i="12"/>
  <c r="BC40" i="12"/>
  <c r="BC39" i="12"/>
  <c r="BC38" i="12"/>
  <c r="BC37" i="12"/>
  <c r="BC36" i="12"/>
  <c r="BC35" i="12"/>
  <c r="BC34" i="12"/>
  <c r="BC33" i="12"/>
  <c r="BC32" i="12"/>
  <c r="BC31" i="12"/>
  <c r="BC30" i="12"/>
  <c r="BC29" i="12"/>
  <c r="BC28" i="12"/>
  <c r="BC27" i="12"/>
  <c r="BC26" i="12"/>
  <c r="BC25" i="12"/>
  <c r="BC24" i="12"/>
  <c r="BC23" i="12"/>
  <c r="BC22" i="12"/>
  <c r="BC21" i="12"/>
  <c r="BC20" i="12"/>
  <c r="BC19" i="12"/>
  <c r="BC18" i="12"/>
  <c r="BC17" i="12"/>
  <c r="P17" i="12" s="1"/>
  <c r="W17" i="12" s="1"/>
  <c r="BC16" i="12"/>
  <c r="P16" i="12" s="1"/>
  <c r="W16" i="12" s="1"/>
  <c r="L86" i="12"/>
  <c r="L84" i="12"/>
  <c r="L83" i="12"/>
  <c r="L82" i="12"/>
  <c r="L81" i="12"/>
  <c r="L80" i="12"/>
  <c r="L79" i="12"/>
  <c r="L78" i="12"/>
  <c r="L77" i="12"/>
  <c r="L76" i="12"/>
  <c r="L75" i="12"/>
  <c r="L74" i="12"/>
  <c r="L73" i="12"/>
  <c r="L72" i="12"/>
  <c r="L7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BC13" i="12"/>
  <c r="P13" i="12" s="1"/>
  <c r="W13" i="12" s="1"/>
  <c r="R12" i="12"/>
  <c r="BH80" i="12"/>
  <c r="Q80" i="12" s="1"/>
  <c r="BF80" i="12"/>
  <c r="BG80" i="12"/>
  <c r="R80" i="12" s="1"/>
  <c r="P80" i="12"/>
  <c r="BH79" i="12"/>
  <c r="Q79" i="12" s="1"/>
  <c r="BF79" i="12"/>
  <c r="BG79" i="12"/>
  <c r="R79" i="12" s="1"/>
  <c r="P79" i="12"/>
  <c r="BH78" i="12"/>
  <c r="Q78" i="12" s="1"/>
  <c r="BF78" i="12"/>
  <c r="BG78" i="12"/>
  <c r="R78" i="12" s="1"/>
  <c r="P78" i="12"/>
  <c r="BH77" i="12"/>
  <c r="Q77" i="12" s="1"/>
  <c r="BF77" i="12"/>
  <c r="BG77" i="12"/>
  <c r="R77" i="12" s="1"/>
  <c r="P77" i="12"/>
  <c r="BH76" i="12"/>
  <c r="Q76" i="12" s="1"/>
  <c r="BF76" i="12"/>
  <c r="BG76" i="12"/>
  <c r="R76" i="12" s="1"/>
  <c r="P76" i="12"/>
  <c r="BH86" i="12"/>
  <c r="Q86" i="12" s="1"/>
  <c r="BF86" i="12"/>
  <c r="BG86" i="12"/>
  <c r="R86" i="12" s="1"/>
  <c r="P86" i="12"/>
  <c r="BH84" i="12"/>
  <c r="Q84" i="12" s="1"/>
  <c r="BF84" i="12"/>
  <c r="BG84" i="12"/>
  <c r="R84" i="12" s="1"/>
  <c r="P84" i="12"/>
  <c r="BH83" i="12"/>
  <c r="Q83" i="12" s="1"/>
  <c r="BF83" i="12"/>
  <c r="BG83" i="12"/>
  <c r="R83" i="12" s="1"/>
  <c r="P83" i="12"/>
  <c r="BH82" i="12"/>
  <c r="Q82" i="12" s="1"/>
  <c r="BF82" i="12"/>
  <c r="BG82" i="12"/>
  <c r="R82" i="12" s="1"/>
  <c r="P82" i="12"/>
  <c r="BH81" i="12"/>
  <c r="Q81" i="12" s="1"/>
  <c r="BF81" i="12"/>
  <c r="BG81" i="12"/>
  <c r="R81" i="12" s="1"/>
  <c r="P81" i="12"/>
  <c r="BH75" i="12"/>
  <c r="Q75" i="12" s="1"/>
  <c r="BF75" i="12"/>
  <c r="BG75" i="12"/>
  <c r="R75" i="12" s="1"/>
  <c r="P75" i="12"/>
  <c r="BH74" i="12"/>
  <c r="Q74" i="12" s="1"/>
  <c r="BF74" i="12"/>
  <c r="BG74" i="12"/>
  <c r="R74" i="12" s="1"/>
  <c r="P74" i="12"/>
  <c r="BH73" i="12"/>
  <c r="Q73" i="12" s="1"/>
  <c r="BF73" i="12"/>
  <c r="BG73" i="12"/>
  <c r="R73" i="12" s="1"/>
  <c r="P73" i="12"/>
  <c r="BH72" i="12"/>
  <c r="Q72" i="12" s="1"/>
  <c r="BF72" i="12"/>
  <c r="BG72" i="12"/>
  <c r="R72" i="12" s="1"/>
  <c r="P72" i="12"/>
  <c r="BH71" i="12"/>
  <c r="Q71" i="12" s="1"/>
  <c r="BF71" i="12"/>
  <c r="BG71" i="12"/>
  <c r="R71" i="12" s="1"/>
  <c r="P71" i="12"/>
  <c r="BH50" i="12"/>
  <c r="Q50" i="12" s="1"/>
  <c r="BF50" i="12"/>
  <c r="BG50" i="12"/>
  <c r="R50" i="12" s="1"/>
  <c r="P50" i="12"/>
  <c r="BH49" i="12"/>
  <c r="Q49" i="12" s="1"/>
  <c r="BF49" i="12"/>
  <c r="BG49" i="12"/>
  <c r="R49" i="12" s="1"/>
  <c r="P49" i="12"/>
  <c r="BH48" i="12"/>
  <c r="Q48" i="12" s="1"/>
  <c r="BF48" i="12"/>
  <c r="BG48" i="12"/>
  <c r="R48" i="12" s="1"/>
  <c r="P48" i="12"/>
  <c r="BH47" i="12"/>
  <c r="Q47" i="12" s="1"/>
  <c r="BF47" i="12"/>
  <c r="BG47" i="12"/>
  <c r="R47" i="12" s="1"/>
  <c r="P47" i="12"/>
  <c r="BH46" i="12"/>
  <c r="Q46" i="12" s="1"/>
  <c r="BF46" i="12"/>
  <c r="BG46" i="12"/>
  <c r="R46" i="12" s="1"/>
  <c r="P46" i="12"/>
  <c r="BH45" i="12"/>
  <c r="Q45" i="12" s="1"/>
  <c r="BF45" i="12"/>
  <c r="BG45" i="12"/>
  <c r="R45" i="12" s="1"/>
  <c r="P45" i="12"/>
  <c r="BH44" i="12"/>
  <c r="Q44" i="12" s="1"/>
  <c r="BF44" i="12"/>
  <c r="BG44" i="12"/>
  <c r="R44" i="12" s="1"/>
  <c r="P44" i="12"/>
  <c r="BH43" i="12"/>
  <c r="Q43" i="12" s="1"/>
  <c r="BF43" i="12"/>
  <c r="BG43" i="12"/>
  <c r="R43" i="12" s="1"/>
  <c r="P43" i="12"/>
  <c r="BH42" i="12"/>
  <c r="Q42" i="12" s="1"/>
  <c r="BF42" i="12"/>
  <c r="BG42" i="12"/>
  <c r="R42" i="12" s="1"/>
  <c r="P42" i="12"/>
  <c r="BH41" i="12"/>
  <c r="Q41" i="12" s="1"/>
  <c r="BF41" i="12"/>
  <c r="BG41" i="12"/>
  <c r="R41" i="12" s="1"/>
  <c r="P41" i="12"/>
  <c r="BH40" i="12"/>
  <c r="Q40" i="12" s="1"/>
  <c r="BF40" i="12"/>
  <c r="BG40" i="12"/>
  <c r="R40" i="12" s="1"/>
  <c r="P40" i="12"/>
  <c r="BH39" i="12"/>
  <c r="Q39" i="12" s="1"/>
  <c r="BF39" i="12"/>
  <c r="BG39" i="12"/>
  <c r="R39" i="12" s="1"/>
  <c r="P39" i="12"/>
  <c r="BH38" i="12"/>
  <c r="Q38" i="12" s="1"/>
  <c r="BF38" i="12"/>
  <c r="BG38" i="12"/>
  <c r="R38" i="12" s="1"/>
  <c r="P38" i="12"/>
  <c r="BH37" i="12"/>
  <c r="Q37" i="12" s="1"/>
  <c r="BF37" i="12"/>
  <c r="BG37" i="12"/>
  <c r="R37" i="12" s="1"/>
  <c r="P37" i="12"/>
  <c r="BH36" i="12"/>
  <c r="Q36" i="12" s="1"/>
  <c r="BF36" i="12"/>
  <c r="BG36" i="12"/>
  <c r="R36" i="12" s="1"/>
  <c r="P36" i="12"/>
  <c r="BH35" i="12"/>
  <c r="Q35" i="12" s="1"/>
  <c r="BF35" i="12"/>
  <c r="BG35" i="12"/>
  <c r="R35" i="12" s="1"/>
  <c r="P35" i="12"/>
  <c r="BH34" i="12"/>
  <c r="Q34" i="12" s="1"/>
  <c r="BF34" i="12"/>
  <c r="BG34" i="12"/>
  <c r="R34" i="12" s="1"/>
  <c r="P34" i="12"/>
  <c r="BH33" i="12"/>
  <c r="Q33" i="12" s="1"/>
  <c r="BF33" i="12"/>
  <c r="BG33" i="12"/>
  <c r="R33" i="12" s="1"/>
  <c r="P33" i="12"/>
  <c r="BH32" i="12"/>
  <c r="Q32" i="12" s="1"/>
  <c r="BF32" i="12"/>
  <c r="BG32" i="12"/>
  <c r="R32" i="12" s="1"/>
  <c r="P32" i="12"/>
  <c r="BH31" i="12"/>
  <c r="Q31" i="12" s="1"/>
  <c r="BF31" i="12"/>
  <c r="BG31" i="12"/>
  <c r="R31" i="12" s="1"/>
  <c r="P31" i="12"/>
  <c r="BH30" i="12"/>
  <c r="Q30" i="12" s="1"/>
  <c r="BF30" i="12"/>
  <c r="BG30" i="12"/>
  <c r="R30" i="12" s="1"/>
  <c r="P30" i="12"/>
  <c r="BH29" i="12"/>
  <c r="Q29" i="12" s="1"/>
  <c r="BF29" i="12"/>
  <c r="BG29" i="12"/>
  <c r="R29" i="12" s="1"/>
  <c r="P29" i="12"/>
  <c r="BH28" i="12"/>
  <c r="Q28" i="12" s="1"/>
  <c r="BF28" i="12"/>
  <c r="BG28" i="12"/>
  <c r="R28" i="12" s="1"/>
  <c r="P28" i="12"/>
  <c r="BH27" i="12"/>
  <c r="Q27" i="12" s="1"/>
  <c r="BF27" i="12"/>
  <c r="BG27" i="12"/>
  <c r="R27" i="12" s="1"/>
  <c r="P27" i="12"/>
  <c r="BH26" i="12"/>
  <c r="Q26" i="12" s="1"/>
  <c r="BF26" i="12"/>
  <c r="BG26" i="12"/>
  <c r="R26" i="12" s="1"/>
  <c r="P26" i="12"/>
  <c r="BH25" i="12"/>
  <c r="Q25" i="12" s="1"/>
  <c r="BF25" i="12"/>
  <c r="BG25" i="12"/>
  <c r="R25" i="12" s="1"/>
  <c r="P25" i="12"/>
  <c r="BH24" i="12"/>
  <c r="Q24" i="12" s="1"/>
  <c r="BF24" i="12"/>
  <c r="BG24" i="12"/>
  <c r="R24" i="12" s="1"/>
  <c r="P24" i="12"/>
  <c r="BH23" i="12"/>
  <c r="Q23" i="12" s="1"/>
  <c r="BF23" i="12"/>
  <c r="O23" i="12" s="1"/>
  <c r="BG23" i="12"/>
  <c r="R23" i="12" s="1"/>
  <c r="BH22" i="12"/>
  <c r="Q22" i="12" s="1"/>
  <c r="BF22" i="12"/>
  <c r="O22" i="12" s="1"/>
  <c r="BG22" i="12"/>
  <c r="R22" i="12" s="1"/>
  <c r="BH21" i="12"/>
  <c r="Q21" i="12" s="1"/>
  <c r="BF21" i="12"/>
  <c r="O21" i="12" s="1"/>
  <c r="BG21" i="12"/>
  <c r="R21" i="12" s="1"/>
  <c r="BH20" i="12"/>
  <c r="Q20" i="12" s="1"/>
  <c r="BF20" i="12"/>
  <c r="O20" i="12" s="1"/>
  <c r="BG20" i="12"/>
  <c r="R20" i="12" s="1"/>
  <c r="BH19" i="12"/>
  <c r="Q19" i="12" s="1"/>
  <c r="BF19" i="12"/>
  <c r="O19" i="12" s="1"/>
  <c r="BG19" i="12"/>
  <c r="R19" i="12" s="1"/>
  <c r="BH18" i="12"/>
  <c r="Q18" i="12" s="1"/>
  <c r="BF18" i="12"/>
  <c r="O18" i="12" s="1"/>
  <c r="BG18" i="12"/>
  <c r="R18" i="12" s="1"/>
  <c r="BH17" i="12"/>
  <c r="Q17" i="12" s="1"/>
  <c r="BF17" i="12"/>
  <c r="BG17" i="12"/>
  <c r="R17" i="12" s="1"/>
  <c r="BH16" i="12"/>
  <c r="Q16" i="12" s="1"/>
  <c r="BF16" i="12"/>
  <c r="BG16" i="12"/>
  <c r="R16" i="12" s="1"/>
  <c r="BH15" i="12"/>
  <c r="Q15" i="12" s="1"/>
  <c r="BF15" i="12"/>
  <c r="BG14" i="12"/>
  <c r="R14" i="12" s="1"/>
  <c r="BH13" i="12"/>
  <c r="Q13" i="12" s="1"/>
  <c r="BF13" i="12"/>
  <c r="BF12" i="12"/>
  <c r="BG13" i="12"/>
  <c r="R13" i="12" s="1"/>
  <c r="BH12" i="12"/>
  <c r="Q12" i="12" s="1"/>
  <c r="AK19" i="12" l="1"/>
  <c r="AJ19" i="12"/>
  <c r="AK23" i="12"/>
  <c r="AJ23" i="12"/>
  <c r="AJ20" i="12"/>
  <c r="AK20" i="12"/>
  <c r="AJ21" i="12"/>
  <c r="AK21" i="12"/>
  <c r="AJ18" i="12"/>
  <c r="AK18" i="12"/>
  <c r="AK22" i="12"/>
  <c r="AJ22" i="12"/>
  <c r="V23" i="12"/>
  <c r="X23" i="12"/>
  <c r="Z23" i="12" s="1"/>
  <c r="V20" i="12"/>
  <c r="X20" i="12"/>
  <c r="Z20" i="12" s="1"/>
  <c r="X21" i="12"/>
  <c r="V21" i="12"/>
  <c r="V19" i="12"/>
  <c r="X19" i="12"/>
  <c r="Z19" i="12" s="1"/>
  <c r="V18" i="12"/>
  <c r="X18" i="12"/>
  <c r="Z18" i="12" s="1"/>
  <c r="V22" i="12"/>
  <c r="X22" i="12"/>
  <c r="Z22" i="12" s="1"/>
  <c r="O16" i="12"/>
  <c r="O15" i="12"/>
  <c r="W29" i="12"/>
  <c r="AA29" i="12" s="1"/>
  <c r="W37" i="12"/>
  <c r="AA37" i="12" s="1"/>
  <c r="W45" i="12"/>
  <c r="AA45" i="12" s="1"/>
  <c r="W81" i="12"/>
  <c r="AA81" i="12" s="1"/>
  <c r="W27" i="12"/>
  <c r="AA27" i="12" s="1"/>
  <c r="W31" i="12"/>
  <c r="AA31" i="12" s="1"/>
  <c r="W35" i="12"/>
  <c r="AA35" i="12" s="1"/>
  <c r="W39" i="12"/>
  <c r="AA39" i="12" s="1"/>
  <c r="W43" i="12"/>
  <c r="AA43" i="12" s="1"/>
  <c r="W47" i="12"/>
  <c r="AA47" i="12" s="1"/>
  <c r="W71" i="12"/>
  <c r="AA71" i="12" s="1"/>
  <c r="W75" i="12"/>
  <c r="AA75" i="12" s="1"/>
  <c r="W79" i="12"/>
  <c r="AA79" i="12" s="1"/>
  <c r="W83" i="12"/>
  <c r="AA83" i="12" s="1"/>
  <c r="AE23" i="12"/>
  <c r="W24" i="12"/>
  <c r="AA24" i="12" s="1"/>
  <c r="W28" i="12"/>
  <c r="AA28" i="12" s="1"/>
  <c r="W32" i="12"/>
  <c r="AA32" i="12" s="1"/>
  <c r="W36" i="12"/>
  <c r="AA36" i="12" s="1"/>
  <c r="W40" i="12"/>
  <c r="W44" i="12"/>
  <c r="AA44" i="12" s="1"/>
  <c r="W48" i="12"/>
  <c r="AA48" i="12" s="1"/>
  <c r="W72" i="12"/>
  <c r="AA72" i="12" s="1"/>
  <c r="W76" i="12"/>
  <c r="AA76" i="12" s="1"/>
  <c r="W80" i="12"/>
  <c r="AA80" i="12" s="1"/>
  <c r="W84" i="12"/>
  <c r="AA84" i="12" s="1"/>
  <c r="W85" i="12"/>
  <c r="AA85" i="12" s="1"/>
  <c r="W73" i="12"/>
  <c r="AA73" i="12" s="1"/>
  <c r="W25" i="12"/>
  <c r="AA25" i="12" s="1"/>
  <c r="W33" i="12"/>
  <c r="AA33" i="12" s="1"/>
  <c r="W41" i="12"/>
  <c r="AA41" i="12" s="1"/>
  <c r="W49" i="12"/>
  <c r="AA49" i="12" s="1"/>
  <c r="W77" i="12"/>
  <c r="AA77" i="12" s="1"/>
  <c r="W86" i="12"/>
  <c r="Z21" i="12"/>
  <c r="W26" i="12"/>
  <c r="W30" i="12"/>
  <c r="AA30" i="12" s="1"/>
  <c r="W34" i="12"/>
  <c r="W38" i="12"/>
  <c r="AA38" i="12" s="1"/>
  <c r="W42" i="12"/>
  <c r="W46" i="12"/>
  <c r="AA46" i="12" s="1"/>
  <c r="W50" i="12"/>
  <c r="W74" i="12"/>
  <c r="AA74" i="12" s="1"/>
  <c r="W78" i="12"/>
  <c r="AA78" i="12" s="1"/>
  <c r="W82" i="12"/>
  <c r="AA82" i="12" s="1"/>
  <c r="O14" i="12"/>
  <c r="N17" i="12"/>
  <c r="AA17" i="12"/>
  <c r="O17" i="12"/>
  <c r="AA14" i="12"/>
  <c r="N14" i="12"/>
  <c r="AA16" i="12"/>
  <c r="N16" i="12"/>
  <c r="AA15" i="12"/>
  <c r="N15" i="12"/>
  <c r="N13" i="12"/>
  <c r="AA13" i="12"/>
  <c r="O13" i="12"/>
  <c r="AA40" i="12"/>
  <c r="O24" i="12"/>
  <c r="N24" i="12"/>
  <c r="AK24" i="12" s="1"/>
  <c r="N25" i="12"/>
  <c r="AJ25" i="12" s="1"/>
  <c r="O25" i="12"/>
  <c r="O26" i="12"/>
  <c r="N26" i="12"/>
  <c r="AK26" i="12" s="1"/>
  <c r="N27" i="12"/>
  <c r="AK27" i="12" s="1"/>
  <c r="O27" i="12"/>
  <c r="O28" i="12"/>
  <c r="N28" i="12"/>
  <c r="AK28" i="12" s="1"/>
  <c r="N29" i="12"/>
  <c r="O29" i="12"/>
  <c r="O30" i="12"/>
  <c r="N30" i="12"/>
  <c r="N31" i="12"/>
  <c r="O31" i="12"/>
  <c r="O32" i="12"/>
  <c r="N32" i="12"/>
  <c r="N33" i="12"/>
  <c r="O33" i="12"/>
  <c r="O34" i="12"/>
  <c r="N34" i="12"/>
  <c r="N35" i="12"/>
  <c r="O35" i="12"/>
  <c r="O36" i="12"/>
  <c r="N36" i="12"/>
  <c r="N37" i="12"/>
  <c r="O37" i="12"/>
  <c r="O38" i="12"/>
  <c r="N38" i="12"/>
  <c r="N39" i="12"/>
  <c r="O39" i="12"/>
  <c r="O40" i="12"/>
  <c r="N40" i="12"/>
  <c r="N41" i="12"/>
  <c r="O41" i="12"/>
  <c r="O42" i="12"/>
  <c r="N42" i="12"/>
  <c r="N43" i="12"/>
  <c r="O43" i="12"/>
  <c r="O44" i="12"/>
  <c r="N44" i="12"/>
  <c r="N45" i="12"/>
  <c r="O45" i="12"/>
  <c r="O46" i="12"/>
  <c r="N46" i="12"/>
  <c r="N47" i="12"/>
  <c r="O47" i="12"/>
  <c r="O48" i="12"/>
  <c r="N48" i="12"/>
  <c r="N49" i="12"/>
  <c r="O49" i="12"/>
  <c r="O50" i="12"/>
  <c r="N50" i="12"/>
  <c r="N71" i="12"/>
  <c r="O71" i="12"/>
  <c r="O72" i="12"/>
  <c r="N72" i="12"/>
  <c r="N73" i="12"/>
  <c r="O73" i="12"/>
  <c r="O74" i="12"/>
  <c r="N74" i="12"/>
  <c r="N75" i="12"/>
  <c r="O75" i="12"/>
  <c r="N81" i="12"/>
  <c r="O81" i="12"/>
  <c r="O82" i="12"/>
  <c r="N82" i="12"/>
  <c r="N83" i="12"/>
  <c r="O83" i="12"/>
  <c r="O84" i="12"/>
  <c r="N84" i="12"/>
  <c r="O86" i="12"/>
  <c r="N86" i="12"/>
  <c r="O76" i="12"/>
  <c r="N76" i="12"/>
  <c r="N77" i="12"/>
  <c r="O77" i="12"/>
  <c r="O78" i="12"/>
  <c r="N78" i="12"/>
  <c r="N79" i="12"/>
  <c r="O79" i="12"/>
  <c r="O80" i="12"/>
  <c r="N80" i="12"/>
  <c r="N85" i="12"/>
  <c r="O85" i="12"/>
  <c r="AY85" i="12"/>
  <c r="AY84" i="12"/>
  <c r="AZ30" i="12"/>
  <c r="AZ28" i="12"/>
  <c r="AY48" i="12"/>
  <c r="BA13" i="12"/>
  <c r="AY43" i="12"/>
  <c r="AY32" i="12"/>
  <c r="AZ39" i="12"/>
  <c r="AZ22" i="12"/>
  <c r="AY35" i="12"/>
  <c r="AY71" i="12"/>
  <c r="AZ46" i="12"/>
  <c r="AY40" i="12"/>
  <c r="AY81" i="12"/>
  <c r="AZ75" i="12"/>
  <c r="AY26" i="12"/>
  <c r="BA76" i="12"/>
  <c r="AY12" i="12"/>
  <c r="AY21" i="12"/>
  <c r="BA23" i="12"/>
  <c r="BA26" i="12"/>
  <c r="AY31" i="12"/>
  <c r="AZ29" i="12"/>
  <c r="AY39" i="12"/>
  <c r="AY47" i="12"/>
  <c r="AY75" i="12"/>
  <c r="AZ38" i="12"/>
  <c r="AZ74" i="12"/>
  <c r="AY36" i="12"/>
  <c r="AY44" i="12"/>
  <c r="AY72" i="12"/>
  <c r="BA86" i="12"/>
  <c r="AZ47" i="12"/>
  <c r="AZ12" i="12"/>
  <c r="AY30" i="12"/>
  <c r="AZ77" i="12"/>
  <c r="BA77" i="12"/>
  <c r="AZ31" i="12"/>
  <c r="AZ13" i="12"/>
  <c r="AZ14" i="12"/>
  <c r="AZ15" i="12"/>
  <c r="AZ16" i="12"/>
  <c r="AZ17" i="12"/>
  <c r="AZ18" i="12"/>
  <c r="AZ19" i="12"/>
  <c r="AZ20" i="12"/>
  <c r="BA21" i="12"/>
  <c r="AY23" i="12"/>
  <c r="AZ24" i="12"/>
  <c r="AY33" i="12"/>
  <c r="AY29" i="12"/>
  <c r="BA28" i="12"/>
  <c r="AZ25" i="12"/>
  <c r="AY37" i="12"/>
  <c r="AY41" i="12"/>
  <c r="AY45" i="12"/>
  <c r="AY49" i="12"/>
  <c r="AY73" i="12"/>
  <c r="AY82" i="12"/>
  <c r="AZ34" i="12"/>
  <c r="AZ42" i="12"/>
  <c r="AZ50" i="12"/>
  <c r="AZ83" i="12"/>
  <c r="AY34" i="12"/>
  <c r="AY38" i="12"/>
  <c r="AY42" i="12"/>
  <c r="AY46" i="12"/>
  <c r="AY50" i="12"/>
  <c r="AY74" i="12"/>
  <c r="AY83" i="12"/>
  <c r="AZ35" i="12"/>
  <c r="AZ43" i="12"/>
  <c r="AZ71" i="12"/>
  <c r="AZ84" i="12"/>
  <c r="AY28" i="12"/>
  <c r="AZ80" i="12"/>
  <c r="BA80" i="12"/>
  <c r="AZ79" i="12"/>
  <c r="BA79" i="12"/>
  <c r="BA78" i="12"/>
  <c r="BA85" i="12"/>
  <c r="AY13" i="12"/>
  <c r="AY14" i="12"/>
  <c r="BA14" i="12"/>
  <c r="AY15" i="12"/>
  <c r="BA15" i="12"/>
  <c r="AY16" i="12"/>
  <c r="BA16" i="12"/>
  <c r="AY17" i="12"/>
  <c r="BA17" i="12"/>
  <c r="AY18" i="12"/>
  <c r="BA18" i="12"/>
  <c r="AY19" i="12"/>
  <c r="BA19" i="12"/>
  <c r="AY20" i="12"/>
  <c r="BA20" i="12"/>
  <c r="AZ21" i="12"/>
  <c r="AY22" i="12"/>
  <c r="BA22" i="12"/>
  <c r="AZ23" i="12"/>
  <c r="AY24" i="12"/>
  <c r="BA24" i="12"/>
  <c r="AZ26" i="12"/>
  <c r="AZ32" i="12"/>
  <c r="BA30" i="12"/>
  <c r="AY27" i="12"/>
  <c r="AY25" i="12"/>
  <c r="BA32" i="12"/>
  <c r="AZ27" i="12"/>
  <c r="BA34" i="12"/>
  <c r="BA36" i="12"/>
  <c r="BA38" i="12"/>
  <c r="BA40" i="12"/>
  <c r="BA42" i="12"/>
  <c r="BA44" i="12"/>
  <c r="BA46" i="12"/>
  <c r="BA48" i="12"/>
  <c r="BA50" i="12"/>
  <c r="BA72" i="12"/>
  <c r="BA74" i="12"/>
  <c r="BA81" i="12"/>
  <c r="BA83" i="12"/>
  <c r="AY86" i="12"/>
  <c r="AZ36" i="12"/>
  <c r="AZ40" i="12"/>
  <c r="AZ44" i="12"/>
  <c r="AZ48" i="12"/>
  <c r="AZ72" i="12"/>
  <c r="AZ81" i="12"/>
  <c r="BA31" i="12"/>
  <c r="BA33" i="12"/>
  <c r="BA35" i="12"/>
  <c r="BA37" i="12"/>
  <c r="BA39" i="12"/>
  <c r="BA41" i="12"/>
  <c r="BA43" i="12"/>
  <c r="BA45" i="12"/>
  <c r="BA47" i="12"/>
  <c r="BA49" i="12"/>
  <c r="BA71" i="12"/>
  <c r="BA73" i="12"/>
  <c r="BA75" i="12"/>
  <c r="BA82" i="12"/>
  <c r="BA84" i="12"/>
  <c r="AZ33" i="12"/>
  <c r="AZ37" i="12"/>
  <c r="AZ41" i="12"/>
  <c r="AZ45" i="12"/>
  <c r="AZ49" i="12"/>
  <c r="AZ73" i="12"/>
  <c r="AZ82" i="12"/>
  <c r="AZ86" i="12"/>
  <c r="BA29" i="12"/>
  <c r="BA27" i="12"/>
  <c r="BA25" i="12"/>
  <c r="AY79" i="12"/>
  <c r="AY76" i="12"/>
  <c r="AY78" i="12"/>
  <c r="AZ76" i="12"/>
  <c r="AZ78" i="12"/>
  <c r="AY80" i="12"/>
  <c r="AY77" i="12"/>
  <c r="AZ85" i="12"/>
  <c r="AJ28" i="12" l="1"/>
  <c r="AJ27" i="12"/>
  <c r="AJ26" i="12"/>
  <c r="AK13" i="12"/>
  <c r="AJ13" i="12"/>
  <c r="AK15" i="12"/>
  <c r="AJ15" i="12"/>
  <c r="AK14" i="12"/>
  <c r="AJ14" i="12"/>
  <c r="AK17" i="12"/>
  <c r="AJ17" i="12"/>
  <c r="AJ24" i="12"/>
  <c r="AK25" i="12"/>
  <c r="AK16" i="12"/>
  <c r="AJ16" i="12"/>
  <c r="AC23" i="12"/>
  <c r="AD23" i="12"/>
  <c r="V79" i="12"/>
  <c r="X79" i="12"/>
  <c r="Z79" i="12" s="1"/>
  <c r="X81" i="12"/>
  <c r="Z81" i="12" s="1"/>
  <c r="V81" i="12"/>
  <c r="V78" i="12"/>
  <c r="X78" i="12"/>
  <c r="Z78" i="12" s="1"/>
  <c r="X76" i="12"/>
  <c r="Z76" i="12" s="1"/>
  <c r="V76" i="12"/>
  <c r="V82" i="12"/>
  <c r="X82" i="12"/>
  <c r="Z82" i="12" s="1"/>
  <c r="V75" i="12"/>
  <c r="X75" i="12"/>
  <c r="X73" i="12"/>
  <c r="Z73" i="12" s="1"/>
  <c r="V73" i="12"/>
  <c r="V71" i="12"/>
  <c r="X71" i="12"/>
  <c r="Z71" i="12" s="1"/>
  <c r="X49" i="12"/>
  <c r="Z49" i="12" s="1"/>
  <c r="V49" i="12"/>
  <c r="V47" i="12"/>
  <c r="X47" i="12"/>
  <c r="Z47" i="12" s="1"/>
  <c r="X45" i="12"/>
  <c r="Z45" i="12" s="1"/>
  <c r="V45" i="12"/>
  <c r="V43" i="12"/>
  <c r="X43" i="12"/>
  <c r="Z43" i="12" s="1"/>
  <c r="X41" i="12"/>
  <c r="Z41" i="12" s="1"/>
  <c r="V41" i="12"/>
  <c r="V39" i="12"/>
  <c r="X39" i="12"/>
  <c r="Z39" i="12" s="1"/>
  <c r="X37" i="12"/>
  <c r="Z37" i="12" s="1"/>
  <c r="V37" i="12"/>
  <c r="V35" i="12"/>
  <c r="X35" i="12"/>
  <c r="Z35" i="12" s="1"/>
  <c r="X33" i="12"/>
  <c r="Z33" i="12" s="1"/>
  <c r="V33" i="12"/>
  <c r="V31" i="12"/>
  <c r="X31" i="12"/>
  <c r="Z31" i="12" s="1"/>
  <c r="X29" i="12"/>
  <c r="Z29" i="12" s="1"/>
  <c r="V29" i="12"/>
  <c r="V27" i="12"/>
  <c r="X27" i="12"/>
  <c r="Z27" i="12" s="1"/>
  <c r="X25" i="12"/>
  <c r="Z25" i="12" s="1"/>
  <c r="V25" i="12"/>
  <c r="X13" i="12"/>
  <c r="Z13" i="12" s="1"/>
  <c r="V13" i="12"/>
  <c r="AE13" i="12" s="1"/>
  <c r="X85" i="12"/>
  <c r="Z85" i="12" s="1"/>
  <c r="V85" i="12"/>
  <c r="X77" i="12"/>
  <c r="V77" i="12"/>
  <c r="V83" i="12"/>
  <c r="X83" i="12"/>
  <c r="Z83" i="12" s="1"/>
  <c r="V80" i="12"/>
  <c r="X80" i="12"/>
  <c r="Z80" i="12" s="1"/>
  <c r="V84" i="12"/>
  <c r="X84" i="12"/>
  <c r="Z84" i="12" s="1"/>
  <c r="X16" i="12"/>
  <c r="Z16" i="12" s="1"/>
  <c r="V16" i="12"/>
  <c r="AC16" i="12" s="1"/>
  <c r="V86" i="12"/>
  <c r="X86" i="12"/>
  <c r="Z86" i="12" s="1"/>
  <c r="V74" i="12"/>
  <c r="X74" i="12"/>
  <c r="Z74" i="12" s="1"/>
  <c r="X72" i="12"/>
  <c r="Z72" i="12" s="1"/>
  <c r="V72" i="12"/>
  <c r="V50" i="12"/>
  <c r="X50" i="12"/>
  <c r="Z50" i="12" s="1"/>
  <c r="X48" i="12"/>
  <c r="Z48" i="12" s="1"/>
  <c r="V48" i="12"/>
  <c r="V46" i="12"/>
  <c r="X46" i="12"/>
  <c r="Z46" i="12" s="1"/>
  <c r="X44" i="12"/>
  <c r="V44" i="12"/>
  <c r="V42" i="12"/>
  <c r="X42" i="12"/>
  <c r="Z42" i="12" s="1"/>
  <c r="V40" i="12"/>
  <c r="X40" i="12"/>
  <c r="Z40" i="12" s="1"/>
  <c r="V38" i="12"/>
  <c r="X38" i="12"/>
  <c r="Z38" i="12" s="1"/>
  <c r="X36" i="12"/>
  <c r="Z36" i="12" s="1"/>
  <c r="V36" i="12"/>
  <c r="V34" i="12"/>
  <c r="X34" i="12"/>
  <c r="Z34" i="12" s="1"/>
  <c r="X32" i="12"/>
  <c r="Z32" i="12" s="1"/>
  <c r="V32" i="12"/>
  <c r="V30" i="12"/>
  <c r="X30" i="12"/>
  <c r="Z30" i="12" s="1"/>
  <c r="V28" i="12"/>
  <c r="X28" i="12"/>
  <c r="Z28" i="12" s="1"/>
  <c r="V26" i="12"/>
  <c r="X26" i="12"/>
  <c r="Z26" i="12" s="1"/>
  <c r="X24" i="12"/>
  <c r="Z24" i="12" s="1"/>
  <c r="V24" i="12"/>
  <c r="V15" i="12"/>
  <c r="AC15" i="12" s="1"/>
  <c r="X15" i="12"/>
  <c r="Z15" i="12" s="1"/>
  <c r="V14" i="12"/>
  <c r="AC14" i="12" s="1"/>
  <c r="X14" i="12"/>
  <c r="Z14" i="12" s="1"/>
  <c r="X17" i="12"/>
  <c r="Z17" i="12" s="1"/>
  <c r="V17" i="12"/>
  <c r="AD17" i="12" s="1"/>
  <c r="AE22" i="12"/>
  <c r="AC22" i="12"/>
  <c r="AD22" i="12"/>
  <c r="AE21" i="12"/>
  <c r="AC21" i="12"/>
  <c r="AD21" i="12"/>
  <c r="AE20" i="12"/>
  <c r="AD20" i="12"/>
  <c r="AC20" i="12"/>
  <c r="AE19" i="12"/>
  <c r="AC19" i="12"/>
  <c r="AD19" i="12"/>
  <c r="AA26" i="12"/>
  <c r="AA42" i="12"/>
  <c r="AA86" i="12"/>
  <c r="Z44" i="12"/>
  <c r="Z75" i="12"/>
  <c r="AA50" i="12"/>
  <c r="AA34" i="12"/>
  <c r="Z77" i="12"/>
  <c r="AE18" i="12"/>
  <c r="AD18" i="12"/>
  <c r="AC18" i="12"/>
  <c r="AD73" i="12"/>
  <c r="AC73" i="12"/>
  <c r="L12" i="12"/>
  <c r="AD14" i="12" l="1"/>
  <c r="AE15" i="12"/>
  <c r="AD15" i="12"/>
  <c r="AE14" i="12"/>
  <c r="AE16" i="12"/>
  <c r="AE17" i="12"/>
  <c r="AD16" i="12"/>
  <c r="AC17" i="12"/>
  <c r="AD13" i="12"/>
  <c r="AC13" i="12"/>
  <c r="W12" i="12"/>
  <c r="L11" i="12"/>
  <c r="O12" i="12"/>
  <c r="N12" i="12"/>
  <c r="AK12" i="12" s="1"/>
  <c r="AC83" i="12"/>
  <c r="AD83" i="12"/>
  <c r="AD25" i="12"/>
  <c r="AC25" i="12"/>
  <c r="AC40" i="12"/>
  <c r="AD40" i="12"/>
  <c r="AC47" i="12"/>
  <c r="AD47" i="12"/>
  <c r="AC36" i="12"/>
  <c r="AD36" i="12"/>
  <c r="AD75" i="12"/>
  <c r="AC75" i="12"/>
  <c r="AC32" i="12"/>
  <c r="AD32" i="12"/>
  <c r="AC44" i="12"/>
  <c r="AD44" i="12"/>
  <c r="AD37" i="12"/>
  <c r="AC37" i="12"/>
  <c r="AC85" i="12"/>
  <c r="AD85" i="12"/>
  <c r="AD50" i="12"/>
  <c r="AC50" i="12"/>
  <c r="AC46" i="12"/>
  <c r="AD46" i="12"/>
  <c r="AC48" i="12"/>
  <c r="AD48" i="12"/>
  <c r="AD81" i="12"/>
  <c r="AC81" i="12"/>
  <c r="AC71" i="12"/>
  <c r="AD71" i="12"/>
  <c r="AD43" i="12"/>
  <c r="AC43" i="12"/>
  <c r="AD41" i="12"/>
  <c r="AC41" i="12"/>
  <c r="AD45" i="12"/>
  <c r="AC45" i="12"/>
  <c r="AC35" i="12"/>
  <c r="AD35" i="12"/>
  <c r="AC79" i="12"/>
  <c r="AD79" i="12"/>
  <c r="AD86" i="12"/>
  <c r="AC86" i="12"/>
  <c r="AC78" i="12"/>
  <c r="AD78" i="12"/>
  <c r="AD82" i="12"/>
  <c r="AC82" i="12"/>
  <c r="AC27" i="12"/>
  <c r="AD27" i="12"/>
  <c r="AC24" i="12"/>
  <c r="AD24" i="12"/>
  <c r="AD77" i="12"/>
  <c r="AC77" i="12"/>
  <c r="AD33" i="12"/>
  <c r="AC33" i="12"/>
  <c r="AD49" i="12"/>
  <c r="AC49" i="12"/>
  <c r="AC39" i="12"/>
  <c r="AD39" i="12"/>
  <c r="AC80" i="12"/>
  <c r="AD80" i="12"/>
  <c r="AC28" i="12"/>
  <c r="AD28" i="12"/>
  <c r="AD38" i="12"/>
  <c r="AC38" i="12"/>
  <c r="AD26" i="12"/>
  <c r="AC26" i="12"/>
  <c r="AJ12" i="12" l="1"/>
  <c r="V12" i="12"/>
  <c r="X12" i="12"/>
  <c r="AA12" i="12"/>
  <c r="BI46" i="12"/>
  <c r="BL46" i="12" s="1"/>
  <c r="BM46" i="12" s="1"/>
  <c r="BI31" i="12"/>
  <c r="BL31" i="12" s="1"/>
  <c r="BM31" i="12" s="1"/>
  <c r="AD31" i="12"/>
  <c r="AC31" i="12"/>
  <c r="AC74" i="12"/>
  <c r="AD74" i="12"/>
  <c r="AH46" i="12"/>
  <c r="AC84" i="12"/>
  <c r="AD84" i="12"/>
  <c r="AD29" i="12"/>
  <c r="AC29" i="12"/>
  <c r="AD30" i="12"/>
  <c r="AC30" i="12"/>
  <c r="AC42" i="12"/>
  <c r="AD42" i="12"/>
  <c r="AD34" i="12"/>
  <c r="AC34" i="12"/>
  <c r="AC76" i="12"/>
  <c r="AD76" i="12"/>
  <c r="AC72" i="12"/>
  <c r="AD72" i="12"/>
  <c r="BJ26" i="12"/>
  <c r="BK44" i="12"/>
  <c r="BI38" i="12"/>
  <c r="BL38" i="12" s="1"/>
  <c r="BM38" i="12" s="1"/>
  <c r="BK71" i="12"/>
  <c r="AE50" i="12"/>
  <c r="BK46" i="12"/>
  <c r="BI45" i="12"/>
  <c r="BL45" i="12" s="1"/>
  <c r="BM45" i="12" s="1"/>
  <c r="BJ46" i="12"/>
  <c r="AE46" i="12"/>
  <c r="BK86" i="12"/>
  <c r="BK23" i="12"/>
  <c r="AE42" i="12"/>
  <c r="BJ73" i="12"/>
  <c r="BK31" i="12"/>
  <c r="BJ47" i="12"/>
  <c r="AE41" i="12"/>
  <c r="AE31" i="12"/>
  <c r="BI28" i="12"/>
  <c r="BK29" i="12"/>
  <c r="AE34" i="12"/>
  <c r="BJ31" i="12"/>
  <c r="BK19" i="12"/>
  <c r="BK25" i="12"/>
  <c r="BJ74" i="12"/>
  <c r="BJ76" i="12"/>
  <c r="BK26" i="12"/>
  <c r="AE26" i="12"/>
  <c r="BI26" i="12"/>
  <c r="BL26" i="12" l="1"/>
  <c r="BM26" i="12" s="1"/>
  <c r="AF26" i="12" s="1"/>
  <c r="Z12" i="12"/>
  <c r="AC12" i="12"/>
  <c r="AE12" i="12"/>
  <c r="AD12" i="12"/>
  <c r="BN31" i="12"/>
  <c r="BO31" i="12" s="1"/>
  <c r="BN46" i="12"/>
  <c r="BO46" i="12" s="1"/>
  <c r="BK18" i="12"/>
  <c r="BJ33" i="12"/>
  <c r="BJ18" i="12"/>
  <c r="AE27" i="12"/>
  <c r="BJ15" i="12"/>
  <c r="BJ27" i="12"/>
  <c r="BI18" i="12"/>
  <c r="BJ40" i="12"/>
  <c r="BI27" i="12"/>
  <c r="BI82" i="12"/>
  <c r="BL82" i="12" s="1"/>
  <c r="BM82" i="12" s="1"/>
  <c r="BI39" i="12"/>
  <c r="BL39" i="12" s="1"/>
  <c r="BM39" i="12" s="1"/>
  <c r="BI33" i="12"/>
  <c r="BL33" i="12" s="1"/>
  <c r="BM33" i="12" s="1"/>
  <c r="BI14" i="12"/>
  <c r="AE33" i="12"/>
  <c r="BK22" i="12"/>
  <c r="BK80" i="12"/>
  <c r="BK75" i="12"/>
  <c r="BK33" i="12"/>
  <c r="BJ79" i="12"/>
  <c r="BI83" i="12"/>
  <c r="BL83" i="12" s="1"/>
  <c r="BM83" i="12" s="1"/>
  <c r="BI24" i="12"/>
  <c r="BK78" i="12"/>
  <c r="BJ35" i="12"/>
  <c r="BJ36" i="12"/>
  <c r="BK24" i="12"/>
  <c r="AE24" i="12"/>
  <c r="BJ24" i="12"/>
  <c r="BN38" i="12"/>
  <c r="AH38" i="12"/>
  <c r="AH83" i="12"/>
  <c r="AG46" i="12"/>
  <c r="AP46" i="12" s="1"/>
  <c r="AH33" i="12"/>
  <c r="BN26" i="12"/>
  <c r="AH26" i="12"/>
  <c r="AH39" i="12"/>
  <c r="AG31" i="12"/>
  <c r="BN45" i="12"/>
  <c r="AH45" i="12"/>
  <c r="AH82" i="12"/>
  <c r="AH31" i="12"/>
  <c r="BK27" i="12"/>
  <c r="BJ21" i="12"/>
  <c r="BI71" i="12"/>
  <c r="BL71" i="12" s="1"/>
  <c r="BM71" i="12" s="1"/>
  <c r="BI78" i="12"/>
  <c r="BL78" i="12" s="1"/>
  <c r="BM78" i="12" s="1"/>
  <c r="AE71" i="12"/>
  <c r="BK16" i="12"/>
  <c r="BK82" i="12"/>
  <c r="BK77" i="12"/>
  <c r="BJ71" i="12"/>
  <c r="AE82" i="12"/>
  <c r="BJ82" i="12"/>
  <c r="AE85" i="12"/>
  <c r="BI79" i="12"/>
  <c r="BL79" i="12" s="1"/>
  <c r="BM79" i="12" s="1"/>
  <c r="AE45" i="12"/>
  <c r="BJ50" i="12"/>
  <c r="BK83" i="12"/>
  <c r="BJ48" i="12"/>
  <c r="BJ14" i="12"/>
  <c r="BK14" i="12"/>
  <c r="BI86" i="12"/>
  <c r="BL86" i="12" s="1"/>
  <c r="BM86" i="12" s="1"/>
  <c r="BJ80" i="12"/>
  <c r="AE80" i="12"/>
  <c r="BK79" i="12"/>
  <c r="BJ39" i="12"/>
  <c r="AE79" i="12"/>
  <c r="BI80" i="12"/>
  <c r="BL80" i="12" s="1"/>
  <c r="BM80" i="12" s="1"/>
  <c r="AE44" i="12"/>
  <c r="BI44" i="12"/>
  <c r="BL44" i="12" s="1"/>
  <c r="BM44" i="12" s="1"/>
  <c r="BJ44" i="12"/>
  <c r="BK39" i="12"/>
  <c r="BI17" i="12"/>
  <c r="AE78" i="12"/>
  <c r="BJ83" i="12"/>
  <c r="BK45" i="12"/>
  <c r="BK38" i="12"/>
  <c r="BK50" i="12"/>
  <c r="BK35" i="12"/>
  <c r="BJ78" i="12"/>
  <c r="AE83" i="12"/>
  <c r="BK17" i="12"/>
  <c r="BI50" i="12"/>
  <c r="BL50" i="12" s="1"/>
  <c r="BM50" i="12" s="1"/>
  <c r="BI35" i="12"/>
  <c r="BL35" i="12" s="1"/>
  <c r="BM35" i="12" s="1"/>
  <c r="AE35" i="12"/>
  <c r="BJ45" i="12"/>
  <c r="AE38" i="12"/>
  <c r="BJ38" i="12"/>
  <c r="BJ16" i="12"/>
  <c r="AE36" i="12"/>
  <c r="AE86" i="12"/>
  <c r="AE39" i="12"/>
  <c r="BI36" i="12"/>
  <c r="BL36" i="12" s="1"/>
  <c r="BM36" i="12" s="1"/>
  <c r="BK36" i="12"/>
  <c r="BJ17" i="12"/>
  <c r="BI22" i="12"/>
  <c r="BJ22" i="12"/>
  <c r="BI15" i="12"/>
  <c r="BJ86" i="12"/>
  <c r="BJ23" i="12"/>
  <c r="BJ20" i="12"/>
  <c r="BI20" i="12"/>
  <c r="BK20" i="12"/>
  <c r="BJ29" i="12"/>
  <c r="BK15" i="12"/>
  <c r="BI42" i="12"/>
  <c r="BL42" i="12" s="1"/>
  <c r="BM42" i="12" s="1"/>
  <c r="AE47" i="12"/>
  <c r="BI23" i="12"/>
  <c r="BK47" i="12"/>
  <c r="BJ42" i="12"/>
  <c r="AE73" i="12"/>
  <c r="BI73" i="12"/>
  <c r="BL73" i="12" s="1"/>
  <c r="BM73" i="12" s="1"/>
  <c r="BI47" i="12"/>
  <c r="BL47" i="12" s="1"/>
  <c r="BM47" i="12" s="1"/>
  <c r="BK73" i="12"/>
  <c r="BJ41" i="12"/>
  <c r="BK40" i="12"/>
  <c r="BK42" i="12"/>
  <c r="BK34" i="12"/>
  <c r="BI41" i="12"/>
  <c r="BL41" i="12" s="1"/>
  <c r="BM41" i="12" s="1"/>
  <c r="BK41" i="12"/>
  <c r="AE28" i="12"/>
  <c r="BJ75" i="12"/>
  <c r="AE75" i="12"/>
  <c r="BI29" i="12"/>
  <c r="BL29" i="12" s="1"/>
  <c r="BM29" i="12" s="1"/>
  <c r="BI75" i="12"/>
  <c r="BL75" i="12" s="1"/>
  <c r="BM75" i="12" s="1"/>
  <c r="BJ19" i="12"/>
  <c r="BJ28" i="12"/>
  <c r="BL28" i="12" s="1"/>
  <c r="BM28" i="12" s="1"/>
  <c r="BK28" i="12"/>
  <c r="BI74" i="12"/>
  <c r="BL74" i="12" s="1"/>
  <c r="BM74" i="12" s="1"/>
  <c r="AE29" i="12"/>
  <c r="BI34" i="12"/>
  <c r="BL34" i="12" s="1"/>
  <c r="BM34" i="12" s="1"/>
  <c r="BJ34" i="12"/>
  <c r="AE40" i="12"/>
  <c r="BI40" i="12"/>
  <c r="BL40" i="12" s="1"/>
  <c r="BM40" i="12" s="1"/>
  <c r="AE76" i="12"/>
  <c r="BK21" i="12"/>
  <c r="BI21" i="12"/>
  <c r="BK76" i="12"/>
  <c r="BI19" i="12"/>
  <c r="BI37" i="12"/>
  <c r="BL37" i="12" s="1"/>
  <c r="BM37" i="12" s="1"/>
  <c r="BJ37" i="12"/>
  <c r="BK37" i="12"/>
  <c r="AE37" i="12"/>
  <c r="BI25" i="12"/>
  <c r="BK43" i="12"/>
  <c r="BI43" i="12"/>
  <c r="BL43" i="12" s="1"/>
  <c r="BM43" i="12" s="1"/>
  <c r="BJ43" i="12"/>
  <c r="AE43" i="12"/>
  <c r="AE25" i="12"/>
  <c r="BJ25" i="12"/>
  <c r="BK81" i="12"/>
  <c r="BJ81" i="12"/>
  <c r="AE81" i="12"/>
  <c r="BI81" i="12"/>
  <c r="BL81" i="12" s="1"/>
  <c r="BM81" i="12" s="1"/>
  <c r="BJ84" i="12"/>
  <c r="BK84" i="12"/>
  <c r="AE84" i="12"/>
  <c r="BI84" i="12"/>
  <c r="BL84" i="12" s="1"/>
  <c r="BM84" i="12" s="1"/>
  <c r="BK74" i="12"/>
  <c r="AE74" i="12"/>
  <c r="BK72" i="12"/>
  <c r="BI72" i="12"/>
  <c r="BL72" i="12" s="1"/>
  <c r="BM72" i="12" s="1"/>
  <c r="AE72" i="12"/>
  <c r="BJ72" i="12"/>
  <c r="BI76" i="12"/>
  <c r="BL76" i="12" s="1"/>
  <c r="BM76" i="12" s="1"/>
  <c r="BJ32" i="12"/>
  <c r="BI32" i="12"/>
  <c r="BL32" i="12" s="1"/>
  <c r="BM32" i="12" s="1"/>
  <c r="BK32" i="12"/>
  <c r="AE32" i="12"/>
  <c r="AE49" i="12"/>
  <c r="BI49" i="12"/>
  <c r="BL49" i="12" s="1"/>
  <c r="BM49" i="12" s="1"/>
  <c r="BK49" i="12"/>
  <c r="BJ49" i="12"/>
  <c r="BK30" i="12"/>
  <c r="AE30" i="12"/>
  <c r="BI30" i="12"/>
  <c r="BL30" i="12" s="1"/>
  <c r="BM30" i="12" s="1"/>
  <c r="BJ30" i="12"/>
  <c r="AF28" i="12" l="1"/>
  <c r="BN28" i="12"/>
  <c r="BO28" i="12" s="1"/>
  <c r="AH28" i="12"/>
  <c r="BL27" i="12"/>
  <c r="BM27" i="12" s="1"/>
  <c r="BL25" i="12"/>
  <c r="BM25" i="12" s="1"/>
  <c r="AF25" i="12" s="1"/>
  <c r="BL24" i="12"/>
  <c r="BM24" i="12" s="1"/>
  <c r="BN24" i="12" s="1"/>
  <c r="AP31" i="12"/>
  <c r="AT31" i="12" s="1"/>
  <c r="BL23" i="12"/>
  <c r="BM23" i="12" s="1"/>
  <c r="X11" i="12"/>
  <c r="BL21" i="12"/>
  <c r="BM21" i="12" s="1"/>
  <c r="BL18" i="12"/>
  <c r="BL19" i="12"/>
  <c r="BM19" i="12" s="1"/>
  <c r="AF19" i="12" s="1"/>
  <c r="BL20" i="12"/>
  <c r="BL22" i="12"/>
  <c r="BM22" i="12" s="1"/>
  <c r="BL17" i="12"/>
  <c r="BL15" i="12"/>
  <c r="BM15" i="12" s="1"/>
  <c r="BN33" i="12"/>
  <c r="BO33" i="12" s="1"/>
  <c r="BN39" i="12"/>
  <c r="BO39" i="12" s="1"/>
  <c r="BN82" i="12"/>
  <c r="BO82" i="12" s="1"/>
  <c r="AS46" i="12"/>
  <c r="AT46" i="12"/>
  <c r="BK13" i="12"/>
  <c r="AQ46" i="12"/>
  <c r="BN81" i="12"/>
  <c r="AH81" i="12"/>
  <c r="BN37" i="12"/>
  <c r="AH37" i="12"/>
  <c r="BN35" i="12"/>
  <c r="AH35" i="12"/>
  <c r="BN29" i="12"/>
  <c r="AH29" i="12"/>
  <c r="BN41" i="12"/>
  <c r="AH41" i="12"/>
  <c r="BN36" i="12"/>
  <c r="AH36" i="12"/>
  <c r="BN44" i="12"/>
  <c r="AH44" i="12"/>
  <c r="BN86" i="12"/>
  <c r="AH86" i="12"/>
  <c r="AG82" i="12"/>
  <c r="AP82" i="12" s="1"/>
  <c r="BO45" i="12"/>
  <c r="AG45" i="12"/>
  <c r="AP45" i="12" s="1"/>
  <c r="AG28" i="12"/>
  <c r="BN76" i="12"/>
  <c r="AH76" i="12"/>
  <c r="BN84" i="12"/>
  <c r="AH84" i="12"/>
  <c r="BN40" i="12"/>
  <c r="AH40" i="12"/>
  <c r="BN80" i="12"/>
  <c r="AH80" i="12"/>
  <c r="BN79" i="12"/>
  <c r="AH79" i="12"/>
  <c r="BN71" i="12"/>
  <c r="AH71" i="12"/>
  <c r="BN30" i="12"/>
  <c r="AH30" i="12"/>
  <c r="BN32" i="12"/>
  <c r="AH32" i="12"/>
  <c r="BN43" i="12"/>
  <c r="AH43" i="12"/>
  <c r="BN74" i="12"/>
  <c r="AH74" i="12"/>
  <c r="BN75" i="12"/>
  <c r="AH75" i="12"/>
  <c r="BN47" i="12"/>
  <c r="AH47" i="12"/>
  <c r="BN50" i="12"/>
  <c r="AH50" i="12"/>
  <c r="BN49" i="12"/>
  <c r="AH49" i="12"/>
  <c r="BN72" i="12"/>
  <c r="AH72" i="12"/>
  <c r="BN25" i="12"/>
  <c r="AH25" i="12"/>
  <c r="BN34" i="12"/>
  <c r="AH34" i="12"/>
  <c r="BN73" i="12"/>
  <c r="AH73" i="12"/>
  <c r="BN42" i="12"/>
  <c r="AH42" i="12"/>
  <c r="BN78" i="12"/>
  <c r="AH78" i="12"/>
  <c r="AG39" i="12"/>
  <c r="AP39" i="12" s="1"/>
  <c r="BO26" i="12"/>
  <c r="AG26" i="12"/>
  <c r="AP26" i="12" s="1"/>
  <c r="AG33" i="12"/>
  <c r="AP33" i="12" s="1"/>
  <c r="AG83" i="12"/>
  <c r="AP83" i="12" s="1"/>
  <c r="BO38" i="12"/>
  <c r="AG38" i="12"/>
  <c r="AP38" i="12" s="1"/>
  <c r="BI85" i="12"/>
  <c r="BL85" i="12" s="1"/>
  <c r="BM85" i="12" s="1"/>
  <c r="BJ85" i="12"/>
  <c r="BK85" i="12"/>
  <c r="BI77" i="12"/>
  <c r="BL77" i="12" s="1"/>
  <c r="BM77" i="12" s="1"/>
  <c r="BJ77" i="12"/>
  <c r="BI16" i="12"/>
  <c r="BL16" i="12" s="1"/>
  <c r="AE77" i="12"/>
  <c r="BL14" i="12"/>
  <c r="BK48" i="12"/>
  <c r="AE48" i="12"/>
  <c r="BI48" i="12"/>
  <c r="BL48" i="12" s="1"/>
  <c r="BM48" i="12" s="1"/>
  <c r="AP28" i="12" l="1"/>
  <c r="AF27" i="12"/>
  <c r="AH27" i="12"/>
  <c r="BO24" i="12"/>
  <c r="AG24" i="12"/>
  <c r="AF24" i="12"/>
  <c r="AH24" i="12"/>
  <c r="BN23" i="12"/>
  <c r="AG23" i="12" s="1"/>
  <c r="AF23" i="12"/>
  <c r="AH23" i="12"/>
  <c r="AH22" i="12"/>
  <c r="AF22" i="12"/>
  <c r="AH21" i="12"/>
  <c r="AF21" i="12"/>
  <c r="AH19" i="12"/>
  <c r="AH15" i="12"/>
  <c r="AF15" i="12"/>
  <c r="BM16" i="12"/>
  <c r="BM20" i="12"/>
  <c r="AF20" i="12" s="1"/>
  <c r="BM14" i="12"/>
  <c r="BM17" i="12"/>
  <c r="BM18" i="12"/>
  <c r="BN19" i="12"/>
  <c r="BN21" i="12"/>
  <c r="BN22" i="12"/>
  <c r="BN15" i="12"/>
  <c r="AG15" i="12" s="1"/>
  <c r="BN83" i="12"/>
  <c r="BO83" i="12" s="1"/>
  <c r="BN27" i="12"/>
  <c r="AS38" i="12"/>
  <c r="AT38" i="12"/>
  <c r="AS83" i="12"/>
  <c r="AT83" i="12"/>
  <c r="AQ31" i="12"/>
  <c r="AS31" i="12"/>
  <c r="BJ13" i="12"/>
  <c r="BI13" i="12"/>
  <c r="AT39" i="12"/>
  <c r="AQ38" i="12"/>
  <c r="AQ83" i="12"/>
  <c r="BN85" i="12"/>
  <c r="AH85" i="12"/>
  <c r="BN48" i="12"/>
  <c r="AH48" i="12"/>
  <c r="BN77" i="12"/>
  <c r="AH77" i="12"/>
  <c r="BO78" i="12"/>
  <c r="AG78" i="12"/>
  <c r="AP78" i="12" s="1"/>
  <c r="BO42" i="12"/>
  <c r="AG42" i="12"/>
  <c r="AP42" i="12" s="1"/>
  <c r="BO73" i="12"/>
  <c r="AG73" i="12"/>
  <c r="AP73" i="12" s="1"/>
  <c r="BO34" i="12"/>
  <c r="AG34" i="12"/>
  <c r="AP34" i="12" s="1"/>
  <c r="BO25" i="12"/>
  <c r="AG25" i="12"/>
  <c r="AP25" i="12" s="1"/>
  <c r="BO72" i="12"/>
  <c r="AG72" i="12"/>
  <c r="AP72" i="12" s="1"/>
  <c r="BO49" i="12"/>
  <c r="AG49" i="12"/>
  <c r="AP49" i="12" s="1"/>
  <c r="BO50" i="12"/>
  <c r="AG50" i="12"/>
  <c r="AP50" i="12" s="1"/>
  <c r="BO47" i="12"/>
  <c r="AG47" i="12"/>
  <c r="AP47" i="12" s="1"/>
  <c r="BO75" i="12"/>
  <c r="AG75" i="12"/>
  <c r="AP75" i="12" s="1"/>
  <c r="BO74" i="12"/>
  <c r="AG74" i="12"/>
  <c r="AP74" i="12" s="1"/>
  <c r="BO43" i="12"/>
  <c r="AG43" i="12"/>
  <c r="AP43" i="12" s="1"/>
  <c r="BO32" i="12"/>
  <c r="AG32" i="12"/>
  <c r="AP32" i="12" s="1"/>
  <c r="BO30" i="12"/>
  <c r="AG30" i="12"/>
  <c r="AP30" i="12" s="1"/>
  <c r="BO71" i="12"/>
  <c r="AG71" i="12"/>
  <c r="AP71" i="12" s="1"/>
  <c r="BO79" i="12"/>
  <c r="AG79" i="12"/>
  <c r="AP79" i="12" s="1"/>
  <c r="BO80" i="12"/>
  <c r="AG80" i="12"/>
  <c r="AP80" i="12" s="1"/>
  <c r="BO40" i="12"/>
  <c r="AG40" i="12"/>
  <c r="AP40" i="12" s="1"/>
  <c r="BO84" i="12"/>
  <c r="AG84" i="12"/>
  <c r="AP84" i="12" s="1"/>
  <c r="BO76" i="12"/>
  <c r="AG76" i="12"/>
  <c r="AP76" i="12" s="1"/>
  <c r="BO86" i="12"/>
  <c r="AG86" i="12"/>
  <c r="AP86" i="12" s="1"/>
  <c r="BO44" i="12"/>
  <c r="AG44" i="12"/>
  <c r="AP44" i="12" s="1"/>
  <c r="BO36" i="12"/>
  <c r="AG36" i="12"/>
  <c r="AP36" i="12" s="1"/>
  <c r="BO41" i="12"/>
  <c r="AG41" i="12"/>
  <c r="AP41" i="12" s="1"/>
  <c r="BO29" i="12"/>
  <c r="AG29" i="12"/>
  <c r="AP29" i="12" s="1"/>
  <c r="BO35" i="12"/>
  <c r="AG35" i="12"/>
  <c r="AP35" i="12" s="1"/>
  <c r="BO37" i="12"/>
  <c r="AG37" i="12"/>
  <c r="AP37" i="12" s="1"/>
  <c r="BO81" i="12"/>
  <c r="AG81" i="12"/>
  <c r="AP81" i="12" s="1"/>
  <c r="BO27" i="12" l="1"/>
  <c r="AG27" i="12"/>
  <c r="AP27" i="12" s="1"/>
  <c r="AS27" i="12" s="1"/>
  <c r="BO23" i="12"/>
  <c r="AP24" i="12"/>
  <c r="AP23" i="12"/>
  <c r="AS23" i="12" s="1"/>
  <c r="BO22" i="12"/>
  <c r="AG22" i="12"/>
  <c r="AP22" i="12" s="1"/>
  <c r="BO21" i="12"/>
  <c r="AG21" i="12"/>
  <c r="AP21" i="12" s="1"/>
  <c r="AH20" i="12"/>
  <c r="BO19" i="12"/>
  <c r="AG19" i="12"/>
  <c r="AP19" i="12" s="1"/>
  <c r="BN16" i="12"/>
  <c r="AG16" i="12" s="1"/>
  <c r="AF18" i="12"/>
  <c r="AH18" i="12"/>
  <c r="BN17" i="12"/>
  <c r="AF17" i="12"/>
  <c r="AH17" i="12"/>
  <c r="BN18" i="12"/>
  <c r="AG18" i="12" s="1"/>
  <c r="AH14" i="12"/>
  <c r="AF14" i="12"/>
  <c r="AP15" i="12"/>
  <c r="AH16" i="12"/>
  <c r="AF16" i="12"/>
  <c r="BN20" i="12"/>
  <c r="AG20" i="12" s="1"/>
  <c r="BL13" i="12"/>
  <c r="BN14" i="12"/>
  <c r="BO15" i="12"/>
  <c r="AS33" i="12"/>
  <c r="AT33" i="12"/>
  <c r="AS26" i="12"/>
  <c r="AT26" i="12"/>
  <c r="AS28" i="12"/>
  <c r="AT28" i="12"/>
  <c r="AS82" i="12"/>
  <c r="AT82" i="12"/>
  <c r="AS45" i="12"/>
  <c r="AT45" i="12"/>
  <c r="AQ39" i="12"/>
  <c r="AS39" i="12"/>
  <c r="BK12" i="12"/>
  <c r="BI12" i="12"/>
  <c r="BJ12" i="12"/>
  <c r="AQ28" i="12"/>
  <c r="AQ82" i="12"/>
  <c r="AQ45" i="12"/>
  <c r="AQ26" i="12"/>
  <c r="AQ33" i="12"/>
  <c r="BO77" i="12"/>
  <c r="AG77" i="12"/>
  <c r="AP77" i="12" s="1"/>
  <c r="BO48" i="12"/>
  <c r="AG48" i="12"/>
  <c r="AP48" i="12" s="1"/>
  <c r="BO85" i="12"/>
  <c r="AG85" i="12"/>
  <c r="AP85" i="12" s="1"/>
  <c r="AQ27" i="12" l="1"/>
  <c r="AT27" i="12"/>
  <c r="AT24" i="12"/>
  <c r="AQ24" i="12"/>
  <c r="AS24" i="12"/>
  <c r="AT23" i="12"/>
  <c r="AQ23" i="12"/>
  <c r="AQ22" i="12"/>
  <c r="AS22" i="12"/>
  <c r="AT22" i="12"/>
  <c r="AQ21" i="12"/>
  <c r="AS21" i="12"/>
  <c r="AT21" i="12"/>
  <c r="AP20" i="12"/>
  <c r="AS20" i="12" s="1"/>
  <c r="AS19" i="12"/>
  <c r="AT19" i="12"/>
  <c r="AQ19" i="12"/>
  <c r="BO16" i="12"/>
  <c r="AP16" i="12"/>
  <c r="AQ16" i="12" s="1"/>
  <c r="AP18" i="12"/>
  <c r="BO18" i="12"/>
  <c r="BO17" i="12"/>
  <c r="AG17" i="12"/>
  <c r="AP17" i="12" s="1"/>
  <c r="BO14" i="12"/>
  <c r="AG14" i="12"/>
  <c r="AP14" i="12" s="1"/>
  <c r="AT15" i="12"/>
  <c r="AQ15" i="12"/>
  <c r="AS15" i="12"/>
  <c r="BM13" i="12"/>
  <c r="BO20" i="12"/>
  <c r="AS43" i="12"/>
  <c r="AT43" i="12"/>
  <c r="AS74" i="12"/>
  <c r="AT74" i="12"/>
  <c r="AS29" i="12"/>
  <c r="AT29" i="12"/>
  <c r="AS78" i="12"/>
  <c r="AT78" i="12"/>
  <c r="AS50" i="12"/>
  <c r="AT50" i="12"/>
  <c r="AS30" i="12"/>
  <c r="AT30" i="12"/>
  <c r="AS44" i="12"/>
  <c r="AT44" i="12"/>
  <c r="AS81" i="12"/>
  <c r="AT81" i="12"/>
  <c r="AS49" i="12"/>
  <c r="AT49" i="12"/>
  <c r="AS84" i="12"/>
  <c r="AT84" i="12"/>
  <c r="AS37" i="12"/>
  <c r="AT37" i="12"/>
  <c r="AS72" i="12"/>
  <c r="AT72" i="12"/>
  <c r="AS35" i="12"/>
  <c r="AT35" i="12"/>
  <c r="AS25" i="12"/>
  <c r="AT25" i="12"/>
  <c r="AS42" i="12"/>
  <c r="AT42" i="12"/>
  <c r="AS79" i="12"/>
  <c r="AT79" i="12"/>
  <c r="AS32" i="12"/>
  <c r="AT32" i="12"/>
  <c r="AS86" i="12"/>
  <c r="AT86" i="12"/>
  <c r="AS76" i="12"/>
  <c r="AT76" i="12"/>
  <c r="AS80" i="12"/>
  <c r="AT80" i="12"/>
  <c r="AS34" i="12"/>
  <c r="AT34" i="12"/>
  <c r="AS75" i="12"/>
  <c r="AT75" i="12"/>
  <c r="AS40" i="12"/>
  <c r="AT40" i="12"/>
  <c r="AS41" i="12"/>
  <c r="AT41" i="12"/>
  <c r="AS73" i="12"/>
  <c r="AT73" i="12"/>
  <c r="AS47" i="12"/>
  <c r="AT47" i="12"/>
  <c r="AS71" i="12"/>
  <c r="AT71" i="12"/>
  <c r="AS36" i="12"/>
  <c r="AT36" i="12"/>
  <c r="BL12" i="12"/>
  <c r="AQ72" i="12"/>
  <c r="AQ74" i="12"/>
  <c r="AQ43" i="12"/>
  <c r="AQ79" i="12"/>
  <c r="AQ76" i="12"/>
  <c r="AQ35" i="12"/>
  <c r="AQ25" i="12"/>
  <c r="AQ32" i="12"/>
  <c r="AQ80" i="12"/>
  <c r="AQ29" i="12"/>
  <c r="AQ34" i="12"/>
  <c r="AQ50" i="12"/>
  <c r="AQ44" i="12"/>
  <c r="AQ41" i="12"/>
  <c r="AQ81" i="12"/>
  <c r="AQ73" i="12"/>
  <c r="AQ47" i="12"/>
  <c r="AQ71" i="12"/>
  <c r="AQ84" i="12"/>
  <c r="AQ42" i="12"/>
  <c r="AQ86" i="12"/>
  <c r="AQ78" i="12"/>
  <c r="AQ75" i="12"/>
  <c r="AQ30" i="12"/>
  <c r="AQ40" i="12"/>
  <c r="AQ49" i="12"/>
  <c r="AQ36" i="12"/>
  <c r="AQ37" i="12"/>
  <c r="AT20" i="12" l="1"/>
  <c r="AQ20" i="12"/>
  <c r="AH13" i="12"/>
  <c r="AF13" i="12"/>
  <c r="AS16" i="12"/>
  <c r="AT16" i="12"/>
  <c r="AS17" i="12"/>
  <c r="AT17" i="12"/>
  <c r="AQ17" i="12"/>
  <c r="AS18" i="12"/>
  <c r="AT18" i="12"/>
  <c r="AQ18" i="12"/>
  <c r="AQ14" i="12"/>
  <c r="AT14" i="12"/>
  <c r="AS14" i="12"/>
  <c r="BN13" i="12"/>
  <c r="AG13" i="12" s="1"/>
  <c r="BM12" i="12"/>
  <c r="AS85" i="12"/>
  <c r="AT85" i="12"/>
  <c r="AS77" i="12"/>
  <c r="AT77" i="12"/>
  <c r="AS48" i="12"/>
  <c r="AT48" i="12"/>
  <c r="AQ77" i="12"/>
  <c r="AQ48" i="12"/>
  <c r="AQ85" i="12"/>
  <c r="AP13" i="12" l="1"/>
  <c r="AS13" i="12" s="1"/>
  <c r="BO13" i="12"/>
  <c r="AH12" i="12"/>
  <c r="AF12" i="12"/>
  <c r="BN12" i="12"/>
  <c r="AG12" i="12" s="1"/>
  <c r="AQ13" i="12" l="1"/>
  <c r="AT13" i="12"/>
  <c r="AP12" i="12"/>
  <c r="AP11" i="12" s="1"/>
  <c r="BO12" i="12"/>
  <c r="AS12" i="12" l="1"/>
  <c r="AQ12" i="12"/>
  <c r="AQ11" i="12" s="1"/>
  <c r="AT12" i="12"/>
  <c r="AS11" i="12"/>
  <c r="O4" i="12" s="1"/>
  <c r="AT11" i="12" l="1"/>
</calcChain>
</file>

<file path=xl/comments1.xml><?xml version="1.0" encoding="utf-8"?>
<comments xmlns="http://schemas.openxmlformats.org/spreadsheetml/2006/main">
  <authors>
    <author>Bé Keizer</author>
    <author>Keizer</author>
    <author>B Keizer</author>
  </authors>
  <commentList>
    <comment ref="E20"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t>
        </r>
      </text>
    </comment>
    <comment ref="E31" authorId="1" shapeId="0">
      <text>
        <r>
          <rPr>
            <sz val="9"/>
            <color indexed="81"/>
            <rFont val="Tahoma"/>
            <family val="2"/>
          </rPr>
          <t xml:space="preserve">
Deze toeslag wordt toegekend aan leraren die voldoen aan artikel 6.13 van de cao po, zie tabellen.</t>
        </r>
      </text>
    </comment>
    <comment ref="E32" authorId="0" shapeId="0">
      <text>
        <r>
          <rPr>
            <sz val="9"/>
            <color indexed="81"/>
            <rFont val="Tahoma"/>
            <family val="2"/>
          </rPr>
          <t xml:space="preserve">
Geldt voor de directeuren verbonden aan een school PO die benoemd zijn in de schalen DA t/m DCuitloop (incl. meerhoofdig).
Deze toelage vervalt op basis van artikel 5.6.9 en op basis van artikel 6.29 uiterlijk per 1-8-2020.</t>
        </r>
      </text>
    </comment>
    <comment ref="E33" authorId="1" shapeId="0">
      <text>
        <r>
          <rPr>
            <sz val="9"/>
            <color indexed="81"/>
            <rFont val="Tahoma"/>
            <family val="2"/>
          </rPr>
          <t xml:space="preserve">
Deze eindejaarsuitkering wordt toegekend aan de schalen 1  t/m 8. Zie tabellen.</t>
        </r>
      </text>
    </comment>
    <comment ref="E34" authorId="0" shapeId="0">
      <text>
        <r>
          <rPr>
            <sz val="9"/>
            <color indexed="81"/>
            <rFont val="Tahoma"/>
            <family val="2"/>
          </rPr>
          <t xml:space="preserve">
Deze uitkering (op de dag van de leraar) bedraagt bij een normbetrekking 200 euro die in de maanden januari t/m oktober wordt opgebouwd en uitgekeerd in oktober. De uitkering geldt voor iedereen die werkzaam is in het primair onderwijs (dus ook  onderwijsondersteunend personeel en directieleden).</t>
        </r>
      </text>
    </comment>
    <comment ref="E37" authorId="1" shapeId="0">
      <text>
        <r>
          <rPr>
            <sz val="9"/>
            <color indexed="81"/>
            <rFont val="Tahoma"/>
            <family val="2"/>
          </rPr>
          <t xml:space="preserve">
De 0,8% wordt berekend over het bruto-loon en de uitlooptoeslag, en is niet pensioengevend. Daarom worden er ook geen pensioenpremies over berekend, wel de andere premies.
(Overgangsrecht VPL is nu vervallen).</t>
        </r>
      </text>
    </comment>
    <comment ref="E42" authorId="1" shapeId="0">
      <text>
        <r>
          <rPr>
            <sz val="9"/>
            <color indexed="81"/>
            <rFont val="Tahoma"/>
            <family val="2"/>
          </rPr>
          <t xml:space="preserve">
Het jaarinkomen ABP wordt in januari van elk jaar bepaald.</t>
        </r>
      </text>
    </comment>
    <comment ref="E56" authorId="0" shapeId="0">
      <text>
        <r>
          <rPr>
            <sz val="9"/>
            <color indexed="81"/>
            <rFont val="Tahoma"/>
            <family val="2"/>
          </rPr>
          <t xml:space="preserve">
Zie toelichting:
1 = premie verplichte verzekering (6,10%)
2 = premie vrijwillige verzekering (6,10%)
3 = eigenrisicodrager (0,15%)
4 = geen aansluiting (0%)
5 = ERD WD14 (3,80%)
6 = ERD WD42 (3,20%)
7 = ERD SL80 (0,80%)
8 = ERD SL100 (0,50%)
</t>
        </r>
      </text>
    </comment>
    <comment ref="H62" authorId="2" shapeId="0">
      <text>
        <r>
          <rPr>
            <sz val="9"/>
            <color indexed="81"/>
            <rFont val="Tahoma"/>
            <family val="2"/>
          </rPr>
          <t xml:space="preserve">
Voor het eigen beleid dient de opgave op jaarbasis plaats te vinden. Het bedrag per maand wordt dan berekend door deling door 12. </t>
        </r>
      </text>
    </comment>
  </commentList>
</comments>
</file>

<file path=xl/comments2.xml><?xml version="1.0" encoding="utf-8"?>
<comments xmlns="http://schemas.openxmlformats.org/spreadsheetml/2006/main">
  <authors>
    <author>B Keizer</author>
    <author>Bé Keizer</author>
    <author>Keizer</author>
    <author>Annemarie van Groenestijn</author>
  </authors>
  <commentList>
    <comment ref="H8" authorId="0" shapeId="0">
      <text>
        <r>
          <rPr>
            <sz val="9"/>
            <color indexed="81"/>
            <rFont val="Tahoma"/>
            <family val="2"/>
          </rPr>
          <t xml:space="preserve">
Moet groter dan 0,00 zijn.</t>
        </r>
      </text>
    </comment>
    <comment ref="J8" authorId="1" shapeId="0">
      <text>
        <r>
          <rPr>
            <sz val="11"/>
            <color indexed="81"/>
            <rFont val="Tahoma"/>
            <family val="2"/>
          </rPr>
          <t xml:space="preserve">
Zie toelichting:
1 = premie verplichte verzekering (6,10%)
2 = premie vrijwillige verzekering (6,10%)
3 = eigenrisicodrager (0,15%)
4 = geen aansluiting (0%)
5 = ERD WD14 (3,80%)
6 = ERD WD42 (3,20%)
7 = ERD SL80 (0,80%)
8 = ERD SL100 (0,50%)</t>
        </r>
      </text>
    </comment>
    <comment ref="Q8" authorId="0" shapeId="0">
      <text>
        <r>
          <rPr>
            <sz val="9"/>
            <color indexed="81"/>
            <rFont val="Tahoma"/>
            <family val="2"/>
          </rPr>
          <t xml:space="preserve">
Geldt voor de directeuren verbonden aan een school PO die benoemd zijn in de schalen DA t/m DCuitloop (incl. meerhoofdig).
Deze toelage vervalt op basis van artikel 5.6.9 en op basis van artikel 6.29 uiterlijk per 1-8-2020.</t>
        </r>
      </text>
    </comment>
    <comment ref="AL8" authorId="2" shapeId="0">
      <text>
        <r>
          <rPr>
            <sz val="9"/>
            <color indexed="81"/>
            <rFont val="Tahoma"/>
            <family val="2"/>
          </rPr>
          <t xml:space="preserve">
Een bestuur dat voor het VF (deels) eigenrisicodrager is kan een schatting van de eigen kosten voor vervanging </t>
        </r>
        <r>
          <rPr>
            <b/>
            <sz val="9"/>
            <color indexed="81"/>
            <rFont val="Tahoma"/>
            <family val="2"/>
          </rPr>
          <t>per maand</t>
        </r>
        <r>
          <rPr>
            <sz val="9"/>
            <color indexed="81"/>
            <rFont val="Tahoma"/>
            <family val="2"/>
          </rPr>
          <t xml:space="preserve"> opvoeren bij "kosten vervanging eigen beleid </t>
        </r>
      </text>
    </comment>
    <comment ref="AN8" authorId="3" shapeId="0">
      <text>
        <r>
          <rPr>
            <sz val="9"/>
            <color indexed="81"/>
            <rFont val="Tahoma"/>
            <family val="2"/>
          </rPr>
          <t xml:space="preserve">
Er kan in dit werkgeverslastenoverzicht rekening gehouden worden met overige kosten die niet geautomatiseerd zijn opgenomen omdat ze per individu sterk kunnen verschillen. Zie extra toelichting tabblad 'werkgeverslasten'. 
Hier dient u het totaal aan overige kosten </t>
        </r>
        <r>
          <rPr>
            <b/>
            <sz val="9"/>
            <color indexed="81"/>
            <rFont val="Tahoma"/>
            <family val="2"/>
          </rPr>
          <t>per maand</t>
        </r>
        <r>
          <rPr>
            <sz val="9"/>
            <color indexed="81"/>
            <rFont val="Tahoma"/>
            <family val="2"/>
          </rPr>
          <t xml:space="preserve"> op te nemen die worden gespecificeerd onder 'D' in het werkblad 'werkgeverslasten'. </t>
        </r>
      </text>
    </comment>
    <comment ref="I9" authorId="0" shapeId="0">
      <text>
        <r>
          <rPr>
            <sz val="9"/>
            <color indexed="81"/>
            <rFont val="Tahoma"/>
            <family val="2"/>
          </rPr>
          <t xml:space="preserve">
Kan alleen met "j" worden ingevuld als het een leraar betreft, die voldoet aan art. 6.13 cao po.</t>
        </r>
      </text>
    </comment>
    <comment ref="BD1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1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2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3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4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5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6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7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D8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3.xml><?xml version="1.0" encoding="utf-8"?>
<comments xmlns="http://schemas.openxmlformats.org/spreadsheetml/2006/main">
  <authors>
    <author>Keizer</author>
    <author>B. Keizer</author>
    <author>B Keizer</author>
    <author>Bé Keizer</author>
  </authors>
  <commentList>
    <comment ref="A9" authorId="0" shapeId="0">
      <text>
        <r>
          <rPr>
            <sz val="9"/>
            <color indexed="81"/>
            <rFont val="Tahoma"/>
            <family val="2"/>
          </rPr>
          <t xml:space="preserve">
De premie voor KinderOpvang is hier ondergebracht.</t>
        </r>
      </text>
    </comment>
    <comment ref="C15" authorId="1" shapeId="0">
      <text>
        <r>
          <rPr>
            <sz val="9"/>
            <color indexed="81"/>
            <rFont val="Tahoma"/>
            <family val="2"/>
          </rPr>
          <t xml:space="preserve">
Bij geen volledige ERD kan men hier het van toepassing zijnde percentage invullen.</t>
        </r>
      </text>
    </comment>
    <comment ref="J16" authorId="2" shapeId="0">
      <text>
        <r>
          <rPr>
            <sz val="9"/>
            <color indexed="81"/>
            <rFont val="Tahoma"/>
            <family val="2"/>
          </rPr>
          <t xml:space="preserve">
WPO art. 183 lid 3: Van de in het eerste juncto tweede lid bedoelde verplichting kan Onze minister op aanvraag van het bevoegd gezag ontheffing verlenen op grond van bezwaren van godsdienstige of levensbeschouwelijke aard. Onze minister verleent de ontheffing slechts indien het bevoegd gezag aantoont dat een afdoende andere voorziening is getroffen met betrekking tot de gevolgen van vervanging bij afwezigheid van personeel. Onze minister besluit binnen zes maanden na ontvangst van een aanvraag als bedoeld in de eerste volzin.</t>
        </r>
      </text>
    </comment>
    <comment ref="A39" authorId="2" shapeId="0">
      <text>
        <r>
          <rPr>
            <sz val="9"/>
            <color indexed="81"/>
            <rFont val="Tahoma"/>
            <family val="2"/>
          </rPr>
          <t xml:space="preserve">
Eenmalige uitkering in februari  naar rato wtf voor werknemers in dienst in januari 2020 van 875 euro.</t>
        </r>
      </text>
    </comment>
    <comment ref="A40" authorId="2" shapeId="0">
      <text>
        <r>
          <rPr>
            <sz val="9"/>
            <color indexed="81"/>
            <rFont val="Tahoma"/>
            <family val="2"/>
          </rPr>
          <t xml:space="preserve">
Uitkering van 33% van maandsalaris in januari 2020 naar rato aanstellingsduur en wtf in januari 2020.</t>
        </r>
      </text>
    </comment>
    <comment ref="A55" authorId="3" shapeId="0">
      <text>
        <r>
          <rPr>
            <sz val="9"/>
            <color indexed="81"/>
            <rFont val="Tahoma"/>
            <family val="2"/>
          </rPr>
          <t xml:space="preserve">
Geldt voor de directeuren verbonden aan een school PO die benoemd zijn in de schalen DA t/m DCuitloop (incl. meerhoofdig). Met de numerieke schalen geldt dit niet meer, dan is de toelage verwerkt in de schaal zelf.</t>
        </r>
      </text>
    </comment>
    <comment ref="A99" authorId="3" shapeId="0">
      <text>
        <r>
          <rPr>
            <sz val="9"/>
            <color indexed="81"/>
            <rFont val="Tahoma"/>
            <family val="2"/>
          </rPr>
          <t xml:space="preserve">
Aanloopschalen a1 en a2 achterwege gelaten. Aanpassing min. loon per 1-1-2020 zorgt dat de aanloopschalen dan tenminste 1653,60 zijn. </t>
        </r>
      </text>
    </comment>
  </commentList>
</comments>
</file>

<file path=xl/sharedStrings.xml><?xml version="1.0" encoding="utf-8"?>
<sst xmlns="http://schemas.openxmlformats.org/spreadsheetml/2006/main" count="493" uniqueCount="365">
  <si>
    <t>salaristabellen</t>
  </si>
  <si>
    <t>schaal / regel</t>
  </si>
  <si>
    <t>DA</t>
  </si>
  <si>
    <t>DB</t>
  </si>
  <si>
    <t>DBuit</t>
  </si>
  <si>
    <t>DC</t>
  </si>
  <si>
    <t>DCuit</t>
  </si>
  <si>
    <t>DD</t>
  </si>
  <si>
    <t>DE</t>
  </si>
  <si>
    <t>AB</t>
  </si>
  <si>
    <t>AC</t>
  </si>
  <si>
    <t>AD</t>
  </si>
  <si>
    <t>AE</t>
  </si>
  <si>
    <t>LIOa</t>
  </si>
  <si>
    <t>LIOb</t>
  </si>
  <si>
    <t>schaal</t>
  </si>
  <si>
    <t>regel</t>
  </si>
  <si>
    <t>Salarisgegevens</t>
  </si>
  <si>
    <t>norm maandsalaris</t>
  </si>
  <si>
    <t>Werktijdfactor</t>
  </si>
  <si>
    <t>regels</t>
  </si>
  <si>
    <t>P. Werknemer</t>
  </si>
  <si>
    <t>Toelichting</t>
  </si>
  <si>
    <t>Werkblad Tabellen</t>
  </si>
  <si>
    <t>De werkbladen zijn beveiligd met het wachtwoord:</t>
  </si>
  <si>
    <t>vakantieuitkering</t>
  </si>
  <si>
    <t>OP/NP</t>
  </si>
  <si>
    <t>werkgever</t>
  </si>
  <si>
    <t>werknemer</t>
  </si>
  <si>
    <t>Tabel premiepercentages</t>
  </si>
  <si>
    <t>max. bedrag</t>
  </si>
  <si>
    <t>maand</t>
  </si>
  <si>
    <t>UFO</t>
  </si>
  <si>
    <t>premie Vf</t>
  </si>
  <si>
    <t>premie Pf</t>
  </si>
  <si>
    <t>Jaarinkomen ABP</t>
  </si>
  <si>
    <t>per maand</t>
  </si>
  <si>
    <t>per jaar</t>
  </si>
  <si>
    <t>Vervolgens worden de werkgeverslasten berekend.</t>
  </si>
  <si>
    <t>Uitlooptoeslag</t>
  </si>
  <si>
    <t>leraar</t>
  </si>
  <si>
    <t>Werknemer</t>
  </si>
  <si>
    <t>Overige loonkosten</t>
  </si>
  <si>
    <t>Participatiefonds</t>
  </si>
  <si>
    <t>Structurele eindejaarsuitkering</t>
  </si>
  <si>
    <t>eindejaarsuitkering</t>
  </si>
  <si>
    <t>Minimum vakantietoelage, fulltimer</t>
  </si>
  <si>
    <t>meerh sbo DB10</t>
  </si>
  <si>
    <t>meerh sbo DB11</t>
  </si>
  <si>
    <t>meerh sbo DC 13</t>
  </si>
  <si>
    <t>meerh sbo DCuit15</t>
  </si>
  <si>
    <t>meerh bas DA11</t>
  </si>
  <si>
    <t>ID1</t>
  </si>
  <si>
    <t>ID2</t>
  </si>
  <si>
    <t>ID3</t>
  </si>
  <si>
    <t>ZVW</t>
  </si>
  <si>
    <t>Loon voor de loonbelasting</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</si>
  <si>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</si>
  <si>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</si>
  <si>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</si>
  <si>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</si>
  <si>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</si>
  <si>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</si>
  <si>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</si>
  <si>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</si>
  <si>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</si>
  <si>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</si>
  <si>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</si>
  <si>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eindejaarsuitkering OOP</t>
  </si>
  <si>
    <t>Eindejaarsuitkering OOP</t>
  </si>
  <si>
    <t>0,8% levensloop</t>
  </si>
  <si>
    <t>Inkomsten</t>
  </si>
  <si>
    <t>totaal</t>
  </si>
  <si>
    <t>WAO/WIA</t>
  </si>
  <si>
    <t>Dag van de leraar (OP, OOP, Dir)</t>
  </si>
  <si>
    <t>AOP</t>
  </si>
  <si>
    <t>VF: premie verplichte aansluiting</t>
  </si>
  <si>
    <t>VF: premie vrijwillige aansluiting</t>
  </si>
  <si>
    <t>Inzet 0,8% levensloop</t>
  </si>
  <si>
    <t>Toelage directeuren</t>
  </si>
  <si>
    <t>toelage directeuren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</si>
  <si>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</si>
  <si>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</si>
  <si>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</si>
  <si>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</si>
  <si>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Voor nadere informatie:</t>
  </si>
  <si>
    <t>schooljaar</t>
  </si>
  <si>
    <t>Geboortedatum</t>
  </si>
  <si>
    <t>WTF</t>
  </si>
  <si>
    <t xml:space="preserve">ten opzichte van het bruto salaris. Op die wijze kan het als kengetal worden gehanteerd bij de vaststelling van de totale loonkosten </t>
  </si>
  <si>
    <t xml:space="preserve">alle loonlasten enerzijds en de bruto salarissen anderzijds van het laatste school- resp. kalenderjaar. </t>
  </si>
  <si>
    <t>Aangevuld met de laatste ramingen omtrent de ontwikkelingen van de diverse werkgeverslasten zoals premies e.d.</t>
  </si>
  <si>
    <t xml:space="preserve">Echter de pensioenpremies en de premies van het VF/PF wijzigen momenteel vaker, waardoor de berekening dan een </t>
  </si>
  <si>
    <t>(1)</t>
  </si>
  <si>
    <t>(2)</t>
  </si>
  <si>
    <t>(3)</t>
  </si>
  <si>
    <t>(4)</t>
  </si>
  <si>
    <t>Overgangspremie VPL</t>
  </si>
  <si>
    <t>Jaarinkomen</t>
  </si>
  <si>
    <t>besl.regel</t>
  </si>
  <si>
    <t>eindejrs. uitk. OOP</t>
  </si>
  <si>
    <t>eindejrs. uitk.</t>
  </si>
  <si>
    <t>vakantieuitk.</t>
  </si>
  <si>
    <t>datum</t>
  </si>
  <si>
    <t>schaal-uitloop bedr.</t>
  </si>
  <si>
    <t>inschaling</t>
  </si>
  <si>
    <t xml:space="preserve">toelage </t>
  </si>
  <si>
    <t>Loon voor de</t>
  </si>
  <si>
    <t xml:space="preserve"> loonbelasting</t>
  </si>
  <si>
    <t>premie</t>
  </si>
  <si>
    <t xml:space="preserve">kosten </t>
  </si>
  <si>
    <t>levensloop</t>
  </si>
  <si>
    <t xml:space="preserve">Jaarinkomen </t>
  </si>
  <si>
    <t>ABP</t>
  </si>
  <si>
    <t>jaar</t>
  </si>
  <si>
    <t>norm</t>
  </si>
  <si>
    <t xml:space="preserve"> mnd.sal.</t>
  </si>
  <si>
    <t>salarisgegevens</t>
  </si>
  <si>
    <t>uitloop</t>
  </si>
  <si>
    <t>toeslag</t>
  </si>
  <si>
    <t>vakantie</t>
  </si>
  <si>
    <t>uitk.</t>
  </si>
  <si>
    <t xml:space="preserve">eindejrs. </t>
  </si>
  <si>
    <t>uitk. OOP</t>
  </si>
  <si>
    <t xml:space="preserve">uitlooptoesl. </t>
  </si>
  <si>
    <t>ZVW premie werkgever</t>
  </si>
  <si>
    <t xml:space="preserve">ZVW premie </t>
  </si>
  <si>
    <t>Werkblad Werkgeverslasten</t>
  </si>
  <si>
    <t xml:space="preserve">Op grond van het bruto salaris per maand wordt het jaarinkomen berekend. </t>
  </si>
  <si>
    <t>de sociale premies berekend moeten worden.</t>
  </si>
  <si>
    <t xml:space="preserve">Ten opzichte van het jaarinkomen wordt dat in een percentage omgerekend, maar belangrijker: ook in een opslagpercentage </t>
  </si>
  <si>
    <t>helpdesk@poraad.nl</t>
  </si>
  <si>
    <t>De gegevens omtrent de grondslag van uitkeringen e.d. zijn ontleend aan de Internetpublicaties van de Belastingdienst, ABP, UWV en OCW, en</t>
  </si>
  <si>
    <t>FPU (VUT/FPU basis)</t>
  </si>
  <si>
    <t>WAO/WIA-basispremie (AOF, incl. KO)</t>
  </si>
  <si>
    <t>UFO-premie</t>
  </si>
  <si>
    <t>datum nu</t>
  </si>
  <si>
    <t>te geven in de opbouw daarvan. Als zodanig is het een hulpmiddel voor het management bij het ramen van de personele kosten.</t>
  </si>
  <si>
    <t>Doelgroep Eigen RisicoDrager (ERD)</t>
  </si>
  <si>
    <t>ERD WD14</t>
  </si>
  <si>
    <t>ERD WD42</t>
  </si>
  <si>
    <t>ERD SL80</t>
  </si>
  <si>
    <t>ERD SL100</t>
  </si>
  <si>
    <t>Volledig ERD</t>
  </si>
  <si>
    <t>VF: ERD</t>
  </si>
  <si>
    <t>Volledig ERD:</t>
  </si>
  <si>
    <t>ERD WD14:</t>
  </si>
  <si>
    <t>ERD WD42:</t>
  </si>
  <si>
    <t>ERD SL80:</t>
  </si>
  <si>
    <t>ERD SL100:</t>
  </si>
  <si>
    <t xml:space="preserve"> (14 wachtdagen)</t>
  </si>
  <si>
    <t xml:space="preserve"> (42 wachtdagen)</t>
  </si>
  <si>
    <t xml:space="preserve"> (Stop Los 80)</t>
  </si>
  <si>
    <t xml:space="preserve"> (Stop Los 100)</t>
  </si>
  <si>
    <r>
      <t xml:space="preserve">bijgestelde versie van dit instrument vergt. In die gevallen komt er dus een </t>
    </r>
    <r>
      <rPr>
        <b/>
        <sz val="10"/>
        <rFont val="Calibri"/>
        <family val="2"/>
      </rPr>
      <t>bijgestelde versie</t>
    </r>
    <r>
      <rPr>
        <sz val="10"/>
        <rFont val="Calibri"/>
        <family val="2"/>
      </rPr>
      <t>.</t>
    </r>
  </si>
  <si>
    <t xml:space="preserve">Door in werkblad 'wgl' te varieren naar omvang werktijdfactor, per schaal en in een schaal wat betreft de inschaling naar regel van laag naar </t>
  </si>
  <si>
    <t xml:space="preserve">hoog verkrijgt men inzicht in het percentage wat voor die betreffende schaal van toepassing is. Dat is van belang voor het financieel </t>
  </si>
  <si>
    <t xml:space="preserve">voor een werkgever. </t>
  </si>
  <si>
    <t>Bijdrage-inkomen</t>
  </si>
  <si>
    <t>ZVW premie</t>
  </si>
  <si>
    <t>idem</t>
  </si>
  <si>
    <t>meer info</t>
  </si>
  <si>
    <t>BRUTO-NETTO TRAJECT WERKNEMER (indicatief)</t>
  </si>
  <si>
    <t>BASISGEGEVENS</t>
  </si>
  <si>
    <t>L10</t>
  </si>
  <si>
    <t>L11</t>
  </si>
  <si>
    <t>L12</t>
  </si>
  <si>
    <t>L13</t>
  </si>
  <si>
    <t>L14</t>
  </si>
  <si>
    <t>OOP</t>
  </si>
  <si>
    <t>VF: geen aansluiting</t>
  </si>
  <si>
    <t>uitlooptoeslag leraar</t>
  </si>
  <si>
    <t>Eenmalige nominale uitkering wn</t>
  </si>
  <si>
    <t>geb.dat</t>
  </si>
  <si>
    <t>Struct nomi</t>
  </si>
  <si>
    <t>nale uitker.</t>
  </si>
  <si>
    <t>naam</t>
  </si>
  <si>
    <t xml:space="preserve">uitl.toesl. </t>
  </si>
  <si>
    <t xml:space="preserve">eindejaarsuitkering per maand berekend. Het beoogt alleen een indicatie te geven van de omvang van de werkgeverspercentage en enig inzicht </t>
  </si>
  <si>
    <t>management. Op die wijze is het immers mogelijk om redelijk nauwkeurig de totale loonkosten te ramen van een werknemer.</t>
  </si>
  <si>
    <t>basis</t>
  </si>
  <si>
    <t>VUT/FPU</t>
  </si>
  <si>
    <t>Totale loonkosten euro</t>
  </si>
  <si>
    <t>besl. regel</t>
  </si>
  <si>
    <t>toelage direct.</t>
  </si>
  <si>
    <t>FPU basis</t>
  </si>
  <si>
    <t>Totaal pens.</t>
  </si>
  <si>
    <t>Bijdrage-ink.</t>
  </si>
  <si>
    <t xml:space="preserve">ZVW vergoed. </t>
  </si>
  <si>
    <t>premie Participatiefonds (Pf)</t>
  </si>
  <si>
    <t>structurele nominale uitkering (op dag van de leraar)</t>
  </si>
  <si>
    <t>totale loonkosten (excl. overige) t.o.v. kosten gerelateerd aan inkomen werkn.</t>
  </si>
  <si>
    <t>Totaal salaris en overige looncomponenten</t>
  </si>
  <si>
    <t>totaal werkgeverslasten</t>
  </si>
  <si>
    <t>datumnu</t>
  </si>
  <si>
    <t>Premies pensioen- en werknemersverzekeringen</t>
  </si>
  <si>
    <t>totaal overige looncomponenten</t>
  </si>
  <si>
    <t>totale loonkosten t.o.v. salaris en overige looncomponenten</t>
  </si>
  <si>
    <t>A. SALARIS</t>
  </si>
  <si>
    <t>B. OVERIGE LOONCOMPONENTEN</t>
  </si>
  <si>
    <t>C. WERKGEVERSLASTEN</t>
  </si>
  <si>
    <t>Pensioenpremies werknemer</t>
  </si>
  <si>
    <t>minus: Pensioenpremies werknemer</t>
  </si>
  <si>
    <t>bijdrage -inkomen</t>
  </si>
  <si>
    <t xml:space="preserve">loonkn t.o.v. </t>
  </si>
  <si>
    <t>looncompon</t>
  </si>
  <si>
    <t>n</t>
  </si>
  <si>
    <t>sal.en overige</t>
  </si>
  <si>
    <t>bruto-sal</t>
  </si>
  <si>
    <t>alle looncomp</t>
  </si>
  <si>
    <t>wtf*mnd.sal.</t>
  </si>
  <si>
    <t>bruto-salaris</t>
  </si>
  <si>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totaal salaris en overige looncomponenten (B)</t>
    </r>
  </si>
  <si>
    <t>Totaal bruto-salaris (wtf x maandsalaris)</t>
  </si>
  <si>
    <t>Werkblad Werkgeverslasten totaal (wgl tot)</t>
  </si>
  <si>
    <t>Het schaal-uitloopbedrag, de bindingstoelage en de compensatie ziektekosten (inkomenstoelage) zijn nu in de salarisschalen verwerkt.</t>
  </si>
  <si>
    <t xml:space="preserve">Dit heeft tot gevolg dat het Werkgeverspercentage (= totale loonkosten t.o.v. bruto salaris) een forse verlaging ondergaat. </t>
  </si>
  <si>
    <t>Tegelijkertijd constateren we dat de premie van het VF sterk afhankelijk is van de keuze die gemaakt is omtrent het Eigen RisicoDragerschap (ERD).</t>
  </si>
  <si>
    <t xml:space="preserve">Ook zien we dat er in veel gevallen sprake is van eigen beleid bij het toekennen van extra vergoedingen. Denk hierbij aan reis- en verblijfkosten, </t>
  </si>
  <si>
    <t xml:space="preserve">een eventuele parkeervergoeding, EHBO- of telefoontoelage, eigen risico VF: vervangingskosten etc. en vanaf 1 jan. 2015 ook het </t>
  </si>
  <si>
    <t>rechtspositioneel verlof.</t>
  </si>
  <si>
    <t>Dit maakt het niet goed meer mogelijk om te werken met een algemeen geldend percentage voor de werkgeverslasten t.o.v. het salaris.</t>
  </si>
  <si>
    <t xml:space="preserve">Door alle werknemers in te voeren in werkblad 'wgl tot' verkrijgt men wel het juiste percentage WG-lasten voor alle personeelsleden en daarmee </t>
  </si>
  <si>
    <t>ook het percentage WG-lasten dat voor deze werkgever van toepassing is en dus gebruikt moet worden in de meerjarenbegroting.</t>
  </si>
  <si>
    <t>In de instrumenten MJB verwijzen we daarom ook nadrukkelijk naar dit instrument om het juiste percentage vast te stellen.</t>
  </si>
  <si>
    <t>Voor het overige verwijzen we naar de toelichting in het voorgaande werkblad.</t>
  </si>
  <si>
    <t>raming opslagpercentage</t>
  </si>
  <si>
    <t>raming opslagpercentage werkgever</t>
  </si>
  <si>
    <t>Opslag loonkosten t.o.v. bruto-salaris</t>
  </si>
  <si>
    <t>Opslag Werkgeverspercentage: totale loonkosten t.o.v. bruto salaris</t>
  </si>
  <si>
    <t>Dit percentage voor alle werknemers wordt weergegeven in cel O4 van dit werkblad.</t>
  </si>
  <si>
    <t xml:space="preserve">https://www.salarisnet.nl/?s=inkomensafhankelijke+bijdrage+Zorgverzekeringswet+2019 </t>
  </si>
  <si>
    <r>
      <t xml:space="preserve">De keuze van eigen risicodragerschap geldt ook </t>
    </r>
    <r>
      <rPr>
        <sz val="10"/>
        <rFont val="Calibri"/>
        <family val="2"/>
      </rPr>
      <t>voor samenwerkingsverbanden van besturen.</t>
    </r>
  </si>
  <si>
    <t xml:space="preserve">https://www.rijksoverheid.nl/ministeries/ministerie-van-financien/documenten/circulaires/2018/12/18/belangrijkste-wijzigingen-belastingen-2019 </t>
  </si>
  <si>
    <t>Tabel 1 Schijventarief inkomstenbelasting/premie volksverzekeringen 2019</t>
  </si>
  <si>
    <t>kosten ziekte en vervanging</t>
  </si>
  <si>
    <t>(5)</t>
  </si>
  <si>
    <t>(6)</t>
  </si>
  <si>
    <t>(7)</t>
  </si>
  <si>
    <t>(8)</t>
  </si>
  <si>
    <t>VF: ERD WD14</t>
  </si>
  <si>
    <t>VF: ERD WD42</t>
  </si>
  <si>
    <t>VF: ERD SL80</t>
  </si>
  <si>
    <t>VF: ERD SL100</t>
  </si>
  <si>
    <t xml:space="preserve">overige toelagen </t>
  </si>
  <si>
    <t>tegemoetkoming reiskosten</t>
  </si>
  <si>
    <t xml:space="preserve">doorbetaald ouderschapsverlof </t>
  </si>
  <si>
    <t xml:space="preserve">de mogelijkheid EigenRisicoDrager (ERD) te zijn. Daarbij gelden enkele varianten: </t>
  </si>
  <si>
    <t>Bij het VF geldt naast de de mogelijkheid om verzekerd te zijn voor vervangingskosten bij ziekte tegen een premie van 6,25%,</t>
  </si>
  <si>
    <t xml:space="preserve">Dergelijke componenten zijn in dit model niet geautomatiseerd opgenomen omdat ze sterk afhankelijk zijn van individuele situaties van werknemers. </t>
  </si>
  <si>
    <t xml:space="preserve">kosten vervanging eigen beleid  </t>
  </si>
  <si>
    <t xml:space="preserve">kosten vervanging verlof </t>
  </si>
  <si>
    <t>overig eigen beleid</t>
  </si>
  <si>
    <t>Alleen de witte velden kunnen worden gewijzigd, en bevatten de op te geven variabelen voor de berekeningen.</t>
  </si>
  <si>
    <t xml:space="preserve">D. EIGEN BELEID </t>
  </si>
  <si>
    <t xml:space="preserve">totaal eigen beleid </t>
  </si>
  <si>
    <t>vervanging eigen beleid</t>
  </si>
  <si>
    <t>kosten eigen beleid</t>
  </si>
  <si>
    <t>Werkwijze</t>
  </si>
  <si>
    <t>Brongegevens</t>
  </si>
  <si>
    <t>Opbouw WAO/ WIA</t>
  </si>
  <si>
    <t xml:space="preserve">Kosten ziekte en vervanging </t>
  </si>
  <si>
    <t>Ontheffing: WPO artikel 183, lid 3</t>
  </si>
  <si>
    <t xml:space="preserve">Het jaarinkomen ABP wordt bepaald op basis van de situatie in januari van het betreffende jaar. Incidentele toekenningen in het voorafgaande jaar </t>
  </si>
  <si>
    <t>E. Totale loonkosten</t>
  </si>
  <si>
    <r>
      <rPr>
        <i/>
        <u/>
        <sz val="10"/>
        <rFont val="Calibri"/>
        <family val="2"/>
      </rPr>
      <t>Van</t>
    </r>
    <r>
      <rPr>
        <i/>
        <sz val="10"/>
        <rFont val="Calibri"/>
        <family val="2"/>
      </rPr>
      <t xml:space="preserve"> salaris en overige looncomponenten (A+B), </t>
    </r>
    <r>
      <rPr>
        <i/>
        <u/>
        <sz val="10"/>
        <rFont val="Calibri"/>
        <family val="2"/>
      </rPr>
      <t>naar</t>
    </r>
    <r>
      <rPr>
        <i/>
        <sz val="10"/>
        <rFont val="Calibri"/>
        <family val="2"/>
      </rPr>
      <t xml:space="preserve"> totale loonkosten (D)</t>
    </r>
  </si>
  <si>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totale loonkosten (E)</t>
    </r>
  </si>
  <si>
    <t>premie Vervangingsfonds (Vf)</t>
  </si>
  <si>
    <t>Kalenderjaar</t>
  </si>
  <si>
    <t xml:space="preserve">Dit werkblad heeft niet de pretentie een exacte salarisberekening te maken! Zo wordt ook de vakantieuitkering en de </t>
  </si>
  <si>
    <t>Het wordt aangeraden om zelf een berekening van de werkgeverspercentages te maken op basis van de verhouding tussen</t>
  </si>
  <si>
    <t>In het werkblad Werkgeverslasten/ werkgeverslasten totaal  kunt u een keuze maken in de bepaling van de premie VF.</t>
  </si>
  <si>
    <t>Belastingen 2019</t>
  </si>
  <si>
    <t>Tarieven, bedragen en percentages vanaf 1 januari 2019</t>
  </si>
  <si>
    <t xml:space="preserve">Er kan in dit werkgeverslastenoverzicht rekening gehouden worden met overige </t>
  </si>
  <si>
    <t xml:space="preserve">kosten die niet geautomatiseerd zijn opgenomen omdat ze per individu sterk </t>
  </si>
  <si>
    <t>kunnen verschillen. Denk hierbij aan:</t>
  </si>
  <si>
    <t xml:space="preserve">verwerken in dit overzicht. U kunt deze kosten ook weglaten in dit overzicht en een </t>
  </si>
  <si>
    <t xml:space="preserve">extra toelichting kosten ziekte en vervanging: </t>
  </si>
  <si>
    <t>extra toelichting Eigen Beleid:</t>
  </si>
  <si>
    <t xml:space="preserve"> *  Tegemoetkoming reiskosten woon-werkverkeer (cao 13.1) </t>
  </si>
  <si>
    <t xml:space="preserve"> * kosten voor professionalisering (cao 9.7 t/m 9.11) </t>
  </si>
  <si>
    <t xml:space="preserve"> * kosten voor doorbetaald ouderschapsverlof (cao 8.21)</t>
  </si>
  <si>
    <t xml:space="preserve"> * overig eigen beleid (reis- en verblijfkosten, parkeervergoeding e.d.)</t>
  </si>
  <si>
    <t xml:space="preserve"> *  kosten vervanging verlof: kosten voor o.a. vervanging levensfasebewust </t>
  </si>
  <si>
    <r>
      <t>1</t>
    </r>
    <r>
      <rPr>
        <i/>
        <sz val="11"/>
        <rFont val="Calibri"/>
        <family val="2"/>
      </rPr>
      <t xml:space="preserve">NB: U kunt ervoor kiezen de kosten voor vervanging (bij ziekte en/of verlof) te </t>
    </r>
  </si>
  <si>
    <t xml:space="preserve">fictief extra personeelslid opnemen met de omvang van de vervanging onder </t>
  </si>
  <si>
    <t>tabblad 'wgl tot'.</t>
  </si>
  <si>
    <t xml:space="preserve"> - Bij het VF geldt de mogelijkheid om Eigen Risico Drager (ERD) te zijn middels </t>
  </si>
  <si>
    <t xml:space="preserve">Voor overige varianten, zie de toelichting. </t>
  </si>
  <si>
    <t xml:space="preserve"> - Een bestuur dat voor het VF eigenrisicodrager is, kan een schatting van de eigen </t>
  </si>
  <si>
    <t>kosten voor vervanging  opvoeren bij "kosten vervanging eigen beleid[1]”.</t>
  </si>
  <si>
    <t xml:space="preserve"> * Overige toelagen (jubileumgratificaties (cao 12.8), incidentele beloning, </t>
  </si>
  <si>
    <t xml:space="preserve">     ehbo toelage </t>
  </si>
  <si>
    <t>werkgeverslasten t.o.v. salaris en overige looncomponenten</t>
  </si>
  <si>
    <t>excl overige werkgeverslasten</t>
  </si>
  <si>
    <t xml:space="preserve">    personeelsbeleid (cao 8A.4 t/m 8A.8). </t>
  </si>
  <si>
    <t xml:space="preserve">eenmalige </t>
  </si>
  <si>
    <t>nomin. uitk.</t>
  </si>
  <si>
    <t xml:space="preserve">Een uitvoerige beschrijving van de inhoud van de betreffende tabbladen vindt u verderop in dit werklad. </t>
  </si>
  <si>
    <r>
      <t xml:space="preserve">Omdat de premies aangepast zijn per 1 januari hebben de berekeningen Werkgeverslasten betrekking op het </t>
    </r>
    <r>
      <rPr>
        <b/>
        <sz val="10"/>
        <rFont val="Calibri"/>
        <family val="2"/>
      </rPr>
      <t>kalenderjaar</t>
    </r>
    <r>
      <rPr>
        <sz val="10"/>
        <rFont val="Calibri"/>
        <family val="2"/>
      </rPr>
      <t>.</t>
    </r>
  </si>
  <si>
    <t>Deze zijn nader aangegeven en voor zover nodig nader toegelicht in  het tekstvak in het werkblad werkgeverszaken</t>
  </si>
  <si>
    <t>In het tabblad werkgeverslasten (wgl) kunt u op individueel werknemersniveau de werkgeverslasten berekenen, en het bijbehorende werkgevers-</t>
  </si>
  <si>
    <t xml:space="preserve">percentage. In het tabblad werkgeverslasten totaal (wgl tot), kunt u ten behoeve van een (meerjaren)begroting uw complete formatie invoeren.  </t>
  </si>
  <si>
    <t xml:space="preserve">De opsomming kan u echter helpen bij het zo volledig mogelijk maken van de werkgeverslasten behorende bij een individuele werknemer </t>
  </si>
  <si>
    <t xml:space="preserve">voor begrotingsdoeleinden. </t>
  </si>
  <si>
    <t>Werkgeverslasten PO vs 14aug2019</t>
  </si>
  <si>
    <t xml:space="preserve"> - het minimumloon is per 1 juli 2019 aangepast.</t>
  </si>
  <si>
    <t xml:space="preserve"> vanaf 1 januari</t>
  </si>
  <si>
    <t>2019/2020</t>
  </si>
  <si>
    <t>https://www.vfpf.nl/actueel/de-premies-voor-2020-zijn-bekend</t>
  </si>
  <si>
    <r>
      <t>De premie van het PF per 1-1-2020 is 4</t>
    </r>
    <r>
      <rPr>
        <b/>
        <sz val="10"/>
        <rFont val="Calibri"/>
        <family val="2"/>
      </rPr>
      <t>,20%.</t>
    </r>
  </si>
  <si>
    <t>A10</t>
  </si>
  <si>
    <t>A11</t>
  </si>
  <si>
    <t>A12</t>
  </si>
  <si>
    <t>A13</t>
  </si>
  <si>
    <t>Participatiebaan</t>
  </si>
  <si>
    <t>Uitkering wn maandloon januari</t>
  </si>
  <si>
    <t>directeur</t>
  </si>
  <si>
    <t>uitkering</t>
  </si>
  <si>
    <t>wn 33% jan.</t>
  </si>
  <si>
    <t xml:space="preserve">De salaristabellen zijn de tabellen van de cao po 2019/2020 die tot 1 -11-2020 gelden. </t>
  </si>
  <si>
    <t>D11</t>
  </si>
  <si>
    <t>D12</t>
  </si>
  <si>
    <t>D13</t>
  </si>
  <si>
    <t>D14</t>
  </si>
  <si>
    <t>D15</t>
  </si>
  <si>
    <t xml:space="preserve">diverse varianten. Volledige (vrijwillige/verplichte) kent een premie van 6,20%. </t>
  </si>
  <si>
    <t xml:space="preserve"> - De pensioenpremies zijn aangepast per 1 januari 2020. Een wijziging van de </t>
  </si>
  <si>
    <t xml:space="preserve">   pensioenpremies in de marktsector is via de referentiesystematiek 2019 </t>
  </si>
  <si>
    <t xml:space="preserve">  meegenomen in de indexering van de personele bekostiging. Deze indexering is </t>
  </si>
  <si>
    <t xml:space="preserve">  in oktober 2019 door OCW gepubliceerd en in de bekostiging verwerkt.</t>
  </si>
  <si>
    <t>regelnummer klopt niet</t>
  </si>
  <si>
    <t>Nominale uitkering febr. 2020</t>
  </si>
  <si>
    <t>Uitkering februari 2020: 33% salaris januari '20</t>
  </si>
  <si>
    <t>AOW-datum</t>
  </si>
  <si>
    <t>max in 2020:</t>
  </si>
  <si>
    <t xml:space="preserve"> - De cao po 19-20 is nu verwerkt.</t>
  </si>
  <si>
    <t>nee</t>
  </si>
  <si>
    <t>https://www.uwv.nl/werkgevers/bedragen-en-premies/detail/basispremie-wao-wia</t>
  </si>
  <si>
    <t>https://zoek.officielebekendmakingen.nl/stcrt-2019-62011.html</t>
  </si>
  <si>
    <t>Premie Alg. Werkloosheidsfonds</t>
  </si>
  <si>
    <t>https://www.abp.nl/images/Premietabel_2020_2.pdf</t>
  </si>
  <si>
    <t xml:space="preserve">worden ook meegenomen in de grondslag van het daarop volgende jaar in januari. </t>
  </si>
  <si>
    <t>Onderdeel van de WAO/ WIA is de basispremie arbeidsongeschiktheidsfonds en de opslag tot dekking kinderopvangtoeslag.</t>
  </si>
  <si>
    <t>In dit instrument wordt alleen de lage premie gehanteerd.</t>
  </si>
  <si>
    <t>In de cao 2018-2019 en de cao po 2019-2020 zijn belangrijke veranderingen doorgevoerd doordat tal van toelagen nu ondergebracht zijn in de salarisschalen.</t>
  </si>
  <si>
    <r>
      <t xml:space="preserve">Dit werkblad bevat relevante tabellen, conform de gegevens zoals die vanaf </t>
    </r>
    <r>
      <rPr>
        <b/>
        <sz val="10"/>
        <color rgb="FFFF0000"/>
        <rFont val="Calibri"/>
        <family val="2"/>
      </rPr>
      <t xml:space="preserve">1 januari 2020 </t>
    </r>
    <r>
      <rPr>
        <sz val="10"/>
        <rFont val="Calibri"/>
        <family val="2"/>
      </rPr>
      <t>gelden.</t>
    </r>
  </si>
  <si>
    <t xml:space="preserve"> - de premies zijn bijgesteld naar de waarden per 1 januari 2020.</t>
  </si>
  <si>
    <t>De compensatie ziektekosten (inkomenstoelage, 6.14a cao PO) voor het OOP is in de salarisschalen verwerkt.</t>
  </si>
  <si>
    <t>de CAO PO 2019-2020. De algemene premies zijn van toepassing vanaf 1 januari 2020.</t>
  </si>
  <si>
    <t>De uitkeringen in februari 2020 zorgen voor een extra verhoging (ongeveer 4,5%-punt)van de WG-lasten die dus alleen geldt voor 2020.</t>
  </si>
  <si>
    <t xml:space="preserve">De premie bestaat uit de lage premie (2,94%) , geldend voor werknemers met een schriftelijk vast contract voor onbepaalde tijd, </t>
  </si>
  <si>
    <t xml:space="preserve">niet zijnde oproep overeenkomsten ed. en uit de hoge premie (7,94%) geldend voor overige overeenkomsten. </t>
  </si>
  <si>
    <t>Voor het maken van meerjarenformatiebeleid in relatie tot een meerjarenbegroting is deze informatie van groot belang.</t>
  </si>
  <si>
    <t>Aanpassing vs 14 januari 2020:</t>
  </si>
  <si>
    <t>Aanpassing vs 21 januari 2020:</t>
  </si>
  <si>
    <t xml:space="preserve"> - De 33% uitkering werd in werkblad wgl en in werkblad wgl tot twee keer met de werktijdfactot vermenigvuldigd. Dat is nu gecorrigeerd.</t>
  </si>
  <si>
    <t>Werkhervattingskas: ZW-flex en WGA vast</t>
  </si>
  <si>
    <t>Whk: WGA vast en ZW-flex</t>
  </si>
  <si>
    <t xml:space="preserve">https://zoek.officielebekendmakingen.nl/stcrt-2019-48560.html </t>
  </si>
  <si>
    <t>(incl. Whk)</t>
  </si>
  <si>
    <t>Aanpassing vs 5 februari 2020:</t>
  </si>
  <si>
    <t>WAO/WIA (incl. Whk)</t>
  </si>
  <si>
    <t xml:space="preserve"> - De Whk premie bedraagt 1,20% voor de WGA vast en de WZ flex (kleine werkgever). De ww-premie van de WAB is voor het onderwijs niet van toepassing.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</si>
</sst>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_-&quot;fl&quot;\ * #,##0.00_-;_-&quot;fl&quot;\ * #,##0.00\-;_-&quot;fl&quot;\ * &quot;-&quot;??_-;_-@_-"/>
    <numFmt numFmtId="166" formatCode="0.0000"/>
    <numFmt numFmtId="167" formatCode="0.000%"/>
    <numFmt numFmtId="168" formatCode="0.0%"/>
    <numFmt numFmtId="169" formatCode="_-&quot;€&quot;\ * #,##0_-;_-&quot;€&quot;\ * #,##0\-;_-&quot;€&quot;\ * &quot;-&quot;??_-;_-@_-"/>
    <numFmt numFmtId="170" formatCode="0_ ;\-0\ "/>
    <numFmt numFmtId="171" formatCode="_ [$€-413]\ * #,##0.00_ ;_ [$€-413]\ * \-#,##0.00_ ;_ [$€-413]\ * &quot;-&quot;??_ ;_ @_ "/>
    <numFmt numFmtId="172" formatCode="d\ mmmm\ yyyy"/>
    <numFmt numFmtId="173" formatCode="_ &quot;€&quot;\ * #,##0_ ;_ &quot;€&quot;\ * \-#,##0_ ;_ &quot;€&quot;\ * &quot;-&quot;??_ ;_ @_ "/>
    <numFmt numFmtId="174" formatCode="0.0"/>
    <numFmt numFmtId="175" formatCode="0.000"/>
    <numFmt numFmtId="176" formatCode="#,##0_ ;\-#,##0\ "/>
    <numFmt numFmtId="177" formatCode="[$-413]d\ mmmm\ yyyy;@"/>
  </numFmts>
  <fonts count="103" x14ac:knownFonts="1">
    <font>
      <sz val="10"/>
      <name val="Arial"/>
    </font>
    <font>
      <sz val="10"/>
      <name val="Arial"/>
      <family val="2"/>
    </font>
    <font>
      <u/>
      <sz val="10"/>
      <color indexed="12"/>
      <name val="Arial"/>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b/>
      <sz val="11"/>
      <name val="Calibri"/>
      <family val="2"/>
    </font>
    <font>
      <b/>
      <sz val="12"/>
      <color indexed="9"/>
      <name val="Calibri"/>
      <family val="2"/>
    </font>
    <font>
      <sz val="10"/>
      <name val="Calibri"/>
      <family val="2"/>
    </font>
    <font>
      <b/>
      <sz val="10"/>
      <name val="Calibri"/>
      <family val="2"/>
    </font>
    <font>
      <i/>
      <sz val="12"/>
      <name val="Calibri"/>
      <family val="2"/>
    </font>
    <font>
      <b/>
      <sz val="10"/>
      <color indexed="10"/>
      <name val="Calibri"/>
      <family val="2"/>
    </font>
    <font>
      <sz val="10"/>
      <color indexed="10"/>
      <name val="Calibri"/>
      <family val="2"/>
    </font>
    <font>
      <i/>
      <sz val="10"/>
      <name val="Calibri"/>
      <family val="2"/>
    </font>
    <font>
      <u/>
      <sz val="10"/>
      <color indexed="12"/>
      <name val="Calibri"/>
      <family val="2"/>
    </font>
    <font>
      <sz val="10"/>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sz val="10"/>
      <color indexed="22"/>
      <name val="Calibri"/>
      <family val="2"/>
    </font>
    <font>
      <i/>
      <sz val="10"/>
      <color indexed="22"/>
      <name val="Calibri"/>
      <family val="2"/>
    </font>
    <font>
      <sz val="14"/>
      <name val="Calibri"/>
      <family val="2"/>
    </font>
    <font>
      <i/>
      <sz val="14"/>
      <name val="Calibri"/>
      <family val="2"/>
    </font>
    <font>
      <sz val="14"/>
      <color indexed="10"/>
      <name val="Calibri"/>
      <family val="2"/>
    </font>
    <font>
      <sz val="12"/>
      <name val="Calibri"/>
      <family val="2"/>
    </font>
    <font>
      <sz val="14"/>
      <color indexed="6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i/>
      <sz val="10"/>
      <color theme="0" tint="-0.249977111117893"/>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sz val="10"/>
      <color theme="0" tint="-0.249977111117893"/>
      <name val="Calibri"/>
      <family val="2"/>
    </font>
    <font>
      <sz val="10"/>
      <color rgb="FF2B2B2B"/>
      <name val="Calibri"/>
      <family val="2"/>
      <scheme val="minor"/>
    </font>
    <font>
      <b/>
      <sz val="10"/>
      <name val="Calibri"/>
      <family val="2"/>
      <scheme val="minor"/>
    </font>
    <font>
      <sz val="10"/>
      <color indexed="55"/>
      <name val="Calibri"/>
      <family val="2"/>
      <scheme val="minor"/>
    </font>
    <font>
      <b/>
      <sz val="10"/>
      <color indexed="10"/>
      <name val="Calibri"/>
      <family val="2"/>
      <scheme val="minor"/>
    </font>
    <font>
      <sz val="10"/>
      <color theme="0" tint="-0.14999847407452621"/>
      <name val="Calibri"/>
      <family val="2"/>
      <scheme val="minor"/>
    </font>
    <font>
      <sz val="11"/>
      <color theme="0" tint="-0.249977111117893"/>
      <name val="Calibri"/>
      <family val="2"/>
    </font>
    <font>
      <b/>
      <sz val="10"/>
      <color rgb="FFC00000"/>
      <name val="Calibri"/>
      <family val="2"/>
    </font>
    <font>
      <b/>
      <sz val="10"/>
      <color indexed="8"/>
      <name val="Calibri"/>
      <family val="2"/>
    </font>
    <font>
      <sz val="10"/>
      <color rgb="FFFF0000"/>
      <name val="Calibri"/>
      <family val="2"/>
    </font>
    <font>
      <sz val="10"/>
      <color rgb="FFFF0000"/>
      <name val="Calibri"/>
      <family val="2"/>
      <scheme val="minor"/>
    </font>
    <font>
      <b/>
      <sz val="9"/>
      <name val="Calibri"/>
      <family val="2"/>
    </font>
    <font>
      <sz val="9"/>
      <name val="Calibri"/>
      <family val="2"/>
    </font>
    <font>
      <i/>
      <sz val="9"/>
      <name val="Calibri"/>
      <family val="2"/>
    </font>
    <font>
      <i/>
      <sz val="10"/>
      <name val="Calibri"/>
      <family val="2"/>
      <scheme val="minor"/>
    </font>
    <font>
      <sz val="10"/>
      <color theme="1" tint="0.499984740745262"/>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sz val="9"/>
      <name val="Calibri"/>
      <family val="2"/>
      <scheme val="minor"/>
    </font>
    <font>
      <sz val="9"/>
      <color indexed="8"/>
      <name val="Calibri"/>
      <family val="2"/>
      <scheme val="minor"/>
    </font>
    <font>
      <sz val="9"/>
      <color indexed="8"/>
      <name val="Calibri"/>
      <family val="2"/>
    </font>
    <font>
      <i/>
      <sz val="9"/>
      <color theme="1" tint="0.34998626667073579"/>
      <name val="Calibri"/>
      <family val="2"/>
    </font>
    <font>
      <i/>
      <sz val="10"/>
      <color theme="0" tint="-4.9989318521683403E-2"/>
      <name val="Calibri"/>
      <family val="2"/>
    </font>
    <font>
      <sz val="10"/>
      <color theme="0" tint="-4.9989318521683403E-2"/>
      <name val="Calibri"/>
      <family val="2"/>
    </font>
    <font>
      <b/>
      <sz val="10"/>
      <color theme="0" tint="-4.9989318521683403E-2"/>
      <name val="Calibri"/>
      <family val="2"/>
    </font>
    <font>
      <sz val="10"/>
      <color rgb="FF7030A0"/>
      <name val="Calibri"/>
      <family val="2"/>
    </font>
    <font>
      <b/>
      <i/>
      <sz val="10"/>
      <color theme="0" tint="-4.9989318521683403E-2"/>
      <name val="Calibri"/>
      <family val="2"/>
    </font>
    <font>
      <i/>
      <u/>
      <sz val="10"/>
      <name val="Calibri"/>
      <family val="2"/>
    </font>
    <font>
      <b/>
      <i/>
      <sz val="9"/>
      <name val="Calibri"/>
      <family val="2"/>
    </font>
    <font>
      <i/>
      <sz val="10"/>
      <color indexed="10"/>
      <name val="Calibri"/>
      <family val="2"/>
    </font>
    <font>
      <i/>
      <sz val="14"/>
      <color indexed="10"/>
      <name val="Calibri"/>
      <family val="2"/>
    </font>
    <font>
      <i/>
      <sz val="9"/>
      <color indexed="10"/>
      <name val="Calibri"/>
      <family val="2"/>
    </font>
    <font>
      <i/>
      <sz val="9"/>
      <color indexed="8"/>
      <name val="Calibri"/>
      <family val="2"/>
      <scheme val="minor"/>
    </font>
    <font>
      <i/>
      <sz val="9"/>
      <color indexed="8"/>
      <name val="Calibri"/>
      <family val="2"/>
    </font>
    <font>
      <b/>
      <sz val="14"/>
      <color rgb="FFC00000"/>
      <name val="Calibri"/>
      <family val="2"/>
    </font>
    <font>
      <b/>
      <sz val="10"/>
      <color rgb="FFFF0000"/>
      <name val="Calibri"/>
      <family val="2"/>
      <scheme val="minor"/>
    </font>
    <font>
      <b/>
      <sz val="9"/>
      <color indexed="81"/>
      <name val="Tahoma"/>
      <family val="2"/>
    </font>
    <font>
      <b/>
      <i/>
      <sz val="11"/>
      <name val="Calibri"/>
      <family val="2"/>
    </font>
    <font>
      <i/>
      <sz val="11"/>
      <name val="Calibri"/>
      <family val="2"/>
    </font>
    <font>
      <i/>
      <vertAlign val="superscript"/>
      <sz val="11"/>
      <name val="Calibri"/>
      <family val="2"/>
    </font>
    <font>
      <i/>
      <sz val="10"/>
      <name val="Arial"/>
      <family val="2"/>
    </font>
    <font>
      <b/>
      <sz val="12"/>
      <color indexed="8"/>
      <name val="Calibri"/>
      <family val="2"/>
    </font>
    <font>
      <sz val="11"/>
      <color indexed="8"/>
      <name val="Calibri"/>
      <family val="2"/>
    </font>
    <font>
      <sz val="10"/>
      <color theme="0" tint="-0.249977111117893"/>
      <name val="Calibri"/>
      <family val="2"/>
      <scheme val="minor"/>
    </font>
    <font>
      <i/>
      <sz val="10"/>
      <color rgb="FFFF0000"/>
      <name val="Calibri"/>
      <family val="2"/>
    </font>
    <font>
      <b/>
      <sz val="12"/>
      <name val="Calibri"/>
      <family val="2"/>
    </font>
    <font>
      <b/>
      <sz val="12"/>
      <color rgb="FFC00000"/>
      <name val="Calibri"/>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double">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right/>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434">
    <xf numFmtId="0" fontId="0" fillId="0" borderId="0" xfId="0"/>
    <xf numFmtId="0" fontId="19" fillId="2" borderId="0" xfId="0" applyFont="1" applyFill="1" applyAlignment="1">
      <alignment horizontal="left"/>
    </xf>
    <xf numFmtId="0" fontId="20" fillId="3" borderId="0" xfId="0" applyFont="1" applyFill="1" applyAlignment="1">
      <alignment horizontal="center"/>
    </xf>
    <xf numFmtId="0" fontId="19" fillId="2" borderId="0" xfId="0" applyFont="1" applyFill="1" applyAlignment="1">
      <alignment horizontal="center"/>
    </xf>
    <xf numFmtId="0" fontId="19" fillId="2" borderId="4" xfId="0" applyFont="1" applyFill="1" applyBorder="1" applyAlignment="1">
      <alignment horizontal="center"/>
    </xf>
    <xf numFmtId="0" fontId="19" fillId="2" borderId="5" xfId="0" applyFont="1" applyFill="1" applyBorder="1" applyAlignment="1">
      <alignment horizontal="center"/>
    </xf>
    <xf numFmtId="0" fontId="19" fillId="2" borderId="5" xfId="0" applyFont="1" applyFill="1" applyBorder="1" applyAlignment="1">
      <alignment horizontal="left"/>
    </xf>
    <xf numFmtId="0" fontId="19" fillId="2" borderId="6" xfId="0" applyFont="1" applyFill="1" applyBorder="1" applyAlignment="1">
      <alignment horizontal="center"/>
    </xf>
    <xf numFmtId="0" fontId="20" fillId="2" borderId="5" xfId="0" applyFont="1" applyFill="1" applyBorder="1" applyAlignment="1">
      <alignment horizontal="center"/>
    </xf>
    <xf numFmtId="0" fontId="19" fillId="3" borderId="0" xfId="0" applyFont="1" applyFill="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20" fillId="2" borderId="0" xfId="0" applyFont="1" applyFill="1" applyAlignment="1">
      <alignment horizontal="center"/>
    </xf>
    <xf numFmtId="0" fontId="28" fillId="2" borderId="7" xfId="0" applyFont="1" applyFill="1" applyBorder="1" applyAlignment="1">
      <alignment horizontal="center"/>
    </xf>
    <xf numFmtId="0" fontId="28" fillId="2" borderId="0" xfId="0" applyFont="1" applyFill="1" applyAlignment="1">
      <alignment horizontal="left"/>
    </xf>
    <xf numFmtId="0" fontId="28" fillId="2" borderId="0" xfId="0" applyFont="1" applyFill="1" applyAlignment="1">
      <alignment horizontal="center"/>
    </xf>
    <xf numFmtId="0" fontId="28" fillId="2" borderId="8" xfId="0" applyFont="1" applyFill="1" applyBorder="1" applyAlignment="1">
      <alignment horizontal="center"/>
    </xf>
    <xf numFmtId="0" fontId="29" fillId="2" borderId="0" xfId="0" applyFont="1" applyFill="1" applyAlignment="1">
      <alignment horizontal="center"/>
    </xf>
    <xf numFmtId="0" fontId="30" fillId="2" borderId="0" xfId="0" applyFont="1" applyFill="1" applyAlignment="1">
      <alignment horizontal="center"/>
    </xf>
    <xf numFmtId="0" fontId="28" fillId="3" borderId="0" xfId="0" applyFont="1" applyFill="1" applyAlignment="1">
      <alignment horizontal="center"/>
    </xf>
    <xf numFmtId="0" fontId="19" fillId="3" borderId="0" xfId="0" applyFont="1" applyFill="1" applyAlignment="1">
      <alignment horizontal="left"/>
    </xf>
    <xf numFmtId="0" fontId="34" fillId="2" borderId="0" xfId="0" applyFont="1" applyFill="1" applyAlignment="1">
      <alignment horizontal="left"/>
    </xf>
    <xf numFmtId="0" fontId="7" fillId="5" borderId="0" xfId="0" applyFont="1" applyFill="1"/>
    <xf numFmtId="0" fontId="9" fillId="5" borderId="0" xfId="0" applyFont="1" applyFill="1"/>
    <xf numFmtId="0" fontId="7" fillId="2" borderId="0" xfId="0" applyFont="1" applyFill="1" applyAlignment="1">
      <alignment horizontal="center"/>
    </xf>
    <xf numFmtId="0" fontId="35" fillId="2" borderId="5" xfId="0" applyFont="1" applyFill="1" applyBorder="1" applyAlignment="1">
      <alignment horizontal="center"/>
    </xf>
    <xf numFmtId="0" fontId="35" fillId="2" borderId="0" xfId="0" applyFont="1" applyFill="1" applyAlignment="1">
      <alignment horizontal="center"/>
    </xf>
    <xf numFmtId="0" fontId="36" fillId="2" borderId="0" xfId="0" applyFont="1" applyFill="1" applyAlignment="1">
      <alignment horizontal="center"/>
    </xf>
    <xf numFmtId="0" fontId="35" fillId="3" borderId="0" xfId="0" applyFont="1" applyFill="1" applyAlignment="1">
      <alignment horizontal="center"/>
    </xf>
    <xf numFmtId="0" fontId="8" fillId="5" borderId="0" xfId="0" applyFont="1" applyFill="1"/>
    <xf numFmtId="0" fontId="19" fillId="7" borderId="0" xfId="0" applyFont="1" applyFill="1" applyAlignment="1">
      <alignment horizontal="center"/>
    </xf>
    <xf numFmtId="0" fontId="28" fillId="7" borderId="0" xfId="0" applyFont="1" applyFill="1" applyAlignment="1">
      <alignment horizontal="center"/>
    </xf>
    <xf numFmtId="0" fontId="26" fillId="7" borderId="0" xfId="0" applyFont="1" applyFill="1" applyAlignment="1">
      <alignment horizontal="center"/>
    </xf>
    <xf numFmtId="0" fontId="19" fillId="7" borderId="0" xfId="0" applyFont="1" applyFill="1" applyAlignment="1">
      <alignment horizontal="left"/>
    </xf>
    <xf numFmtId="0" fontId="20" fillId="7" borderId="0" xfId="0" applyFont="1" applyFill="1" applyAlignment="1">
      <alignment horizontal="center"/>
    </xf>
    <xf numFmtId="0" fontId="35" fillId="7" borderId="0" xfId="0" applyFont="1" applyFill="1" applyAlignment="1">
      <alignment horizontal="center"/>
    </xf>
    <xf numFmtId="0" fontId="47" fillId="7" borderId="0" xfId="0" applyFont="1" applyFill="1" applyAlignment="1">
      <alignment horizontal="center"/>
    </xf>
    <xf numFmtId="0" fontId="47" fillId="7" borderId="0" xfId="0" applyFont="1" applyFill="1"/>
    <xf numFmtId="0" fontId="50" fillId="7" borderId="0" xfId="0" applyFont="1" applyFill="1" applyAlignment="1">
      <alignment horizontal="center"/>
    </xf>
    <xf numFmtId="0" fontId="50" fillId="7" borderId="0" xfId="0" applyFont="1" applyFill="1"/>
    <xf numFmtId="0" fontId="26" fillId="7" borderId="0" xfId="0" applyFont="1" applyFill="1" applyAlignment="1">
      <alignment horizontal="left"/>
    </xf>
    <xf numFmtId="0" fontId="27" fillId="7" borderId="0" xfId="0" applyFont="1" applyFill="1" applyAlignment="1">
      <alignment horizontal="center"/>
    </xf>
    <xf numFmtId="0" fontId="7" fillId="3" borderId="0" xfId="0" applyFont="1" applyFill="1" applyAlignment="1">
      <alignment horizontal="center"/>
    </xf>
    <xf numFmtId="0" fontId="2" fillId="0" borderId="0" xfId="1" applyAlignment="1" applyProtection="1">
      <alignment horizontal="left"/>
    </xf>
    <xf numFmtId="0" fontId="54" fillId="0" borderId="0" xfId="0" applyFont="1" applyAlignment="1">
      <alignment horizontal="left"/>
    </xf>
    <xf numFmtId="0" fontId="37" fillId="0" borderId="0" xfId="0" applyFont="1" applyAlignment="1">
      <alignment horizontal="left"/>
    </xf>
    <xf numFmtId="0" fontId="39" fillId="0" borderId="0" xfId="0" applyFont="1" applyAlignment="1">
      <alignment horizontal="left"/>
    </xf>
    <xf numFmtId="0" fontId="37" fillId="8" borderId="0" xfId="0" applyFont="1" applyFill="1" applyAlignment="1">
      <alignment horizontal="left"/>
    </xf>
    <xf numFmtId="4" fontId="37" fillId="0" borderId="0" xfId="0" applyNumberFormat="1" applyFont="1" applyAlignment="1">
      <alignment horizontal="left"/>
    </xf>
    <xf numFmtId="0" fontId="40" fillId="0" borderId="0" xfId="1" applyFont="1" applyAlignment="1" applyProtection="1">
      <alignment horizontal="left"/>
    </xf>
    <xf numFmtId="3" fontId="37" fillId="0" borderId="0" xfId="0" applyNumberFormat="1" applyFont="1" applyAlignment="1">
      <alignment horizontal="left"/>
    </xf>
    <xf numFmtId="0" fontId="37" fillId="11" borderId="0" xfId="0" applyFont="1" applyFill="1" applyAlignment="1">
      <alignment horizontal="left"/>
    </xf>
    <xf numFmtId="9" fontId="37" fillId="0" borderId="0" xfId="0" applyNumberFormat="1" applyFont="1" applyAlignment="1">
      <alignment horizontal="left"/>
    </xf>
    <xf numFmtId="10" fontId="37" fillId="0" borderId="0" xfId="0" applyNumberFormat="1" applyFont="1" applyAlignment="1">
      <alignment horizontal="left"/>
    </xf>
    <xf numFmtId="0" fontId="37" fillId="12" borderId="0" xfId="0" applyFont="1" applyFill="1" applyAlignment="1">
      <alignment horizontal="left"/>
    </xf>
    <xf numFmtId="49" fontId="37" fillId="0" borderId="0" xfId="0" applyNumberFormat="1" applyFont="1" applyAlignment="1">
      <alignment horizontal="center"/>
    </xf>
    <xf numFmtId="3" fontId="40" fillId="0" borderId="0" xfId="1" applyNumberFormat="1" applyFont="1" applyAlignment="1" applyProtection="1">
      <alignment horizontal="left"/>
    </xf>
    <xf numFmtId="0" fontId="37" fillId="10" borderId="0" xfId="0" applyFont="1" applyFill="1" applyAlignment="1">
      <alignment horizontal="left"/>
    </xf>
    <xf numFmtId="0" fontId="37" fillId="0" borderId="0" xfId="0" applyFont="1" applyAlignment="1">
      <alignment horizontal="right"/>
    </xf>
    <xf numFmtId="10" fontId="37" fillId="0" borderId="0" xfId="0" applyNumberFormat="1" applyFont="1" applyAlignment="1">
      <alignment horizontal="right"/>
    </xf>
    <xf numFmtId="0" fontId="55" fillId="0" borderId="0" xfId="0" applyFont="1" applyAlignment="1">
      <alignment horizontal="left"/>
    </xf>
    <xf numFmtId="2" fontId="37" fillId="0" borderId="0" xfId="0" applyNumberFormat="1" applyFont="1" applyAlignment="1">
      <alignment horizontal="left"/>
    </xf>
    <xf numFmtId="0" fontId="35" fillId="0" borderId="0" xfId="0" applyFont="1" applyAlignment="1">
      <alignment horizontal="left"/>
    </xf>
    <xf numFmtId="0" fontId="56" fillId="0" borderId="0" xfId="0" applyFont="1" applyAlignment="1">
      <alignment horizontal="left"/>
    </xf>
    <xf numFmtId="3" fontId="37" fillId="6" borderId="0" xfId="0" applyNumberFormat="1" applyFont="1" applyFill="1" applyAlignment="1">
      <alignment horizontal="left"/>
    </xf>
    <xf numFmtId="0" fontId="57" fillId="0" borderId="0" xfId="0" applyFont="1" applyAlignment="1">
      <alignment horizontal="left"/>
    </xf>
    <xf numFmtId="167" fontId="57" fillId="0" borderId="0" xfId="0" applyNumberFormat="1" applyFont="1" applyAlignment="1">
      <alignment horizontal="left"/>
    </xf>
    <xf numFmtId="3" fontId="57" fillId="0" borderId="0" xfId="0" applyNumberFormat="1" applyFont="1" applyAlignment="1">
      <alignment horizontal="left"/>
    </xf>
    <xf numFmtId="167" fontId="37" fillId="0" borderId="0" xfId="0" applyNumberFormat="1" applyFont="1" applyAlignment="1">
      <alignment horizontal="left"/>
    </xf>
    <xf numFmtId="10" fontId="37" fillId="6" borderId="0" xfId="0" applyNumberFormat="1" applyFont="1" applyFill="1" applyAlignment="1">
      <alignment horizontal="left"/>
    </xf>
    <xf numFmtId="0" fontId="12" fillId="5" borderId="0" xfId="0" applyFont="1" applyFill="1"/>
    <xf numFmtId="0" fontId="15" fillId="5" borderId="0" xfId="0" applyFont="1" applyFill="1"/>
    <xf numFmtId="0" fontId="24" fillId="5" borderId="0" xfId="0" applyFont="1" applyFill="1"/>
    <xf numFmtId="0" fontId="15" fillId="5" borderId="0" xfId="0" applyFont="1" applyFill="1" applyAlignment="1">
      <alignment horizontal="right"/>
    </xf>
    <xf numFmtId="0" fontId="45" fillId="5" borderId="0" xfId="0" applyFont="1" applyFill="1" applyAlignment="1">
      <alignment horizontal="left"/>
    </xf>
    <xf numFmtId="0" fontId="13" fillId="5" borderId="0" xfId="0" applyFont="1" applyFill="1" applyAlignment="1">
      <alignment horizontal="right"/>
    </xf>
    <xf numFmtId="0" fontId="13" fillId="5" borderId="0" xfId="0" applyFont="1" applyFill="1"/>
    <xf numFmtId="0" fontId="16" fillId="5" borderId="0" xfId="0" applyFont="1" applyFill="1"/>
    <xf numFmtId="0" fontId="8" fillId="5" borderId="0" xfId="0" applyFont="1" applyFill="1" applyAlignment="1">
      <alignment horizontal="center"/>
    </xf>
    <xf numFmtId="0" fontId="17" fillId="5" borderId="0" xfId="0" applyFont="1" applyFill="1"/>
    <xf numFmtId="10" fontId="7" fillId="5" borderId="0" xfId="0" applyNumberFormat="1" applyFont="1" applyFill="1" applyAlignment="1">
      <alignment horizontal="left"/>
    </xf>
    <xf numFmtId="0" fontId="7" fillId="5" borderId="10" xfId="0" applyFont="1" applyFill="1" applyBorder="1"/>
    <xf numFmtId="164" fontId="7" fillId="5" borderId="0" xfId="0" applyNumberFormat="1" applyFont="1" applyFill="1"/>
    <xf numFmtId="0" fontId="43" fillId="5" borderId="0" xfId="0" applyFont="1" applyFill="1"/>
    <xf numFmtId="164" fontId="43" fillId="5" borderId="0" xfId="0" applyNumberFormat="1" applyFont="1" applyFill="1"/>
    <xf numFmtId="0" fontId="41" fillId="5" borderId="0" xfId="0" applyFont="1" applyFill="1"/>
    <xf numFmtId="0" fontId="42" fillId="5" borderId="0" xfId="0" applyFont="1" applyFill="1"/>
    <xf numFmtId="0" fontId="2" fillId="5" borderId="0" xfId="1" applyFill="1" applyAlignment="1" applyProtection="1"/>
    <xf numFmtId="0" fontId="18" fillId="5" borderId="0" xfId="1" applyFont="1" applyFill="1" applyAlignment="1" applyProtection="1"/>
    <xf numFmtId="0" fontId="12" fillId="5" borderId="11" xfId="0" applyFont="1" applyFill="1" applyBorder="1"/>
    <xf numFmtId="0" fontId="12" fillId="5" borderId="12" xfId="0" applyFont="1" applyFill="1" applyBorder="1"/>
    <xf numFmtId="0" fontId="12" fillId="5" borderId="13" xfId="0" applyFont="1" applyFill="1" applyBorder="1"/>
    <xf numFmtId="0" fontId="12" fillId="5" borderId="14" xfId="0" applyFont="1" applyFill="1" applyBorder="1"/>
    <xf numFmtId="0" fontId="12" fillId="5" borderId="15" xfId="0" applyFont="1" applyFill="1" applyBorder="1"/>
    <xf numFmtId="0" fontId="15" fillId="5" borderId="14" xfId="0" applyFont="1" applyFill="1" applyBorder="1"/>
    <xf numFmtId="0" fontId="15" fillId="5" borderId="15" xfId="0" applyFont="1" applyFill="1" applyBorder="1"/>
    <xf numFmtId="0" fontId="16" fillId="5" borderId="15" xfId="0" applyFont="1" applyFill="1" applyBorder="1"/>
    <xf numFmtId="0" fontId="7" fillId="5" borderId="14" xfId="0" applyFont="1" applyFill="1" applyBorder="1"/>
    <xf numFmtId="0" fontId="7" fillId="5" borderId="15" xfId="0" applyFont="1" applyFill="1" applyBorder="1"/>
    <xf numFmtId="0" fontId="39" fillId="5" borderId="0" xfId="0" applyFont="1" applyFill="1"/>
    <xf numFmtId="0" fontId="37" fillId="5" borderId="0" xfId="0" applyFont="1" applyFill="1"/>
    <xf numFmtId="0" fontId="8" fillId="5" borderId="14" xfId="0" applyFont="1" applyFill="1" applyBorder="1" applyAlignment="1">
      <alignment horizontal="right"/>
    </xf>
    <xf numFmtId="0" fontId="11" fillId="5" borderId="15" xfId="0" applyFont="1" applyFill="1" applyBorder="1" applyAlignment="1">
      <alignment horizontal="right"/>
    </xf>
    <xf numFmtId="0" fontId="7" fillId="5" borderId="16" xfId="0" applyFont="1" applyFill="1" applyBorder="1"/>
    <xf numFmtId="0" fontId="8" fillId="5" borderId="17" xfId="0" applyFont="1" applyFill="1" applyBorder="1"/>
    <xf numFmtId="0" fontId="7" fillId="5" borderId="17" xfId="0" applyFont="1" applyFill="1" applyBorder="1"/>
    <xf numFmtId="0" fontId="40" fillId="5" borderId="17" xfId="1" applyFont="1" applyFill="1" applyBorder="1" applyAlignment="1" applyProtection="1"/>
    <xf numFmtId="0" fontId="12" fillId="5" borderId="18" xfId="0" applyFont="1" applyFill="1" applyBorder="1"/>
    <xf numFmtId="0" fontId="59"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1" fontId="8" fillId="0" borderId="0" xfId="0" applyNumberFormat="1" applyFont="1" applyAlignment="1">
      <alignment horizontal="left" vertical="center"/>
    </xf>
    <xf numFmtId="0" fontId="66" fillId="0" borderId="0" xfId="0" applyFont="1" applyAlignment="1">
      <alignment horizontal="center"/>
    </xf>
    <xf numFmtId="0" fontId="64" fillId="7" borderId="0" xfId="0" applyFont="1" applyFill="1" applyAlignment="1">
      <alignment horizontal="center"/>
    </xf>
    <xf numFmtId="0" fontId="64" fillId="2" borderId="7" xfId="0" applyFont="1" applyFill="1" applyBorder="1" applyAlignment="1">
      <alignment horizontal="center"/>
    </xf>
    <xf numFmtId="0" fontId="64" fillId="2" borderId="0" xfId="0" applyFont="1" applyFill="1" applyAlignment="1">
      <alignment horizontal="left"/>
    </xf>
    <xf numFmtId="0" fontId="63" fillId="2" borderId="0" xfId="0" applyFont="1" applyFill="1" applyAlignment="1">
      <alignment horizontal="center"/>
    </xf>
    <xf numFmtId="0" fontId="65" fillId="2" borderId="0" xfId="0" applyFont="1" applyFill="1" applyAlignment="1">
      <alignment horizontal="center"/>
    </xf>
    <xf numFmtId="164" fontId="64" fillId="2" borderId="0" xfId="0" applyNumberFormat="1" applyFont="1" applyFill="1" applyAlignment="1">
      <alignment horizontal="center"/>
    </xf>
    <xf numFmtId="0" fontId="68" fillId="2" borderId="0" xfId="0" applyFont="1" applyFill="1" applyAlignment="1">
      <alignment horizontal="center"/>
    </xf>
    <xf numFmtId="0" fontId="69" fillId="2" borderId="0" xfId="0" applyFont="1" applyFill="1" applyAlignment="1">
      <alignment horizontal="center"/>
    </xf>
    <xf numFmtId="0" fontId="64" fillId="2" borderId="8" xfId="0" applyFont="1" applyFill="1" applyBorder="1" applyAlignment="1">
      <alignment horizontal="center"/>
    </xf>
    <xf numFmtId="0" fontId="70" fillId="7" borderId="0" xfId="0" applyFont="1" applyFill="1" applyAlignment="1">
      <alignment horizontal="center"/>
    </xf>
    <xf numFmtId="0" fontId="70" fillId="7" borderId="0" xfId="0" applyFont="1" applyFill="1"/>
    <xf numFmtId="0" fontId="64" fillId="3" borderId="0" xfId="0" applyFont="1" applyFill="1" applyAlignment="1">
      <alignment horizontal="center"/>
    </xf>
    <xf numFmtId="0" fontId="71" fillId="7" borderId="0" xfId="0" applyFont="1" applyFill="1" applyAlignment="1">
      <alignment horizontal="center"/>
    </xf>
    <xf numFmtId="0" fontId="71" fillId="2" borderId="7" xfId="0" applyFont="1" applyFill="1" applyBorder="1" applyAlignment="1">
      <alignment horizontal="center"/>
    </xf>
    <xf numFmtId="0" fontId="71" fillId="2" borderId="0" xfId="0" applyFont="1" applyFill="1" applyAlignment="1">
      <alignment horizontal="center"/>
    </xf>
    <xf numFmtId="0" fontId="72" fillId="2" borderId="0" xfId="0" applyFont="1" applyFill="1"/>
    <xf numFmtId="0" fontId="69" fillId="5" borderId="0" xfId="0" applyFont="1" applyFill="1" applyAlignment="1">
      <alignment horizontal="center"/>
    </xf>
    <xf numFmtId="0" fontId="71" fillId="5" borderId="0" xfId="0" applyFont="1" applyFill="1" applyAlignment="1">
      <alignment horizontal="center"/>
    </xf>
    <xf numFmtId="0" fontId="71" fillId="2" borderId="8" xfId="0" applyFont="1" applyFill="1" applyBorder="1" applyAlignment="1">
      <alignment horizontal="center"/>
    </xf>
    <xf numFmtId="0" fontId="70" fillId="7" borderId="0" xfId="0" applyFont="1" applyFill="1" applyAlignment="1">
      <alignment horizontal="left"/>
    </xf>
    <xf numFmtId="0" fontId="71" fillId="3" borderId="0" xfId="0" applyFont="1" applyFill="1" applyAlignment="1">
      <alignment horizontal="center"/>
    </xf>
    <xf numFmtId="0" fontId="74" fillId="2" borderId="0" xfId="0" applyFont="1" applyFill="1" applyAlignment="1">
      <alignment horizontal="center"/>
    </xf>
    <xf numFmtId="0" fontId="74" fillId="5" borderId="0" xfId="0" applyFont="1" applyFill="1"/>
    <xf numFmtId="0" fontId="74" fillId="2" borderId="0" xfId="0" applyFont="1" applyFill="1" applyAlignment="1">
      <alignment horizontal="left"/>
    </xf>
    <xf numFmtId="0" fontId="75" fillId="2" borderId="0" xfId="0" applyFont="1" applyFill="1" applyAlignment="1">
      <alignment horizontal="center"/>
    </xf>
    <xf numFmtId="0" fontId="75" fillId="5" borderId="0" xfId="0" applyFont="1" applyFill="1" applyAlignment="1">
      <alignment horizontal="center"/>
    </xf>
    <xf numFmtId="0" fontId="65" fillId="5" borderId="0" xfId="0" applyFont="1" applyFill="1" applyAlignment="1">
      <alignment horizontal="center"/>
    </xf>
    <xf numFmtId="14" fontId="70" fillId="7" borderId="0" xfId="0" applyNumberFormat="1" applyFont="1" applyFill="1" applyAlignment="1">
      <alignment horizontal="center"/>
    </xf>
    <xf numFmtId="0" fontId="77" fillId="7" borderId="0" xfId="0" applyFont="1" applyFill="1" applyAlignment="1">
      <alignment horizontal="center"/>
    </xf>
    <xf numFmtId="0" fontId="76" fillId="2" borderId="0" xfId="0" applyFont="1" applyFill="1" applyAlignment="1">
      <alignment horizontal="center"/>
    </xf>
    <xf numFmtId="0" fontId="64" fillId="3" borderId="1" xfId="0" applyFont="1" applyFill="1" applyBorder="1" applyAlignment="1">
      <alignment horizontal="center"/>
    </xf>
    <xf numFmtId="0" fontId="64" fillId="3" borderId="1" xfId="0" applyFont="1" applyFill="1" applyBorder="1" applyAlignment="1">
      <alignment horizontal="left"/>
    </xf>
    <xf numFmtId="0" fontId="65" fillId="3" borderId="1" xfId="0" applyFont="1" applyFill="1" applyBorder="1" applyAlignment="1">
      <alignment horizontal="center"/>
    </xf>
    <xf numFmtId="0" fontId="68" fillId="3" borderId="1" xfId="0" applyFont="1" applyFill="1" applyBorder="1" applyAlignment="1">
      <alignment horizontal="center"/>
    </xf>
    <xf numFmtId="0" fontId="76" fillId="3" borderId="1" xfId="0" applyFont="1" applyFill="1" applyBorder="1" applyAlignment="1">
      <alignment horizontal="center"/>
    </xf>
    <xf numFmtId="0" fontId="75" fillId="3" borderId="1" xfId="0" applyFont="1" applyFill="1" applyBorder="1" applyAlignment="1">
      <alignment horizontal="center"/>
    </xf>
    <xf numFmtId="0" fontId="64" fillId="2" borderId="1" xfId="0" applyFont="1" applyFill="1" applyBorder="1" applyAlignment="1" applyProtection="1">
      <alignment horizontal="left"/>
      <protection locked="0"/>
    </xf>
    <xf numFmtId="14" fontId="64" fillId="2" borderId="1" xfId="0" applyNumberFormat="1" applyFont="1" applyFill="1" applyBorder="1" applyAlignment="1" applyProtection="1">
      <alignment horizontal="center"/>
      <protection locked="0"/>
    </xf>
    <xf numFmtId="0" fontId="64" fillId="2" borderId="1" xfId="0" applyFont="1" applyFill="1" applyBorder="1" applyAlignment="1" applyProtection="1">
      <alignment horizontal="center"/>
      <protection locked="0"/>
    </xf>
    <xf numFmtId="166" fontId="64" fillId="2" borderId="1" xfId="0" applyNumberFormat="1" applyFont="1" applyFill="1" applyBorder="1" applyAlignment="1" applyProtection="1">
      <alignment horizontal="center"/>
      <protection locked="0"/>
    </xf>
    <xf numFmtId="0" fontId="64" fillId="2" borderId="1" xfId="2" applyNumberFormat="1" applyFont="1" applyFill="1" applyBorder="1" applyAlignment="1" applyProtection="1">
      <alignment horizontal="center"/>
      <protection locked="0"/>
    </xf>
    <xf numFmtId="169" fontId="63" fillId="9" borderId="1" xfId="0" applyNumberFormat="1" applyFont="1" applyFill="1" applyBorder="1" applyAlignment="1">
      <alignment horizontal="center"/>
    </xf>
    <xf numFmtId="169" fontId="64" fillId="9" borderId="1" xfId="0" applyNumberFormat="1" applyFont="1" applyFill="1" applyBorder="1" applyAlignment="1">
      <alignment horizontal="center"/>
    </xf>
    <xf numFmtId="168" fontId="63" fillId="9" borderId="1" xfId="2" applyNumberFormat="1" applyFont="1" applyFill="1" applyBorder="1" applyAlignment="1">
      <alignment horizontal="center"/>
    </xf>
    <xf numFmtId="1" fontId="70" fillId="7" borderId="0" xfId="0" applyNumberFormat="1" applyFont="1" applyFill="1" applyAlignment="1">
      <alignment horizontal="center"/>
    </xf>
    <xf numFmtId="9" fontId="70" fillId="7" borderId="0" xfId="0" applyNumberFormat="1" applyFont="1" applyFill="1" applyAlignment="1">
      <alignment horizontal="center"/>
    </xf>
    <xf numFmtId="10" fontId="70" fillId="7" borderId="0" xfId="0" applyNumberFormat="1" applyFont="1" applyFill="1" applyAlignment="1">
      <alignment horizontal="center"/>
    </xf>
    <xf numFmtId="2" fontId="70" fillId="7" borderId="0" xfId="0" applyNumberFormat="1" applyFont="1" applyFill="1" applyAlignment="1">
      <alignment horizontal="center"/>
    </xf>
    <xf numFmtId="164" fontId="70" fillId="7" borderId="0" xfId="0" applyNumberFormat="1" applyFont="1" applyFill="1" applyAlignment="1">
      <alignment horizontal="left"/>
    </xf>
    <xf numFmtId="164" fontId="70" fillId="7" borderId="0" xfId="0" applyNumberFormat="1" applyFont="1" applyFill="1" applyAlignment="1">
      <alignment horizontal="right"/>
    </xf>
    <xf numFmtId="164" fontId="70" fillId="7" borderId="0" xfId="0" applyNumberFormat="1" applyFont="1" applyFill="1"/>
    <xf numFmtId="170" fontId="70" fillId="7" borderId="0" xfId="0" applyNumberFormat="1" applyFont="1" applyFill="1"/>
    <xf numFmtId="0" fontId="69" fillId="3" borderId="1" xfId="0" applyFont="1" applyFill="1" applyBorder="1" applyAlignment="1">
      <alignment horizontal="center"/>
    </xf>
    <xf numFmtId="0" fontId="64" fillId="2" borderId="2" xfId="0" applyFont="1" applyFill="1" applyBorder="1" applyAlignment="1">
      <alignment horizontal="center"/>
    </xf>
    <xf numFmtId="0" fontId="64" fillId="2" borderId="3" xfId="0" applyFont="1" applyFill="1" applyBorder="1" applyAlignment="1">
      <alignment horizontal="center"/>
    </xf>
    <xf numFmtId="0" fontId="64" fillId="2" borderId="3" xfId="0" applyFont="1" applyFill="1" applyBorder="1" applyAlignment="1">
      <alignment horizontal="left"/>
    </xf>
    <xf numFmtId="0" fontId="65" fillId="2" borderId="3" xfId="0" applyFont="1" applyFill="1" applyBorder="1" applyAlignment="1">
      <alignment horizontal="center"/>
    </xf>
    <xf numFmtId="0" fontId="68" fillId="2" borderId="3" xfId="0" applyFont="1" applyFill="1" applyBorder="1" applyAlignment="1">
      <alignment horizontal="center"/>
    </xf>
    <xf numFmtId="0" fontId="69" fillId="2" borderId="3" xfId="0" applyFont="1" applyFill="1" applyBorder="1" applyAlignment="1">
      <alignment horizontal="center"/>
    </xf>
    <xf numFmtId="0" fontId="64" fillId="2" borderId="9" xfId="0" applyFont="1" applyFill="1" applyBorder="1" applyAlignment="1">
      <alignment horizontal="center"/>
    </xf>
    <xf numFmtId="169" fontId="64" fillId="6" borderId="1" xfId="0" applyNumberFormat="1" applyFont="1" applyFill="1" applyBorder="1" applyAlignment="1">
      <alignment horizontal="center"/>
    </xf>
    <xf numFmtId="169" fontId="65" fillId="6" borderId="1" xfId="0" applyNumberFormat="1" applyFont="1" applyFill="1" applyBorder="1" applyAlignment="1">
      <alignment horizontal="center"/>
    </xf>
    <xf numFmtId="169" fontId="76" fillId="6" borderId="1" xfId="0" applyNumberFormat="1" applyFont="1" applyFill="1" applyBorder="1" applyAlignment="1">
      <alignment horizontal="center"/>
    </xf>
    <xf numFmtId="0" fontId="7" fillId="7" borderId="0" xfId="0" applyFont="1" applyFill="1" applyAlignment="1">
      <alignment horizontal="center"/>
    </xf>
    <xf numFmtId="0" fontId="7" fillId="2" borderId="5" xfId="0" applyFont="1" applyFill="1" applyBorder="1" applyAlignment="1">
      <alignment horizontal="center"/>
    </xf>
    <xf numFmtId="0" fontId="21" fillId="7" borderId="0" xfId="0" applyFont="1" applyFill="1" applyAlignment="1">
      <alignment horizontal="center"/>
    </xf>
    <xf numFmtId="168" fontId="64" fillId="9" borderId="1" xfId="2" applyNumberFormat="1" applyFont="1" applyFill="1" applyBorder="1" applyAlignment="1">
      <alignment horizontal="center"/>
    </xf>
    <xf numFmtId="9" fontId="7" fillId="0" borderId="0" xfId="0" applyNumberFormat="1" applyFont="1" applyAlignment="1">
      <alignment horizontal="center"/>
    </xf>
    <xf numFmtId="0" fontId="8" fillId="0" borderId="0" xfId="0" applyFont="1" applyAlignment="1">
      <alignment horizontal="left"/>
    </xf>
    <xf numFmtId="14" fontId="7" fillId="0" borderId="0" xfId="0" applyNumberFormat="1" applyFont="1"/>
    <xf numFmtId="0" fontId="2" fillId="7" borderId="0" xfId="1" applyFill="1" applyProtection="1">
      <alignment vertical="top"/>
    </xf>
    <xf numFmtId="0" fontId="7" fillId="5" borderId="20" xfId="0" applyFont="1" applyFill="1" applyBorder="1" applyAlignment="1" applyProtection="1">
      <alignment horizontal="center" vertical="top"/>
      <protection locked="0"/>
    </xf>
    <xf numFmtId="0" fontId="22" fillId="5" borderId="20" xfId="0" applyFont="1" applyFill="1" applyBorder="1" applyAlignment="1" applyProtection="1">
      <alignment horizontal="center" vertical="top"/>
      <protection locked="0"/>
    </xf>
    <xf numFmtId="14" fontId="22" fillId="5" borderId="20" xfId="0" applyNumberFormat="1" applyFont="1" applyFill="1" applyBorder="1" applyAlignment="1" applyProtection="1">
      <alignment horizontal="center" vertical="top"/>
      <protection locked="0"/>
    </xf>
    <xf numFmtId="166" fontId="22" fillId="5" borderId="20" xfId="0" applyNumberFormat="1" applyFont="1" applyFill="1" applyBorder="1" applyAlignment="1" applyProtection="1">
      <alignment horizontal="center" vertical="top"/>
      <protection locked="0"/>
    </xf>
    <xf numFmtId="0" fontId="22" fillId="5" borderId="20" xfId="0" applyFont="1" applyFill="1" applyBorder="1" applyAlignment="1" applyProtection="1">
      <alignment horizontal="left" vertical="top"/>
      <protection locked="0"/>
    </xf>
    <xf numFmtId="0" fontId="17" fillId="7" borderId="0" xfId="0" applyFont="1" applyFill="1" applyAlignment="1">
      <alignment horizontal="center"/>
    </xf>
    <xf numFmtId="0" fontId="17" fillId="2" borderId="5" xfId="0" applyFont="1" applyFill="1" applyBorder="1" applyAlignment="1">
      <alignment horizontal="center"/>
    </xf>
    <xf numFmtId="0" fontId="17" fillId="2" borderId="0" xfId="0" applyFont="1" applyFill="1" applyAlignment="1">
      <alignment horizontal="center"/>
    </xf>
    <xf numFmtId="164" fontId="65" fillId="2" borderId="0" xfId="0" applyNumberFormat="1" applyFont="1" applyFill="1" applyAlignment="1">
      <alignment horizontal="center"/>
    </xf>
    <xf numFmtId="0" fontId="17" fillId="3" borderId="0" xfId="0" applyFont="1" applyFill="1" applyAlignment="1">
      <alignment horizontal="center"/>
    </xf>
    <xf numFmtId="10" fontId="84" fillId="2" borderId="0" xfId="0" applyNumberFormat="1" applyFont="1" applyFill="1" applyAlignment="1">
      <alignment horizontal="center"/>
    </xf>
    <xf numFmtId="0" fontId="84" fillId="5" borderId="0" xfId="0" applyFont="1" applyFill="1" applyAlignment="1">
      <alignment horizontal="center"/>
    </xf>
    <xf numFmtId="0" fontId="73" fillId="2" borderId="0" xfId="0" applyFont="1" applyFill="1" applyAlignment="1">
      <alignment horizontal="left"/>
    </xf>
    <xf numFmtId="10" fontId="64" fillId="2" borderId="0" xfId="0" applyNumberFormat="1" applyFont="1" applyFill="1" applyAlignment="1">
      <alignment horizontal="center"/>
    </xf>
    <xf numFmtId="0" fontId="85" fillId="7" borderId="0" xfId="0" applyFont="1" applyFill="1" applyAlignment="1">
      <alignment horizontal="center"/>
    </xf>
    <xf numFmtId="0" fontId="85" fillId="2" borderId="5" xfId="0" applyFont="1" applyFill="1" applyBorder="1" applyAlignment="1">
      <alignment horizontal="center"/>
    </xf>
    <xf numFmtId="0" fontId="85" fillId="2" borderId="0" xfId="0" applyFont="1" applyFill="1" applyAlignment="1">
      <alignment horizontal="center"/>
    </xf>
    <xf numFmtId="0" fontId="86" fillId="2" borderId="0" xfId="0" applyFont="1" applyFill="1" applyAlignment="1">
      <alignment horizontal="center"/>
    </xf>
    <xf numFmtId="0" fontId="87" fillId="2" borderId="0" xfId="0" applyFont="1" applyFill="1" applyAlignment="1">
      <alignment horizontal="center"/>
    </xf>
    <xf numFmtId="0" fontId="87" fillId="5" borderId="0" xfId="0" applyFont="1" applyFill="1" applyAlignment="1">
      <alignment horizontal="center"/>
    </xf>
    <xf numFmtId="0" fontId="88" fillId="5" borderId="0" xfId="0" applyFont="1" applyFill="1" applyAlignment="1">
      <alignment horizontal="center"/>
    </xf>
    <xf numFmtId="0" fontId="89" fillId="2" borderId="0" xfId="0" applyFont="1" applyFill="1" applyAlignment="1">
      <alignment horizontal="center"/>
    </xf>
    <xf numFmtId="0" fontId="89" fillId="3" borderId="1" xfId="0" applyFont="1" applyFill="1" applyBorder="1" applyAlignment="1">
      <alignment horizontal="center"/>
    </xf>
    <xf numFmtId="169" fontId="89" fillId="6" borderId="1" xfId="0" applyNumberFormat="1" applyFont="1" applyFill="1" applyBorder="1" applyAlignment="1">
      <alignment horizontal="center"/>
    </xf>
    <xf numFmtId="0" fontId="87" fillId="3" borderId="1" xfId="0" applyFont="1" applyFill="1" applyBorder="1" applyAlignment="1">
      <alignment horizontal="center"/>
    </xf>
    <xf numFmtId="0" fontId="87" fillId="2" borderId="3" xfId="0" applyFont="1" applyFill="1" applyBorder="1" applyAlignment="1">
      <alignment horizontal="center"/>
    </xf>
    <xf numFmtId="0" fontId="85" fillId="3" borderId="0" xfId="0" applyFont="1" applyFill="1" applyAlignment="1">
      <alignment horizontal="center"/>
    </xf>
    <xf numFmtId="0" fontId="90" fillId="2" borderId="0" xfId="0" applyFont="1" applyFill="1" applyAlignment="1">
      <alignment horizontal="left"/>
    </xf>
    <xf numFmtId="168" fontId="90" fillId="2" borderId="0" xfId="0" applyNumberFormat="1" applyFont="1" applyFill="1" applyAlignment="1">
      <alignment horizontal="center"/>
    </xf>
    <xf numFmtId="168" fontId="90" fillId="0" borderId="0" xfId="0" applyNumberFormat="1" applyFont="1" applyAlignment="1">
      <alignment horizontal="center"/>
    </xf>
    <xf numFmtId="0" fontId="2" fillId="0" borderId="0" xfId="1" applyAlignment="1" applyProtection="1"/>
    <xf numFmtId="3" fontId="2" fillId="0" borderId="0" xfId="1" applyNumberFormat="1" applyAlignment="1" applyProtection="1">
      <alignment horizontal="left"/>
    </xf>
    <xf numFmtId="0" fontId="91" fillId="0" borderId="0" xfId="0" applyFont="1" applyAlignment="1">
      <alignment horizontal="left"/>
    </xf>
    <xf numFmtId="44" fontId="91" fillId="0" borderId="0" xfId="0" applyNumberFormat="1" applyFont="1" applyAlignment="1">
      <alignment horizontal="left"/>
    </xf>
    <xf numFmtId="0" fontId="64" fillId="2" borderId="0" xfId="0" applyFont="1" applyFill="1" applyAlignment="1">
      <alignment horizontal="center"/>
    </xf>
    <xf numFmtId="17" fontId="64" fillId="2" borderId="0" xfId="0" applyNumberFormat="1" applyFont="1" applyFill="1" applyAlignment="1">
      <alignment horizontal="center"/>
    </xf>
    <xf numFmtId="169" fontId="22" fillId="5" borderId="20" xfId="3" applyNumberFormat="1" applyFont="1" applyFill="1" applyBorder="1" applyAlignment="1" applyProtection="1">
      <alignment horizontal="center" vertical="top"/>
      <protection locked="0"/>
    </xf>
    <xf numFmtId="169" fontId="7" fillId="5" borderId="20" xfId="0" applyNumberFormat="1" applyFont="1" applyFill="1" applyBorder="1" applyAlignment="1" applyProtection="1">
      <alignment horizontal="center" vertical="top"/>
      <protection locked="0"/>
    </xf>
    <xf numFmtId="169" fontId="28" fillId="2" borderId="0" xfId="0" applyNumberFormat="1" applyFont="1" applyFill="1" applyAlignment="1">
      <alignment horizontal="center"/>
    </xf>
    <xf numFmtId="169" fontId="50" fillId="7" borderId="0" xfId="0" applyNumberFormat="1" applyFont="1" applyFill="1" applyAlignment="1">
      <alignment horizontal="center"/>
    </xf>
    <xf numFmtId="169" fontId="75" fillId="0" borderId="1" xfId="0" applyNumberFormat="1" applyFont="1" applyBorder="1" applyAlignment="1" applyProtection="1">
      <alignment horizontal="center"/>
      <protection locked="0"/>
    </xf>
    <xf numFmtId="0" fontId="54" fillId="4" borderId="0" xfId="0" applyFont="1" applyFill="1" applyAlignment="1">
      <alignment horizontal="left"/>
    </xf>
    <xf numFmtId="0" fontId="37" fillId="4" borderId="0" xfId="0" applyFont="1" applyFill="1" applyAlignment="1">
      <alignment horizontal="left"/>
    </xf>
    <xf numFmtId="10" fontId="37" fillId="4" borderId="0" xfId="0" applyNumberFormat="1" applyFont="1" applyFill="1" applyAlignment="1">
      <alignment horizontal="left"/>
    </xf>
    <xf numFmtId="167" fontId="37" fillId="4" borderId="0" xfId="0" applyNumberFormat="1" applyFont="1" applyFill="1" applyAlignment="1">
      <alignment horizontal="left"/>
    </xf>
    <xf numFmtId="3" fontId="37" fillId="4" borderId="0" xfId="0" applyNumberFormat="1" applyFont="1" applyFill="1" applyAlignment="1">
      <alignment horizontal="left"/>
    </xf>
    <xf numFmtId="4" fontId="37" fillId="4" borderId="0" xfId="0" applyNumberFormat="1" applyFont="1" applyFill="1" applyAlignment="1">
      <alignment horizontal="left"/>
    </xf>
    <xf numFmtId="10" fontId="53" fillId="0" borderId="0" xfId="0" applyNumberFormat="1" applyFont="1" applyAlignment="1">
      <alignment horizontal="left" vertical="top" wrapText="1"/>
    </xf>
    <xf numFmtId="2" fontId="37" fillId="4" borderId="0" xfId="0" applyNumberFormat="1" applyFont="1" applyFill="1" applyAlignment="1">
      <alignment horizontal="left"/>
    </xf>
    <xf numFmtId="2" fontId="37" fillId="6" borderId="0" xfId="0" applyNumberFormat="1" applyFont="1" applyFill="1" applyAlignment="1">
      <alignment horizontal="left"/>
    </xf>
    <xf numFmtId="9" fontId="37" fillId="6" borderId="0" xfId="0" applyNumberFormat="1" applyFont="1" applyFill="1" applyAlignment="1">
      <alignment horizontal="left"/>
    </xf>
    <xf numFmtId="3" fontId="66" fillId="0" borderId="0" xfId="0" applyNumberFormat="1" applyFont="1" applyAlignment="1">
      <alignment horizontal="center"/>
    </xf>
    <xf numFmtId="0" fontId="6" fillId="7" borderId="0" xfId="0" applyFont="1" applyFill="1" applyAlignment="1" applyProtection="1">
      <alignment vertical="top"/>
    </xf>
    <xf numFmtId="0" fontId="6" fillId="7" borderId="0" xfId="0" applyFont="1" applyFill="1" applyAlignment="1" applyProtection="1">
      <alignment horizontal="center" vertical="top"/>
    </xf>
    <xf numFmtId="0" fontId="6" fillId="2" borderId="11" xfId="0" applyFont="1" applyFill="1" applyBorder="1" applyAlignment="1" applyProtection="1">
      <alignment vertical="top"/>
    </xf>
    <xf numFmtId="0" fontId="6" fillId="2" borderId="12" xfId="0" applyFont="1" applyFill="1" applyBorder="1" applyAlignment="1" applyProtection="1">
      <alignment vertical="top"/>
    </xf>
    <xf numFmtId="0" fontId="6" fillId="2" borderId="12" xfId="0" applyFont="1" applyFill="1" applyBorder="1" applyAlignment="1" applyProtection="1">
      <alignment horizontal="center" vertical="top"/>
    </xf>
    <xf numFmtId="0" fontId="6" fillId="2" borderId="13" xfId="0" applyFont="1" applyFill="1" applyBorder="1" applyAlignment="1" applyProtection="1">
      <alignment vertical="top"/>
    </xf>
    <xf numFmtId="0" fontId="6" fillId="3" borderId="0" xfId="0" applyFont="1" applyFill="1" applyAlignment="1" applyProtection="1">
      <alignment vertical="top"/>
    </xf>
    <xf numFmtId="0" fontId="6" fillId="2" borderId="14" xfId="0" applyFont="1" applyFill="1" applyBorder="1" applyAlignment="1" applyProtection="1">
      <alignment vertical="top"/>
    </xf>
    <xf numFmtId="0" fontId="6" fillId="2" borderId="0" xfId="0" applyFont="1" applyFill="1" applyAlignment="1" applyProtection="1">
      <alignment vertical="top"/>
    </xf>
    <xf numFmtId="0" fontId="6" fillId="2" borderId="0" xfId="0" applyFont="1" applyFill="1" applyAlignment="1" applyProtection="1">
      <alignment horizontal="center" vertical="top"/>
    </xf>
    <xf numFmtId="0" fontId="6" fillId="2" borderId="15" xfId="0" applyFont="1" applyFill="1" applyBorder="1" applyAlignment="1" applyProtection="1">
      <alignment vertical="top"/>
    </xf>
    <xf numFmtId="0" fontId="32" fillId="7" borderId="0" xfId="0" applyFont="1" applyFill="1" applyAlignment="1" applyProtection="1">
      <alignment vertical="top"/>
    </xf>
    <xf numFmtId="0" fontId="32" fillId="2" borderId="14" xfId="0" applyFont="1" applyFill="1" applyBorder="1" applyAlignment="1" applyProtection="1">
      <alignment vertical="top"/>
    </xf>
    <xf numFmtId="0" fontId="51" fillId="2" borderId="0" xfId="0" applyFont="1" applyFill="1" applyAlignment="1" applyProtection="1">
      <alignment vertical="top"/>
    </xf>
    <xf numFmtId="0" fontId="32" fillId="2" borderId="0" xfId="0" applyFont="1" applyFill="1" applyAlignment="1" applyProtection="1">
      <alignment vertical="top"/>
    </xf>
    <xf numFmtId="0" fontId="32" fillId="2" borderId="0" xfId="0" applyFont="1" applyFill="1" applyAlignment="1" applyProtection="1">
      <alignment horizontal="center" vertical="top"/>
    </xf>
    <xf numFmtId="0" fontId="32" fillId="2" borderId="15" xfId="0" applyFont="1" applyFill="1" applyBorder="1" applyAlignment="1" applyProtection="1">
      <alignment vertical="top"/>
    </xf>
    <xf numFmtId="0" fontId="32" fillId="3" borderId="0" xfId="0" applyFont="1" applyFill="1" applyAlignment="1" applyProtection="1">
      <alignment vertical="top"/>
    </xf>
    <xf numFmtId="0" fontId="31" fillId="7" borderId="0" xfId="0" applyFont="1" applyFill="1" applyAlignment="1" applyProtection="1">
      <alignment vertical="top"/>
    </xf>
    <xf numFmtId="0" fontId="31" fillId="2" borderId="14" xfId="0" applyFont="1" applyFill="1" applyBorder="1" applyAlignment="1" applyProtection="1">
      <alignment vertical="top"/>
    </xf>
    <xf numFmtId="0" fontId="14" fillId="2" borderId="0" xfId="0" applyFont="1" applyFill="1" applyAlignment="1" applyProtection="1">
      <alignment vertical="top"/>
    </xf>
    <xf numFmtId="0" fontId="31" fillId="2" borderId="0" xfId="0" applyFont="1" applyFill="1" applyAlignment="1" applyProtection="1">
      <alignment vertical="top"/>
    </xf>
    <xf numFmtId="0" fontId="31" fillId="2" borderId="0" xfId="0" applyFont="1" applyFill="1" applyAlignment="1" applyProtection="1">
      <alignment horizontal="center" vertical="top"/>
    </xf>
    <xf numFmtId="14" fontId="31" fillId="2" borderId="0" xfId="0" applyNumberFormat="1" applyFont="1" applyFill="1" applyAlignment="1" applyProtection="1">
      <alignment horizontal="center" vertical="top"/>
    </xf>
    <xf numFmtId="0" fontId="31" fillId="2" borderId="15" xfId="0" applyFont="1" applyFill="1" applyBorder="1" applyAlignment="1" applyProtection="1">
      <alignment vertical="top"/>
    </xf>
    <xf numFmtId="0" fontId="31" fillId="3" borderId="0" xfId="0" applyFont="1" applyFill="1" applyAlignment="1" applyProtection="1">
      <alignment vertical="top"/>
    </xf>
    <xf numFmtId="14" fontId="6" fillId="2" borderId="0" xfId="0" applyNumberFormat="1" applyFont="1" applyFill="1" applyAlignment="1" applyProtection="1">
      <alignment horizontal="center" vertical="top"/>
    </xf>
    <xf numFmtId="0" fontId="7" fillId="7" borderId="0" xfId="0" applyFont="1" applyFill="1" applyAlignment="1" applyProtection="1">
      <alignment vertical="top"/>
    </xf>
    <xf numFmtId="0" fontId="7" fillId="2" borderId="14" xfId="0" applyFont="1" applyFill="1" applyBorder="1" applyAlignment="1" applyProtection="1">
      <alignment vertical="top"/>
    </xf>
    <xf numFmtId="0" fontId="7" fillId="7" borderId="20" xfId="0" applyFont="1" applyFill="1" applyBorder="1" applyAlignment="1" applyProtection="1">
      <alignment vertical="top"/>
    </xf>
    <xf numFmtId="0" fontId="22" fillId="7" borderId="20" xfId="0" applyFont="1" applyFill="1" applyBorder="1" applyAlignment="1" applyProtection="1">
      <alignment horizontal="center" vertical="top"/>
    </xf>
    <xf numFmtId="0" fontId="22" fillId="7" borderId="20" xfId="0" applyFont="1" applyFill="1" applyBorder="1" applyAlignment="1" applyProtection="1">
      <alignment vertical="top"/>
    </xf>
    <xf numFmtId="0" fontId="7" fillId="2" borderId="0" xfId="0" applyFont="1" applyFill="1" applyAlignment="1" applyProtection="1">
      <alignment vertical="top"/>
    </xf>
    <xf numFmtId="0" fontId="8" fillId="7" borderId="20" xfId="0" applyFont="1" applyFill="1" applyBorder="1" applyAlignment="1" applyProtection="1">
      <alignment vertical="top"/>
    </xf>
    <xf numFmtId="1" fontId="7" fillId="7" borderId="20" xfId="0" applyNumberFormat="1" applyFont="1" applyFill="1" applyBorder="1" applyAlignment="1" applyProtection="1">
      <alignment vertical="top"/>
    </xf>
    <xf numFmtId="0" fontId="79" fillId="7" borderId="20" xfId="0" applyFont="1" applyFill="1" applyBorder="1" applyAlignment="1" applyProtection="1">
      <alignment vertical="top"/>
    </xf>
    <xf numFmtId="0" fontId="79" fillId="7" borderId="20" xfId="0" applyFont="1" applyFill="1" applyBorder="1" applyAlignment="1" applyProtection="1">
      <alignment horizontal="center" vertical="top"/>
    </xf>
    <xf numFmtId="0" fontId="7" fillId="7" borderId="20" xfId="0" applyFont="1" applyFill="1" applyBorder="1" applyAlignment="1" applyProtection="1">
      <alignment horizontal="center" vertical="top"/>
    </xf>
    <xf numFmtId="0" fontId="7" fillId="2" borderId="15" xfId="0" applyFont="1" applyFill="1" applyBorder="1" applyAlignment="1" applyProtection="1">
      <alignment vertical="top"/>
    </xf>
    <xf numFmtId="0" fontId="7" fillId="3" borderId="0" xfId="0" applyFont="1" applyFill="1" applyAlignment="1" applyProtection="1">
      <alignment vertical="top"/>
    </xf>
    <xf numFmtId="0" fontId="10" fillId="7" borderId="20" xfId="0" applyFont="1" applyFill="1" applyBorder="1" applyAlignment="1" applyProtection="1">
      <alignment vertical="top"/>
    </xf>
    <xf numFmtId="0" fontId="6" fillId="7" borderId="20" xfId="0" applyFont="1" applyFill="1" applyBorder="1" applyAlignment="1" applyProtection="1">
      <alignment vertical="top"/>
    </xf>
    <xf numFmtId="168" fontId="10" fillId="9" borderId="20" xfId="2" applyNumberFormat="1" applyFont="1" applyFill="1" applyBorder="1" applyAlignment="1" applyProtection="1">
      <alignment horizontal="center" vertical="top"/>
    </xf>
    <xf numFmtId="0" fontId="49" fillId="7" borderId="20" xfId="0" applyFont="1" applyFill="1" applyBorder="1" applyAlignment="1" applyProtection="1">
      <alignment vertical="top"/>
    </xf>
    <xf numFmtId="0" fontId="21" fillId="7" borderId="20" xfId="0" applyFont="1" applyFill="1" applyBorder="1" applyAlignment="1" applyProtection="1">
      <alignment vertical="top"/>
    </xf>
    <xf numFmtId="0" fontId="7" fillId="7" borderId="0" xfId="0" applyFont="1" applyFill="1" applyAlignment="1" applyProtection="1">
      <alignment horizontal="center" vertical="top"/>
    </xf>
    <xf numFmtId="0" fontId="78" fillId="7" borderId="20" xfId="0" applyFont="1" applyFill="1" applyBorder="1" applyAlignment="1" applyProtection="1">
      <alignment vertical="top"/>
    </xf>
    <xf numFmtId="0" fontId="80" fillId="7" borderId="20" xfId="0" applyFont="1" applyFill="1" applyBorder="1" applyAlignment="1" applyProtection="1">
      <alignment vertical="top"/>
    </xf>
    <xf numFmtId="168" fontId="78" fillId="7" borderId="20" xfId="2" applyNumberFormat="1" applyFont="1" applyFill="1" applyBorder="1" applyAlignment="1" applyProtection="1">
      <alignment horizontal="center" vertical="top"/>
    </xf>
    <xf numFmtId="0" fontId="17" fillId="7" borderId="20" xfId="0" applyFont="1" applyFill="1" applyBorder="1" applyAlignment="1" applyProtection="1">
      <alignment vertical="top"/>
    </xf>
    <xf numFmtId="0" fontId="82" fillId="7" borderId="20" xfId="0" applyFont="1" applyFill="1" applyBorder="1" applyAlignment="1" applyProtection="1">
      <alignment vertical="top"/>
    </xf>
    <xf numFmtId="0" fontId="78" fillId="7" borderId="20" xfId="0" applyFont="1" applyFill="1" applyBorder="1" applyAlignment="1" applyProtection="1">
      <alignment horizontal="center" vertical="top"/>
    </xf>
    <xf numFmtId="175" fontId="17" fillId="7" borderId="20" xfId="2" applyNumberFormat="1" applyFont="1" applyFill="1" applyBorder="1" applyAlignment="1" applyProtection="1">
      <alignment horizontal="center" vertical="top"/>
    </xf>
    <xf numFmtId="168" fontId="44" fillId="7" borderId="20" xfId="2" applyNumberFormat="1" applyFont="1" applyFill="1" applyBorder="1" applyAlignment="1" applyProtection="1">
      <alignment vertical="top"/>
    </xf>
    <xf numFmtId="0" fontId="8" fillId="2" borderId="14" xfId="0" applyFont="1" applyFill="1" applyBorder="1" applyAlignment="1" applyProtection="1">
      <alignment vertical="top"/>
    </xf>
    <xf numFmtId="0" fontId="17" fillId="7" borderId="20" xfId="0" applyFont="1" applyFill="1" applyBorder="1" applyAlignment="1" applyProtection="1">
      <alignment horizontal="center" vertical="top"/>
    </xf>
    <xf numFmtId="175" fontId="17" fillId="7" borderId="20" xfId="0" applyNumberFormat="1" applyFont="1" applyFill="1" applyBorder="1" applyAlignment="1" applyProtection="1">
      <alignment horizontal="center" vertical="top"/>
    </xf>
    <xf numFmtId="1" fontId="79" fillId="7" borderId="20" xfId="0" applyNumberFormat="1" applyFont="1" applyFill="1" applyBorder="1" applyAlignment="1" applyProtection="1">
      <alignment horizontal="center" vertical="top"/>
    </xf>
    <xf numFmtId="0" fontId="7" fillId="5" borderId="0" xfId="0" applyFont="1" applyFill="1" applyAlignment="1" applyProtection="1">
      <alignment vertical="top"/>
    </xf>
    <xf numFmtId="0" fontId="7" fillId="5" borderId="0" xfId="0" applyFont="1" applyFill="1" applyAlignment="1" applyProtection="1">
      <alignment horizontal="center" vertical="top"/>
    </xf>
    <xf numFmtId="164" fontId="48" fillId="7" borderId="20" xfId="0" applyNumberFormat="1" applyFont="1" applyFill="1" applyBorder="1" applyAlignment="1" applyProtection="1">
      <alignment horizontal="center" vertical="top"/>
    </xf>
    <xf numFmtId="0" fontId="48" fillId="7" borderId="20" xfId="0" applyFont="1" applyFill="1" applyBorder="1" applyAlignment="1" applyProtection="1">
      <alignment horizontal="center" vertical="top"/>
    </xf>
    <xf numFmtId="0" fontId="25" fillId="7" borderId="20" xfId="0" applyFont="1" applyFill="1" applyBorder="1" applyAlignment="1" applyProtection="1">
      <alignment vertical="top"/>
    </xf>
    <xf numFmtId="1" fontId="48" fillId="7" borderId="20" xfId="0" applyNumberFormat="1" applyFont="1" applyFill="1" applyBorder="1" applyAlignment="1" applyProtection="1">
      <alignment horizontal="center" vertical="top"/>
    </xf>
    <xf numFmtId="0" fontId="61" fillId="7" borderId="0" xfId="0" applyFont="1" applyFill="1" applyAlignment="1" applyProtection="1">
      <alignment vertical="top"/>
    </xf>
    <xf numFmtId="0" fontId="81" fillId="7" borderId="20" xfId="0" applyFont="1" applyFill="1" applyBorder="1" applyAlignment="1" applyProtection="1">
      <alignment horizontal="center" vertical="top"/>
    </xf>
    <xf numFmtId="4" fontId="7" fillId="7" borderId="20" xfId="0" applyNumberFormat="1" applyFont="1" applyFill="1" applyBorder="1" applyAlignment="1" applyProtection="1">
      <alignment vertical="top"/>
    </xf>
    <xf numFmtId="169" fontId="7" fillId="13" borderId="20" xfId="0" applyNumberFormat="1" applyFont="1" applyFill="1" applyBorder="1" applyAlignment="1" applyProtection="1">
      <alignment horizontal="center" vertical="top"/>
    </xf>
    <xf numFmtId="169" fontId="22" fillId="9" borderId="20" xfId="0" applyNumberFormat="1" applyFont="1" applyFill="1" applyBorder="1" applyAlignment="1" applyProtection="1">
      <alignment horizontal="center" vertical="top"/>
    </xf>
    <xf numFmtId="0" fontId="61" fillId="7" borderId="20" xfId="0" applyFont="1" applyFill="1" applyBorder="1" applyAlignment="1" applyProtection="1">
      <alignment horizontal="center" vertical="top"/>
    </xf>
    <xf numFmtId="0" fontId="9" fillId="7" borderId="20" xfId="0" applyFont="1" applyFill="1" applyBorder="1" applyAlignment="1" applyProtection="1">
      <alignment vertical="top"/>
    </xf>
    <xf numFmtId="169" fontId="8" fillId="9" borderId="20" xfId="0" applyNumberFormat="1" applyFont="1" applyFill="1" applyBorder="1" applyAlignment="1" applyProtection="1">
      <alignment horizontal="center" vertical="top"/>
    </xf>
    <xf numFmtId="4" fontId="8" fillId="7" borderId="20" xfId="0" applyNumberFormat="1" applyFont="1" applyFill="1" applyBorder="1" applyAlignment="1" applyProtection="1">
      <alignment vertical="top"/>
    </xf>
    <xf numFmtId="0" fontId="8" fillId="7" borderId="22" xfId="0" applyFont="1" applyFill="1" applyBorder="1" applyAlignment="1" applyProtection="1">
      <alignment vertical="top"/>
    </xf>
    <xf numFmtId="0" fontId="7" fillId="7" borderId="22" xfId="0" applyFont="1" applyFill="1" applyBorder="1" applyAlignment="1" applyProtection="1">
      <alignment horizontal="center" vertical="top"/>
    </xf>
    <xf numFmtId="1" fontId="7" fillId="7" borderId="22" xfId="0" applyNumberFormat="1" applyFont="1" applyFill="1" applyBorder="1" applyAlignment="1" applyProtection="1">
      <alignment vertical="top"/>
    </xf>
    <xf numFmtId="0" fontId="8" fillId="7" borderId="19" xfId="0" applyFont="1" applyFill="1" applyBorder="1" applyAlignment="1" applyProtection="1">
      <alignment vertical="top"/>
    </xf>
    <xf numFmtId="0" fontId="7" fillId="7" borderId="19" xfId="0" applyFont="1" applyFill="1" applyBorder="1" applyAlignment="1" applyProtection="1">
      <alignment horizontal="center" vertical="top"/>
    </xf>
    <xf numFmtId="1" fontId="7" fillId="7" borderId="19" xfId="0" applyNumberFormat="1" applyFont="1" applyFill="1" applyBorder="1" applyAlignment="1" applyProtection="1">
      <alignment vertical="top"/>
    </xf>
    <xf numFmtId="4" fontId="9" fillId="7" borderId="20" xfId="0" applyNumberFormat="1" applyFont="1" applyFill="1" applyBorder="1" applyAlignment="1" applyProtection="1">
      <alignment vertical="top"/>
    </xf>
    <xf numFmtId="4" fontId="7" fillId="7" borderId="20" xfId="0" applyNumberFormat="1" applyFont="1" applyFill="1" applyBorder="1" applyAlignment="1" applyProtection="1">
      <alignment horizontal="center" vertical="top"/>
    </xf>
    <xf numFmtId="9" fontId="7" fillId="7" borderId="20" xfId="0" applyNumberFormat="1" applyFont="1" applyFill="1" applyBorder="1" applyAlignment="1" applyProtection="1">
      <alignment vertical="top"/>
    </xf>
    <xf numFmtId="169" fontId="9" fillId="7" borderId="20" xfId="0" applyNumberFormat="1" applyFont="1" applyFill="1" applyBorder="1" applyAlignment="1" applyProtection="1">
      <alignment horizontal="center" vertical="top"/>
    </xf>
    <xf numFmtId="10" fontId="7" fillId="7" borderId="20" xfId="0" applyNumberFormat="1" applyFont="1" applyFill="1" applyBorder="1" applyAlignment="1" applyProtection="1">
      <alignment vertical="top"/>
    </xf>
    <xf numFmtId="10" fontId="67" fillId="7" borderId="20" xfId="0" applyNumberFormat="1" applyFont="1" applyFill="1" applyBorder="1" applyAlignment="1" applyProtection="1">
      <alignment horizontal="center" vertical="top"/>
    </xf>
    <xf numFmtId="1" fontId="67" fillId="7" borderId="20" xfId="0" applyNumberFormat="1" applyFont="1" applyFill="1" applyBorder="1" applyAlignment="1" applyProtection="1">
      <alignment horizontal="center" vertical="top"/>
    </xf>
    <xf numFmtId="0" fontId="8" fillId="7" borderId="20" xfId="0" applyFont="1" applyFill="1" applyBorder="1" applyAlignment="1" applyProtection="1">
      <alignment horizontal="center" vertical="top"/>
    </xf>
    <xf numFmtId="169" fontId="9" fillId="9" borderId="20" xfId="0" applyNumberFormat="1" applyFont="1" applyFill="1" applyBorder="1" applyAlignment="1" applyProtection="1">
      <alignment horizontal="center" vertical="top"/>
    </xf>
    <xf numFmtId="0" fontId="7" fillId="7" borderId="21" xfId="0" applyFont="1" applyFill="1" applyBorder="1" applyAlignment="1" applyProtection="1">
      <alignment vertical="top"/>
    </xf>
    <xf numFmtId="0" fontId="7" fillId="7" borderId="21" xfId="0" applyFont="1" applyFill="1" applyBorder="1" applyAlignment="1" applyProtection="1">
      <alignment horizontal="center" vertical="top"/>
    </xf>
    <xf numFmtId="173" fontId="8" fillId="9" borderId="20" xfId="0" applyNumberFormat="1" applyFont="1" applyFill="1" applyBorder="1" applyAlignment="1" applyProtection="1">
      <alignment horizontal="center" vertical="top"/>
    </xf>
    <xf numFmtId="0" fontId="7" fillId="7" borderId="19" xfId="0" applyFont="1" applyFill="1" applyBorder="1" applyAlignment="1" applyProtection="1">
      <alignment vertical="top"/>
    </xf>
    <xf numFmtId="169" fontId="17" fillId="7" borderId="20" xfId="0" applyNumberFormat="1" applyFont="1" applyFill="1" applyBorder="1" applyAlignment="1" applyProtection="1">
      <alignment horizontal="center" vertical="top"/>
    </xf>
    <xf numFmtId="169" fontId="10" fillId="9" borderId="20" xfId="0" applyNumberFormat="1" applyFont="1" applyFill="1" applyBorder="1" applyAlignment="1" applyProtection="1">
      <alignment horizontal="center" vertical="top"/>
    </xf>
    <xf numFmtId="174" fontId="7" fillId="7" borderId="0" xfId="0" applyNumberFormat="1" applyFont="1" applyFill="1" applyAlignment="1" applyProtection="1">
      <alignment vertical="top"/>
    </xf>
    <xf numFmtId="0" fontId="8" fillId="2" borderId="15" xfId="0" applyFont="1" applyFill="1" applyBorder="1" applyAlignment="1" applyProtection="1">
      <alignment vertical="top"/>
    </xf>
    <xf numFmtId="169" fontId="48" fillId="7" borderId="20" xfId="0" applyNumberFormat="1" applyFont="1" applyFill="1" applyBorder="1" applyAlignment="1" applyProtection="1">
      <alignment horizontal="center" vertical="top"/>
    </xf>
    <xf numFmtId="169" fontId="22" fillId="13" borderId="20" xfId="3" applyNumberFormat="1" applyFont="1" applyFill="1" applyBorder="1" applyAlignment="1" applyProtection="1">
      <alignment horizontal="center" vertical="top"/>
    </xf>
    <xf numFmtId="0" fontId="17" fillId="7" borderId="0" xfId="0" applyFont="1" applyFill="1" applyAlignment="1" applyProtection="1">
      <alignment vertical="top"/>
    </xf>
    <xf numFmtId="169" fontId="17" fillId="9" borderId="20" xfId="0" applyNumberFormat="1" applyFont="1" applyFill="1" applyBorder="1" applyAlignment="1" applyProtection="1">
      <alignment horizontal="center" vertical="top"/>
    </xf>
    <xf numFmtId="0" fontId="17" fillId="2" borderId="0" xfId="0" applyFont="1" applyFill="1" applyAlignment="1" applyProtection="1">
      <alignment vertical="top"/>
    </xf>
    <xf numFmtId="0" fontId="17" fillId="3" borderId="0" xfId="0" applyFont="1" applyFill="1" applyAlignment="1" applyProtection="1">
      <alignment vertical="top"/>
    </xf>
    <xf numFmtId="0" fontId="17" fillId="2" borderId="14" xfId="0" applyFont="1" applyFill="1" applyBorder="1" applyAlignment="1" applyProtection="1">
      <alignment vertical="top"/>
    </xf>
    <xf numFmtId="0" fontId="9" fillId="7" borderId="20" xfId="0" applyFont="1" applyFill="1" applyBorder="1" applyAlignment="1" applyProtection="1">
      <alignment horizontal="center" vertical="top"/>
    </xf>
    <xf numFmtId="0" fontId="44" fillId="5" borderId="0" xfId="0" applyFont="1" applyFill="1" applyAlignment="1" applyProtection="1">
      <alignment vertical="top"/>
    </xf>
    <xf numFmtId="0" fontId="44" fillId="5" borderId="0" xfId="0" applyFont="1" applyFill="1" applyAlignment="1" applyProtection="1">
      <alignment horizontal="center" vertical="top"/>
    </xf>
    <xf numFmtId="0" fontId="10" fillId="7" borderId="20" xfId="0" applyFont="1" applyFill="1" applyBorder="1" applyAlignment="1" applyProtection="1">
      <alignment horizontal="center" vertical="top"/>
    </xf>
    <xf numFmtId="0" fontId="6" fillId="5" borderId="0" xfId="0" applyFont="1" applyFill="1" applyAlignment="1" applyProtection="1">
      <alignment vertical="top"/>
    </xf>
    <xf numFmtId="0" fontId="6" fillId="2" borderId="16" xfId="0" applyFont="1" applyFill="1" applyBorder="1" applyAlignment="1" applyProtection="1">
      <alignment vertical="top"/>
    </xf>
    <xf numFmtId="0" fontId="6" fillId="2" borderId="17" xfId="0" applyFont="1" applyFill="1" applyBorder="1" applyAlignment="1" applyProtection="1">
      <alignment vertical="top"/>
    </xf>
    <xf numFmtId="0" fontId="6" fillId="2" borderId="17" xfId="0" applyFont="1" applyFill="1" applyBorder="1" applyAlignment="1" applyProtection="1">
      <alignment horizontal="center" vertical="top"/>
    </xf>
    <xf numFmtId="164" fontId="6" fillId="2" borderId="17" xfId="0" applyNumberFormat="1" applyFont="1" applyFill="1" applyBorder="1" applyAlignment="1" applyProtection="1">
      <alignment horizontal="center" vertical="top"/>
    </xf>
    <xf numFmtId="0" fontId="23" fillId="2" borderId="17" xfId="0" applyFont="1" applyFill="1" applyBorder="1" applyAlignment="1" applyProtection="1">
      <alignment vertical="top"/>
    </xf>
    <xf numFmtId="0" fontId="7" fillId="2" borderId="17" xfId="0" applyFont="1" applyFill="1" applyBorder="1" applyAlignment="1" applyProtection="1">
      <alignment vertical="top"/>
    </xf>
    <xf numFmtId="0" fontId="7" fillId="2" borderId="17" xfId="0" applyFont="1" applyFill="1" applyBorder="1" applyAlignment="1" applyProtection="1">
      <alignment horizontal="center" vertical="top"/>
    </xf>
    <xf numFmtId="0" fontId="6" fillId="2" borderId="18" xfId="0" applyFont="1" applyFill="1" applyBorder="1" applyAlignment="1" applyProtection="1">
      <alignment vertical="top"/>
    </xf>
    <xf numFmtId="0" fontId="58" fillId="7" borderId="0" xfId="0" applyFont="1" applyFill="1" applyAlignment="1" applyProtection="1">
      <alignment vertical="top"/>
    </xf>
    <xf numFmtId="0" fontId="58" fillId="7" borderId="0" xfId="0" applyFont="1" applyFill="1" applyAlignment="1" applyProtection="1">
      <alignment horizontal="center" vertical="top"/>
    </xf>
    <xf numFmtId="10" fontId="58" fillId="7" borderId="0" xfId="2" applyNumberFormat="1" applyFont="1" applyFill="1" applyAlignment="1" applyProtection="1">
      <alignment horizontal="center" vertical="top"/>
    </xf>
    <xf numFmtId="168" fontId="58" fillId="7" borderId="0" xfId="2" applyNumberFormat="1" applyFont="1" applyFill="1" applyAlignment="1" applyProtection="1">
      <alignment horizontal="center" vertical="top"/>
    </xf>
    <xf numFmtId="171" fontId="6" fillId="7" borderId="0" xfId="3" applyNumberFormat="1" applyFont="1" applyFill="1" applyAlignment="1" applyProtection="1">
      <alignment horizontal="center" vertical="top"/>
    </xf>
    <xf numFmtId="0" fontId="6" fillId="3" borderId="0" xfId="0" applyFont="1" applyFill="1" applyAlignment="1" applyProtection="1">
      <alignment horizontal="center" vertical="top"/>
    </xf>
    <xf numFmtId="0" fontId="93" fillId="5" borderId="0" xfId="0" applyFont="1" applyFill="1" applyAlignment="1">
      <alignment vertical="center"/>
    </xf>
    <xf numFmtId="0" fontId="0" fillId="5" borderId="0" xfId="0" applyFill="1"/>
    <xf numFmtId="0" fontId="1" fillId="5" borderId="0" xfId="0" applyFont="1" applyFill="1"/>
    <xf numFmtId="0" fontId="7" fillId="5" borderId="15" xfId="0" applyFont="1" applyFill="1" applyBorder="1" applyAlignment="1" applyProtection="1">
      <alignment vertical="top"/>
    </xf>
    <xf numFmtId="0" fontId="93" fillId="5" borderId="24" xfId="0" applyFont="1" applyFill="1" applyBorder="1" applyAlignment="1">
      <alignment vertical="center"/>
    </xf>
    <xf numFmtId="0" fontId="0" fillId="5" borderId="25" xfId="0" applyFill="1" applyBorder="1"/>
    <xf numFmtId="0" fontId="0" fillId="5" borderId="26" xfId="0" applyFill="1" applyBorder="1"/>
    <xf numFmtId="0" fontId="94" fillId="5" borderId="7" xfId="0" applyFont="1" applyFill="1" applyBorder="1" applyAlignment="1">
      <alignment vertical="center"/>
    </xf>
    <xf numFmtId="0" fontId="0" fillId="5" borderId="0" xfId="0" applyFill="1" applyBorder="1"/>
    <xf numFmtId="0" fontId="0" fillId="5" borderId="8" xfId="0" applyFill="1" applyBorder="1"/>
    <xf numFmtId="0" fontId="96" fillId="5" borderId="7" xfId="0" applyFont="1" applyFill="1" applyBorder="1"/>
    <xf numFmtId="0" fontId="1" fillId="5" borderId="7" xfId="1" applyFont="1" applyFill="1" applyBorder="1" applyAlignment="1" applyProtection="1">
      <alignment vertical="center"/>
    </xf>
    <xf numFmtId="0" fontId="1" fillId="5" borderId="0" xfId="0" applyFont="1" applyFill="1" applyBorder="1"/>
    <xf numFmtId="0" fontId="1" fillId="5" borderId="8" xfId="0" applyFont="1" applyFill="1" applyBorder="1"/>
    <xf numFmtId="0" fontId="93" fillId="5" borderId="7" xfId="0" applyFont="1" applyFill="1" applyBorder="1" applyAlignment="1">
      <alignment vertical="center"/>
    </xf>
    <xf numFmtId="0" fontId="95" fillId="5" borderId="7" xfId="0" applyFont="1" applyFill="1" applyBorder="1" applyAlignment="1">
      <alignment vertical="center"/>
    </xf>
    <xf numFmtId="0" fontId="94" fillId="5" borderId="7" xfId="0" applyFont="1" applyFill="1" applyBorder="1"/>
    <xf numFmtId="0" fontId="96" fillId="5" borderId="0" xfId="0" applyFont="1" applyFill="1" applyBorder="1"/>
    <xf numFmtId="0" fontId="96" fillId="5" borderId="8" xfId="0" applyFont="1" applyFill="1" applyBorder="1"/>
    <xf numFmtId="0" fontId="96" fillId="5" borderId="27" xfId="0" applyFont="1" applyFill="1" applyBorder="1"/>
    <xf numFmtId="0" fontId="96" fillId="5" borderId="28" xfId="0" applyFont="1" applyFill="1" applyBorder="1"/>
    <xf numFmtId="0" fontId="96" fillId="5" borderId="29" xfId="0" applyFont="1" applyFill="1" applyBorder="1"/>
    <xf numFmtId="0" fontId="64" fillId="2" borderId="0" xfId="0" applyFont="1" applyFill="1" applyAlignment="1">
      <alignment horizontal="center"/>
    </xf>
    <xf numFmtId="169" fontId="17" fillId="2" borderId="0" xfId="0" applyNumberFormat="1" applyFont="1" applyFill="1" applyAlignment="1">
      <alignment horizontal="center"/>
    </xf>
    <xf numFmtId="0" fontId="19" fillId="2" borderId="25" xfId="0" applyFont="1" applyFill="1" applyBorder="1" applyAlignment="1">
      <alignment horizontal="center"/>
    </xf>
    <xf numFmtId="0" fontId="64" fillId="2" borderId="28" xfId="0" applyFont="1" applyFill="1" applyBorder="1" applyAlignment="1">
      <alignment horizontal="center"/>
    </xf>
    <xf numFmtId="42" fontId="52" fillId="7" borderId="19" xfId="0" applyNumberFormat="1" applyFont="1" applyFill="1" applyBorder="1" applyAlignment="1" applyProtection="1">
      <alignment horizontal="center" vertical="top"/>
    </xf>
    <xf numFmtId="0" fontId="8" fillId="5" borderId="14" xfId="0" applyFont="1" applyFill="1" applyBorder="1"/>
    <xf numFmtId="0" fontId="8" fillId="5" borderId="0" xfId="0" applyFont="1" applyFill="1" applyAlignment="1">
      <alignment horizontal="right"/>
    </xf>
    <xf numFmtId="0" fontId="97" fillId="5" borderId="0" xfId="0" applyFont="1" applyFill="1" applyAlignment="1">
      <alignment horizontal="left"/>
    </xf>
    <xf numFmtId="0" fontId="98" fillId="5" borderId="0" xfId="0" applyFont="1" applyFill="1" applyAlignment="1">
      <alignment horizontal="left"/>
    </xf>
    <xf numFmtId="0" fontId="37" fillId="0" borderId="0" xfId="0" applyFont="1" applyAlignment="1" applyProtection="1">
      <alignment horizontal="left"/>
    </xf>
    <xf numFmtId="0" fontId="37" fillId="6" borderId="0" xfId="0" applyFont="1" applyFill="1" applyAlignment="1" applyProtection="1">
      <alignment horizontal="left"/>
    </xf>
    <xf numFmtId="0" fontId="37" fillId="0" borderId="0" xfId="0" applyFont="1" applyAlignment="1" applyProtection="1">
      <alignment horizontal="center"/>
    </xf>
    <xf numFmtId="49" fontId="7" fillId="0" borderId="0" xfId="0" applyNumberFormat="1" applyFont="1" applyFill="1" applyBorder="1" applyAlignment="1" applyProtection="1">
      <alignment horizontal="left" vertical="center"/>
    </xf>
    <xf numFmtId="3" fontId="7" fillId="4" borderId="0" xfId="0"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center"/>
    </xf>
    <xf numFmtId="3"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3" fontId="61"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vertical="center"/>
    </xf>
    <xf numFmtId="3" fontId="8" fillId="6" borderId="0" xfId="0" applyNumberFormat="1" applyFont="1" applyFill="1" applyBorder="1" applyAlignment="1" applyProtection="1">
      <alignment horizontal="left"/>
      <protection locked="0"/>
    </xf>
    <xf numFmtId="3" fontId="46" fillId="6" borderId="0" xfId="0" applyNumberFormat="1" applyFont="1" applyFill="1" applyBorder="1" applyAlignment="1" applyProtection="1">
      <alignment horizontal="left"/>
      <protection locked="0"/>
    </xf>
    <xf numFmtId="0" fontId="7" fillId="0" borderId="0" xfId="0" applyFont="1" applyFill="1" applyAlignment="1" applyProtection="1">
      <alignment horizontal="left" vertical="center"/>
    </xf>
    <xf numFmtId="3" fontId="62" fillId="6" borderId="0" xfId="0" applyNumberFormat="1" applyFont="1" applyFill="1" applyBorder="1" applyAlignment="1" applyProtection="1">
      <alignment horizontal="left"/>
      <protection locked="0"/>
    </xf>
    <xf numFmtId="3" fontId="38" fillId="6" borderId="0" xfId="0" applyNumberFormat="1" applyFont="1" applyFill="1" applyBorder="1" applyAlignment="1" applyProtection="1">
      <alignment horizontal="left"/>
      <protection locked="0"/>
    </xf>
    <xf numFmtId="3" fontId="37" fillId="6" borderId="0" xfId="0" applyNumberFormat="1" applyFont="1" applyFill="1" applyAlignment="1" applyProtection="1">
      <alignment horizontal="left"/>
    </xf>
    <xf numFmtId="0" fontId="99" fillId="7" borderId="0" xfId="0" applyFont="1" applyFill="1" applyAlignment="1" applyProtection="1">
      <alignment horizontal="left"/>
    </xf>
    <xf numFmtId="49" fontId="52" fillId="7" borderId="0" xfId="0" applyNumberFormat="1" applyFont="1" applyFill="1" applyBorder="1" applyAlignment="1" applyProtection="1">
      <alignment horizontal="left" vertical="center"/>
    </xf>
    <xf numFmtId="0" fontId="52" fillId="7" borderId="0" xfId="0" applyFont="1" applyFill="1" applyBorder="1" applyAlignment="1" applyProtection="1">
      <alignment horizontal="left"/>
    </xf>
    <xf numFmtId="0" fontId="52" fillId="7" borderId="0" xfId="0" applyFont="1" applyFill="1" applyBorder="1" applyAlignment="1" applyProtection="1">
      <alignment horizontal="left" vertical="center"/>
    </xf>
    <xf numFmtId="0" fontId="52" fillId="7" borderId="0" xfId="0" applyFont="1" applyFill="1" applyAlignment="1" applyProtection="1">
      <alignment horizontal="left" vertical="center"/>
    </xf>
    <xf numFmtId="0" fontId="22" fillId="7" borderId="20" xfId="0" applyFont="1" applyFill="1" applyBorder="1" applyAlignment="1" applyProtection="1">
      <alignment horizontal="left" vertical="top"/>
    </xf>
    <xf numFmtId="0" fontId="100" fillId="7" borderId="20" xfId="0" applyFont="1" applyFill="1" applyBorder="1" applyAlignment="1" applyProtection="1">
      <alignment horizontal="center" vertical="top"/>
    </xf>
    <xf numFmtId="168" fontId="7" fillId="6" borderId="0" xfId="0" applyNumberFormat="1" applyFont="1" applyFill="1" applyAlignment="1">
      <alignment horizontal="center"/>
    </xf>
    <xf numFmtId="9" fontId="37" fillId="4" borderId="0" xfId="0" applyNumberFormat="1" applyFont="1" applyFill="1" applyAlignment="1">
      <alignment horizontal="left"/>
    </xf>
    <xf numFmtId="0" fontId="37" fillId="7" borderId="0" xfId="0" applyFont="1" applyFill="1" applyAlignment="1">
      <alignment horizontal="left"/>
    </xf>
    <xf numFmtId="169" fontId="7" fillId="7" borderId="22" xfId="0" applyNumberFormat="1" applyFont="1" applyFill="1" applyBorder="1" applyAlignment="1" applyProtection="1">
      <alignment horizontal="center" vertical="top"/>
    </xf>
    <xf numFmtId="176" fontId="73" fillId="2" borderId="0" xfId="0" applyNumberFormat="1" applyFont="1" applyFill="1" applyAlignment="1">
      <alignment horizontal="center"/>
    </xf>
    <xf numFmtId="0" fontId="64" fillId="2" borderId="0" xfId="0" applyFont="1" applyFill="1" applyAlignment="1">
      <alignment horizontal="center"/>
    </xf>
    <xf numFmtId="0" fontId="101" fillId="5" borderId="0" xfId="0" applyFont="1" applyFill="1"/>
    <xf numFmtId="0" fontId="12" fillId="5" borderId="8" xfId="0" applyFont="1" applyFill="1" applyBorder="1"/>
    <xf numFmtId="0" fontId="12" fillId="5" borderId="7" xfId="0" applyFont="1" applyFill="1" applyBorder="1"/>
    <xf numFmtId="177" fontId="102" fillId="5" borderId="0" xfId="0" applyNumberFormat="1" applyFont="1" applyFill="1" applyAlignment="1">
      <alignment horizontal="center"/>
    </xf>
    <xf numFmtId="0" fontId="90" fillId="5" borderId="0" xfId="0" applyFont="1" applyFill="1"/>
    <xf numFmtId="0" fontId="37" fillId="0" borderId="0" xfId="0" applyFont="1" applyFill="1" applyAlignment="1">
      <alignment horizontal="left"/>
    </xf>
    <xf numFmtId="0" fontId="31" fillId="5" borderId="0" xfId="0" applyFont="1" applyFill="1"/>
    <xf numFmtId="0" fontId="7" fillId="5" borderId="20" xfId="2" applyNumberFormat="1" applyFont="1" applyFill="1" applyBorder="1" applyAlignment="1" applyProtection="1">
      <alignment horizontal="center" vertical="top"/>
      <protection locked="0"/>
    </xf>
    <xf numFmtId="10" fontId="2" fillId="0" borderId="0" xfId="1" applyNumberFormat="1" applyAlignment="1" applyProtection="1">
      <alignment horizontal="left"/>
    </xf>
    <xf numFmtId="0" fontId="63" fillId="5" borderId="0" xfId="0" applyFont="1" applyFill="1" applyAlignment="1">
      <alignment horizontal="center"/>
    </xf>
    <xf numFmtId="0" fontId="64" fillId="2" borderId="0" xfId="0" applyFont="1" applyFill="1" applyAlignment="1">
      <alignment horizontal="center"/>
    </xf>
    <xf numFmtId="0" fontId="74" fillId="5" borderId="0" xfId="0" applyFont="1" applyFill="1" applyAlignment="1">
      <alignment horizontal="center" wrapText="1"/>
    </xf>
    <xf numFmtId="0" fontId="74" fillId="5" borderId="23" xfId="0" applyFont="1" applyFill="1" applyBorder="1" applyAlignment="1">
      <alignment horizontal="center" wrapText="1"/>
    </xf>
    <xf numFmtId="0" fontId="64" fillId="2" borderId="0" xfId="0" applyFont="1" applyFill="1" applyAlignment="1">
      <alignment horizontal="center" wrapText="1"/>
    </xf>
    <xf numFmtId="0" fontId="64" fillId="2" borderId="23" xfId="0" applyFont="1" applyFill="1" applyBorder="1" applyAlignment="1">
      <alignment horizontal="center" wrapText="1"/>
    </xf>
    <xf numFmtId="172" fontId="60" fillId="4" borderId="0" xfId="0" applyNumberFormat="1" applyFont="1" applyFill="1" applyAlignment="1">
      <alignment horizontal="left"/>
    </xf>
  </cellXfs>
  <cellStyles count="5">
    <cellStyle name="Hyperlink" xfId="1" builtinId="8"/>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0</xdr:rowOff>
    </xdr:to>
    <xdr:pic>
      <xdr:nvPicPr>
        <xdr:cNvPr id="14337" name="Picture 2">
          <a:extLst>
            <a:ext uri="{FF2B5EF4-FFF2-40B4-BE49-F238E27FC236}">
              <a16:creationId xmlns:a16="http://schemas.microsoft.com/office/drawing/2014/main" xmlns="" id="{00000000-0008-0000-0000-00000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rijksoverheid.nl/ministeries/ministerie-van-financien/documenten/circulaires/2018/12/18/belangrijkste-wijzigingen-belastingen-2019" TargetMode="External"/><Relationship Id="rId7" Type="http://schemas.openxmlformats.org/officeDocument/2006/relationships/printerSettings" Target="../printerSettings/printerSettings4.bin"/><Relationship Id="rId2" Type="http://schemas.openxmlformats.org/officeDocument/2006/relationships/hyperlink" Target="https://zoek.officielebekendmakingen.nl/stcrt-2019-62011.html" TargetMode="External"/><Relationship Id="rId1" Type="http://schemas.openxmlformats.org/officeDocument/2006/relationships/hyperlink" Target="https://www.salarisnet.nl/?s=inkomensafhankelijke+bijdrage+Zorgverzekeringswet+2019" TargetMode="External"/><Relationship Id="rId6" Type="http://schemas.openxmlformats.org/officeDocument/2006/relationships/hyperlink" Target="https://zoek.officielebekendmakingen.nl/stcrt-2019-48560.html" TargetMode="External"/><Relationship Id="rId5" Type="http://schemas.openxmlformats.org/officeDocument/2006/relationships/hyperlink" Target="https://www.abp.nl/images/Premietabel_2020_2.pdf" TargetMode="External"/><Relationship Id="rId4" Type="http://schemas.openxmlformats.org/officeDocument/2006/relationships/hyperlink" Target="https://www.vfpf.nl/actueel/de-premies-voor-2020-zijn-bekend" TargetMode="Externa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13"/>
  <sheetViews>
    <sheetView zoomScale="115" zoomScaleNormal="115" workbookViewId="0">
      <selection activeCell="B2" sqref="B2"/>
    </sheetView>
  </sheetViews>
  <sheetFormatPr defaultColWidth="9.140625" defaultRowHeight="12.75" x14ac:dyDescent="0.2"/>
  <cols>
    <col min="1" max="1" width="3.7109375" style="70" customWidth="1"/>
    <col min="2" max="2" width="2.7109375" style="70" customWidth="1"/>
    <col min="3" max="4" width="9.140625" style="70"/>
    <col min="5" max="6" width="14.85546875" style="70" customWidth="1"/>
    <col min="7" max="7" width="9.140625" style="70"/>
    <col min="8" max="8" width="19" style="70" bestFit="1" customWidth="1"/>
    <col min="9" max="11" width="9.140625" style="70"/>
    <col min="12" max="12" width="9.7109375" style="70" customWidth="1"/>
    <col min="13" max="13" width="9.140625" style="70"/>
    <col min="14" max="14" width="16" style="70" customWidth="1"/>
    <col min="15" max="16384" width="9.140625" style="70"/>
  </cols>
  <sheetData>
    <row r="2" spans="2:17" x14ac:dyDescent="0.2">
      <c r="B2" s="89"/>
      <c r="C2" s="90"/>
      <c r="D2" s="90"/>
      <c r="E2" s="90"/>
      <c r="F2" s="90"/>
      <c r="G2" s="90"/>
      <c r="H2" s="90"/>
      <c r="I2" s="90"/>
      <c r="J2" s="90"/>
      <c r="K2" s="90"/>
      <c r="L2" s="90"/>
      <c r="M2" s="90"/>
      <c r="N2" s="91"/>
    </row>
    <row r="3" spans="2:17" x14ac:dyDescent="0.2">
      <c r="B3" s="92"/>
      <c r="N3" s="93"/>
    </row>
    <row r="4" spans="2:17" s="71" customFormat="1" ht="18.75" x14ac:dyDescent="0.3">
      <c r="B4" s="94"/>
      <c r="C4" s="422" t="s">
        <v>22</v>
      </c>
      <c r="D4" s="72"/>
      <c r="E4" s="72"/>
      <c r="F4" s="72"/>
      <c r="G4" s="72"/>
      <c r="H4" s="421">
        <v>43866</v>
      </c>
      <c r="L4" s="73"/>
      <c r="N4" s="95"/>
      <c r="Q4" s="22"/>
    </row>
    <row r="5" spans="2:17" ht="15.75" x14ac:dyDescent="0.25">
      <c r="B5" s="92"/>
      <c r="C5" s="74"/>
      <c r="L5" s="75"/>
      <c r="M5" s="76"/>
      <c r="N5" s="96"/>
      <c r="Q5" s="22"/>
    </row>
    <row r="6" spans="2:17" s="29" customFormat="1" ht="15.75" x14ac:dyDescent="0.25">
      <c r="B6" s="385"/>
      <c r="C6" s="387" t="s">
        <v>306</v>
      </c>
      <c r="L6" s="386"/>
      <c r="N6" s="95"/>
    </row>
    <row r="7" spans="2:17" ht="15" x14ac:dyDescent="0.25">
      <c r="B7" s="92"/>
      <c r="C7" s="388" t="s">
        <v>307</v>
      </c>
      <c r="L7" s="75"/>
      <c r="M7" s="76"/>
      <c r="N7" s="96"/>
      <c r="Q7" s="22"/>
    </row>
    <row r="8" spans="2:17" x14ac:dyDescent="0.2">
      <c r="B8" s="92"/>
      <c r="C8" s="76"/>
      <c r="L8" s="75"/>
      <c r="M8" s="76"/>
      <c r="N8" s="96"/>
    </row>
    <row r="9" spans="2:17" ht="15.75" x14ac:dyDescent="0.25">
      <c r="B9" s="92"/>
      <c r="C9" s="418" t="s">
        <v>355</v>
      </c>
      <c r="L9" s="75"/>
      <c r="M9" s="76"/>
      <c r="N9" s="96"/>
    </row>
    <row r="10" spans="2:17" ht="15.75" x14ac:dyDescent="0.25">
      <c r="B10" s="92"/>
      <c r="C10" s="424" t="s">
        <v>337</v>
      </c>
      <c r="L10" s="75"/>
      <c r="M10" s="76"/>
      <c r="N10" s="96"/>
    </row>
    <row r="11" spans="2:17" ht="15.75" x14ac:dyDescent="0.25">
      <c r="B11" s="92"/>
      <c r="C11" s="424" t="s">
        <v>348</v>
      </c>
      <c r="L11" s="75"/>
      <c r="M11" s="76"/>
      <c r="N11" s="96"/>
    </row>
    <row r="12" spans="2:17" x14ac:dyDescent="0.2">
      <c r="B12" s="92"/>
      <c r="C12" s="76"/>
      <c r="L12" s="75"/>
      <c r="M12" s="76"/>
      <c r="N12" s="96"/>
    </row>
    <row r="13" spans="2:17" ht="15.75" x14ac:dyDescent="0.25">
      <c r="B13" s="92"/>
      <c r="C13" s="418" t="s">
        <v>356</v>
      </c>
      <c r="L13" s="75"/>
      <c r="M13" s="76"/>
      <c r="N13" s="96"/>
    </row>
    <row r="14" spans="2:17" ht="15.75" x14ac:dyDescent="0.25">
      <c r="B14" s="92"/>
      <c r="C14" s="424" t="s">
        <v>357</v>
      </c>
      <c r="L14" s="75"/>
      <c r="M14" s="76"/>
      <c r="N14" s="96"/>
    </row>
    <row r="15" spans="2:17" x14ac:dyDescent="0.2">
      <c r="B15" s="92"/>
      <c r="C15" s="76"/>
      <c r="L15" s="75"/>
      <c r="M15" s="76"/>
      <c r="N15" s="96"/>
    </row>
    <row r="16" spans="2:17" ht="15.75" x14ac:dyDescent="0.25">
      <c r="B16" s="92"/>
      <c r="C16" s="418" t="s">
        <v>362</v>
      </c>
      <c r="L16" s="75"/>
      <c r="M16" s="76"/>
      <c r="N16" s="96"/>
    </row>
    <row r="17" spans="2:23" ht="15.75" x14ac:dyDescent="0.25">
      <c r="B17" s="92"/>
      <c r="C17" s="424" t="s">
        <v>364</v>
      </c>
      <c r="L17" s="75"/>
      <c r="M17" s="76"/>
      <c r="N17" s="96"/>
    </row>
    <row r="18" spans="2:23" x14ac:dyDescent="0.2">
      <c r="B18" s="92"/>
      <c r="C18" s="76"/>
      <c r="L18" s="75"/>
      <c r="M18" s="76"/>
      <c r="N18" s="96"/>
    </row>
    <row r="19" spans="2:23" x14ac:dyDescent="0.2">
      <c r="B19" s="97"/>
      <c r="C19" s="22" t="s">
        <v>24</v>
      </c>
      <c r="D19" s="22"/>
      <c r="E19" s="22"/>
      <c r="F19" s="22"/>
      <c r="G19" s="78" t="s">
        <v>83</v>
      </c>
      <c r="I19" s="22"/>
      <c r="J19" s="22"/>
      <c r="K19" s="22"/>
      <c r="L19" s="22"/>
      <c r="M19" s="22"/>
      <c r="N19" s="96"/>
    </row>
    <row r="20" spans="2:23" x14ac:dyDescent="0.2">
      <c r="B20" s="97"/>
      <c r="C20" s="22" t="s">
        <v>253</v>
      </c>
      <c r="D20" s="22"/>
      <c r="E20" s="22"/>
      <c r="F20" s="22"/>
      <c r="G20" s="22"/>
      <c r="H20" s="22"/>
      <c r="I20" s="22"/>
      <c r="J20" s="22"/>
      <c r="K20" s="22"/>
      <c r="L20" s="22"/>
      <c r="M20" s="22"/>
      <c r="N20" s="93"/>
    </row>
    <row r="21" spans="2:23" x14ac:dyDescent="0.2">
      <c r="B21" s="97"/>
      <c r="C21" s="22"/>
      <c r="D21" s="22"/>
      <c r="E21" s="22"/>
      <c r="F21" s="22"/>
      <c r="G21" s="22"/>
      <c r="H21" s="22"/>
      <c r="I21" s="22"/>
      <c r="J21" s="22"/>
      <c r="K21" s="22"/>
      <c r="L21" s="22"/>
      <c r="M21" s="22"/>
      <c r="N21" s="93"/>
    </row>
    <row r="22" spans="2:23" x14ac:dyDescent="0.2">
      <c r="B22" s="97"/>
      <c r="C22" s="29" t="s">
        <v>258</v>
      </c>
      <c r="D22" s="22"/>
      <c r="E22" s="22"/>
      <c r="F22" s="22"/>
      <c r="G22" s="22"/>
      <c r="H22" s="22"/>
      <c r="I22" s="22"/>
      <c r="J22" s="22"/>
      <c r="K22" s="22"/>
      <c r="L22" s="22"/>
      <c r="M22" s="22"/>
      <c r="N22" s="93"/>
    </row>
    <row r="23" spans="2:23" x14ac:dyDescent="0.2">
      <c r="B23" s="97"/>
      <c r="C23" s="22" t="s">
        <v>302</v>
      </c>
      <c r="D23" s="22"/>
      <c r="E23" s="22"/>
      <c r="F23" s="22"/>
      <c r="G23" s="22"/>
      <c r="H23" s="22"/>
      <c r="I23" s="22"/>
      <c r="J23" s="22"/>
      <c r="K23" s="22"/>
      <c r="L23" s="22"/>
      <c r="M23" s="22"/>
      <c r="N23" s="93"/>
    </row>
    <row r="24" spans="2:23" x14ac:dyDescent="0.2">
      <c r="B24" s="97"/>
      <c r="C24" s="22" t="s">
        <v>303</v>
      </c>
      <c r="D24" s="22"/>
      <c r="E24" s="22"/>
      <c r="F24" s="22"/>
      <c r="G24" s="22"/>
      <c r="H24" s="22"/>
      <c r="I24" s="22"/>
      <c r="J24" s="22"/>
      <c r="K24" s="22"/>
      <c r="L24" s="22"/>
      <c r="M24" s="22"/>
      <c r="N24" s="93"/>
    </row>
    <row r="25" spans="2:23" x14ac:dyDescent="0.2">
      <c r="B25" s="97"/>
      <c r="C25" s="22" t="s">
        <v>299</v>
      </c>
      <c r="D25" s="22"/>
      <c r="E25" s="22"/>
      <c r="F25" s="22"/>
      <c r="G25" s="22"/>
      <c r="H25" s="22"/>
      <c r="I25" s="22"/>
      <c r="J25" s="22"/>
      <c r="K25" s="22"/>
      <c r="L25" s="22"/>
      <c r="M25" s="22"/>
      <c r="N25" s="93"/>
    </row>
    <row r="26" spans="2:23" x14ac:dyDescent="0.2">
      <c r="B26" s="97"/>
      <c r="D26" s="22"/>
      <c r="E26" s="22"/>
      <c r="F26" s="22"/>
      <c r="G26" s="22"/>
      <c r="H26" s="22"/>
      <c r="I26" s="22"/>
      <c r="J26" s="22"/>
      <c r="K26" s="22"/>
      <c r="L26" s="22"/>
      <c r="M26" s="22"/>
      <c r="N26" s="93"/>
    </row>
    <row r="27" spans="2:23" x14ac:dyDescent="0.2">
      <c r="B27" s="97"/>
      <c r="C27" s="29" t="s">
        <v>259</v>
      </c>
      <c r="D27" s="22"/>
      <c r="E27" s="22"/>
      <c r="F27" s="22"/>
      <c r="G27" s="22"/>
      <c r="H27" s="22"/>
      <c r="I27" s="22"/>
      <c r="J27" s="22"/>
      <c r="K27" s="22"/>
      <c r="L27" s="22"/>
      <c r="M27" s="22"/>
      <c r="N27" s="93"/>
    </row>
    <row r="28" spans="2:23" x14ac:dyDescent="0.2">
      <c r="B28" s="97"/>
      <c r="C28" s="22" t="s">
        <v>321</v>
      </c>
      <c r="D28" s="22"/>
      <c r="E28" s="22"/>
      <c r="F28" s="22"/>
      <c r="G28" s="22"/>
      <c r="H28" s="22"/>
      <c r="I28" s="22"/>
      <c r="J28" s="22"/>
      <c r="K28" s="22"/>
      <c r="L28" s="22"/>
      <c r="M28" s="22"/>
      <c r="N28" s="93"/>
    </row>
    <row r="29" spans="2:23" x14ac:dyDescent="0.2">
      <c r="B29" s="97"/>
      <c r="C29" s="22" t="s">
        <v>349</v>
      </c>
      <c r="D29" s="22"/>
      <c r="E29" s="22"/>
      <c r="F29" s="22"/>
      <c r="G29" s="22"/>
      <c r="H29" s="22"/>
      <c r="I29" s="22"/>
      <c r="J29" s="22"/>
      <c r="K29" s="22"/>
      <c r="L29" s="22"/>
      <c r="M29" s="22"/>
      <c r="N29" s="93"/>
    </row>
    <row r="30" spans="2:23" x14ac:dyDescent="0.2">
      <c r="B30" s="97"/>
      <c r="C30" s="22" t="s">
        <v>132</v>
      </c>
      <c r="D30" s="22"/>
      <c r="E30" s="22"/>
      <c r="F30" s="22"/>
      <c r="G30" s="22"/>
      <c r="H30" s="22"/>
      <c r="I30" s="22"/>
      <c r="J30" s="22"/>
      <c r="K30" s="22"/>
      <c r="L30" s="22"/>
      <c r="M30" s="22"/>
      <c r="N30" s="93"/>
      <c r="P30" s="22"/>
      <c r="Q30" s="80"/>
      <c r="R30" s="22"/>
      <c r="S30" s="22"/>
      <c r="T30" s="22"/>
      <c r="U30" s="22"/>
      <c r="V30" s="22"/>
      <c r="W30" s="22"/>
    </row>
    <row r="31" spans="2:23" x14ac:dyDescent="0.2">
      <c r="B31" s="97"/>
      <c r="C31" s="22" t="s">
        <v>350</v>
      </c>
      <c r="D31" s="22"/>
      <c r="E31" s="22"/>
      <c r="F31" s="22"/>
      <c r="G31" s="22"/>
      <c r="H31" s="22"/>
      <c r="I31" s="22"/>
      <c r="J31" s="22"/>
      <c r="K31" s="22"/>
      <c r="L31" s="22"/>
      <c r="M31" s="22"/>
      <c r="N31" s="93"/>
      <c r="P31" s="22"/>
      <c r="Q31" s="80"/>
      <c r="R31" s="22"/>
      <c r="S31" s="22"/>
      <c r="T31" s="22"/>
      <c r="U31" s="22"/>
      <c r="V31" s="22"/>
      <c r="W31" s="22"/>
    </row>
    <row r="32" spans="2:23" x14ac:dyDescent="0.2">
      <c r="B32" s="97"/>
      <c r="C32" s="22" t="s">
        <v>300</v>
      </c>
      <c r="D32" s="22"/>
      <c r="E32" s="22"/>
      <c r="F32" s="22"/>
      <c r="G32" s="22"/>
      <c r="H32" s="22"/>
      <c r="I32" s="22"/>
      <c r="J32" s="22"/>
      <c r="K32" s="22"/>
      <c r="L32" s="22"/>
      <c r="M32" s="22"/>
      <c r="N32" s="93"/>
      <c r="P32" s="22"/>
      <c r="Q32" s="80"/>
      <c r="R32" s="22"/>
      <c r="S32" s="22"/>
      <c r="T32" s="22"/>
      <c r="U32" s="22"/>
      <c r="V32" s="22"/>
      <c r="W32" s="22"/>
    </row>
    <row r="33" spans="1:23" x14ac:dyDescent="0.2">
      <c r="B33" s="97"/>
      <c r="C33" s="22" t="s">
        <v>92</v>
      </c>
      <c r="D33" s="22"/>
      <c r="E33" s="22"/>
      <c r="F33" s="22"/>
      <c r="G33" s="22"/>
      <c r="H33" s="22"/>
      <c r="I33" s="22"/>
      <c r="J33" s="22"/>
      <c r="K33" s="22"/>
      <c r="L33" s="22"/>
      <c r="M33" s="22"/>
      <c r="N33" s="93"/>
      <c r="P33" s="22"/>
      <c r="Q33" s="80"/>
      <c r="R33" s="22"/>
      <c r="S33" s="22"/>
      <c r="T33" s="22"/>
      <c r="U33" s="22"/>
      <c r="V33" s="22"/>
      <c r="W33" s="22"/>
    </row>
    <row r="34" spans="1:23" x14ac:dyDescent="0.2">
      <c r="B34" s="97"/>
      <c r="C34" s="22" t="s">
        <v>154</v>
      </c>
      <c r="D34" s="22"/>
      <c r="E34" s="22"/>
      <c r="F34" s="22"/>
      <c r="G34" s="22"/>
      <c r="H34" s="22"/>
      <c r="I34" s="22"/>
      <c r="J34" s="22"/>
      <c r="K34" s="22"/>
      <c r="L34" s="22"/>
      <c r="M34" s="22"/>
      <c r="N34" s="93"/>
      <c r="P34" s="22"/>
      <c r="Q34" s="80"/>
      <c r="R34" s="22"/>
      <c r="S34" s="22"/>
      <c r="T34" s="22"/>
      <c r="U34" s="22"/>
      <c r="V34" s="22"/>
      <c r="W34" s="22"/>
    </row>
    <row r="35" spans="1:23" x14ac:dyDescent="0.2">
      <c r="B35" s="97"/>
      <c r="D35" s="22"/>
      <c r="E35" s="22"/>
      <c r="F35" s="22"/>
      <c r="G35" s="22"/>
      <c r="H35" s="22"/>
      <c r="I35" s="22"/>
      <c r="J35" s="22"/>
      <c r="K35" s="22"/>
      <c r="L35" s="22"/>
      <c r="M35" s="22"/>
      <c r="N35" s="93"/>
      <c r="P35" s="22"/>
      <c r="Q35" s="80"/>
      <c r="R35" s="22"/>
      <c r="S35" s="22"/>
      <c r="T35" s="22"/>
      <c r="U35" s="22"/>
      <c r="V35" s="22"/>
      <c r="W35" s="22"/>
    </row>
    <row r="36" spans="1:23" x14ac:dyDescent="0.2">
      <c r="B36" s="97"/>
      <c r="C36" s="29" t="s">
        <v>127</v>
      </c>
      <c r="D36" s="22"/>
      <c r="E36" s="22"/>
      <c r="F36" s="22"/>
      <c r="G36" s="22"/>
      <c r="H36" s="82"/>
      <c r="I36" s="82"/>
      <c r="J36" s="82"/>
      <c r="K36" s="22"/>
      <c r="L36" s="22"/>
      <c r="M36" s="22"/>
      <c r="N36" s="93"/>
    </row>
    <row r="37" spans="1:23" x14ac:dyDescent="0.2">
      <c r="B37" s="97"/>
      <c r="C37" s="86" t="s">
        <v>269</v>
      </c>
      <c r="D37" s="83"/>
      <c r="E37" s="83"/>
      <c r="F37" s="83"/>
      <c r="G37" s="83"/>
      <c r="H37" s="84"/>
      <c r="I37" s="84"/>
      <c r="J37" s="84"/>
      <c r="K37" s="83"/>
      <c r="L37" s="85"/>
      <c r="M37" s="85"/>
      <c r="N37" s="93"/>
    </row>
    <row r="38" spans="1:23" x14ac:dyDescent="0.2">
      <c r="B38" s="97"/>
      <c r="C38" s="86" t="s">
        <v>178</v>
      </c>
      <c r="D38" s="83"/>
      <c r="E38" s="83"/>
      <c r="F38" s="83"/>
      <c r="G38" s="83"/>
      <c r="H38" s="84"/>
      <c r="I38" s="84"/>
      <c r="J38" s="84"/>
      <c r="K38" s="83"/>
      <c r="L38" s="85"/>
      <c r="M38" s="85"/>
      <c r="N38" s="93"/>
    </row>
    <row r="39" spans="1:23" x14ac:dyDescent="0.2">
      <c r="B39" s="97"/>
      <c r="C39" s="86" t="s">
        <v>137</v>
      </c>
      <c r="D39" s="83"/>
      <c r="E39" s="83"/>
      <c r="F39" s="83"/>
      <c r="G39" s="83"/>
      <c r="H39" s="84"/>
      <c r="I39" s="84"/>
      <c r="J39" s="84"/>
      <c r="K39" s="83"/>
      <c r="L39" s="85"/>
      <c r="M39" s="85"/>
      <c r="N39" s="93"/>
    </row>
    <row r="40" spans="1:23" x14ac:dyDescent="0.2">
      <c r="A40" s="75"/>
      <c r="B40" s="97"/>
      <c r="C40" s="86" t="s">
        <v>270</v>
      </c>
      <c r="D40" s="83"/>
      <c r="E40" s="83"/>
      <c r="F40" s="83"/>
      <c r="G40" s="83"/>
      <c r="H40" s="84"/>
      <c r="I40" s="84"/>
      <c r="J40" s="84"/>
      <c r="K40" s="83"/>
      <c r="L40" s="85"/>
      <c r="M40" s="85"/>
      <c r="N40" s="93"/>
    </row>
    <row r="41" spans="1:23" x14ac:dyDescent="0.2">
      <c r="B41" s="97"/>
      <c r="C41" s="86" t="s">
        <v>90</v>
      </c>
      <c r="D41" s="83"/>
      <c r="E41" s="83"/>
      <c r="F41" s="83"/>
      <c r="G41" s="83"/>
      <c r="H41" s="84"/>
      <c r="I41" s="84"/>
      <c r="J41" s="84"/>
      <c r="K41" s="83"/>
      <c r="L41" s="85"/>
      <c r="M41" s="85"/>
      <c r="N41" s="93"/>
    </row>
    <row r="42" spans="1:23" x14ac:dyDescent="0.2">
      <c r="B42" s="97"/>
      <c r="C42" s="86" t="s">
        <v>91</v>
      </c>
      <c r="D42" s="83"/>
      <c r="E42" s="83"/>
      <c r="F42" s="83"/>
      <c r="G42" s="83"/>
      <c r="H42" s="84"/>
      <c r="I42" s="84"/>
      <c r="J42" s="84"/>
      <c r="K42" s="83"/>
      <c r="L42" s="85"/>
      <c r="M42" s="85"/>
      <c r="N42" s="93"/>
    </row>
    <row r="43" spans="1:23" x14ac:dyDescent="0.2">
      <c r="B43" s="97"/>
      <c r="C43" s="86" t="s">
        <v>351</v>
      </c>
      <c r="D43" s="83"/>
      <c r="E43" s="83"/>
      <c r="F43" s="83"/>
      <c r="G43" s="83"/>
      <c r="H43" s="84"/>
      <c r="I43" s="84"/>
      <c r="J43" s="84"/>
      <c r="K43" s="83"/>
      <c r="L43" s="85"/>
      <c r="M43" s="85"/>
      <c r="N43" s="93"/>
    </row>
    <row r="44" spans="1:23" x14ac:dyDescent="0.2">
      <c r="B44" s="97"/>
      <c r="C44" s="23"/>
      <c r="D44" s="22"/>
      <c r="E44" s="22"/>
      <c r="F44" s="22"/>
      <c r="G44" s="22"/>
      <c r="H44" s="82"/>
      <c r="I44" s="82"/>
      <c r="J44" s="82"/>
      <c r="K44" s="22"/>
      <c r="L44" s="22"/>
      <c r="M44" s="22"/>
      <c r="N44" s="93"/>
    </row>
    <row r="45" spans="1:23" x14ac:dyDescent="0.2">
      <c r="B45" s="97"/>
      <c r="C45" s="22" t="s">
        <v>128</v>
      </c>
      <c r="D45" s="22"/>
      <c r="E45" s="22"/>
      <c r="F45" s="22"/>
      <c r="G45" s="22"/>
      <c r="H45" s="82"/>
      <c r="I45" s="82"/>
      <c r="J45" s="82"/>
      <c r="K45" s="22"/>
      <c r="L45" s="22"/>
      <c r="M45" s="22"/>
      <c r="N45" s="93"/>
      <c r="P45" s="22"/>
    </row>
    <row r="46" spans="1:23" x14ac:dyDescent="0.2">
      <c r="B46" s="97"/>
      <c r="C46" s="22" t="s">
        <v>263</v>
      </c>
      <c r="D46" s="22"/>
      <c r="E46" s="22"/>
      <c r="F46" s="22"/>
      <c r="G46" s="22"/>
      <c r="H46" s="82"/>
      <c r="I46" s="82"/>
      <c r="J46" s="82"/>
      <c r="K46" s="22"/>
      <c r="L46" s="22"/>
      <c r="M46" s="22"/>
      <c r="N46" s="93"/>
      <c r="P46" s="22"/>
    </row>
    <row r="47" spans="1:23" x14ac:dyDescent="0.2">
      <c r="B47" s="97"/>
      <c r="C47" s="22" t="s">
        <v>343</v>
      </c>
      <c r="D47" s="22"/>
      <c r="E47" s="22"/>
      <c r="F47" s="22"/>
      <c r="G47" s="22"/>
      <c r="H47" s="82"/>
      <c r="I47" s="82"/>
      <c r="J47" s="82"/>
      <c r="K47" s="22"/>
      <c r="L47" s="22"/>
      <c r="M47" s="22"/>
      <c r="N47" s="93"/>
      <c r="P47" s="22"/>
    </row>
    <row r="48" spans="1:23" x14ac:dyDescent="0.2">
      <c r="B48" s="97"/>
      <c r="C48" s="22"/>
      <c r="D48" s="22"/>
      <c r="E48" s="22"/>
      <c r="F48" s="22"/>
      <c r="G48" s="22"/>
      <c r="H48" s="82"/>
      <c r="I48" s="82"/>
      <c r="J48" s="82"/>
      <c r="K48" s="22"/>
      <c r="L48" s="22"/>
      <c r="M48" s="22"/>
      <c r="N48" s="93"/>
      <c r="P48" s="22"/>
    </row>
    <row r="49" spans="2:30" x14ac:dyDescent="0.2">
      <c r="B49" s="97"/>
      <c r="C49" s="22" t="s">
        <v>84</v>
      </c>
      <c r="D49" s="22"/>
      <c r="E49" s="22"/>
      <c r="F49" s="22"/>
      <c r="G49" s="22"/>
      <c r="H49" s="82"/>
      <c r="I49" s="82"/>
      <c r="J49" s="82"/>
      <c r="K49" s="22"/>
      <c r="L49" s="22"/>
      <c r="M49" s="22"/>
      <c r="N49" s="93"/>
      <c r="P49" s="22"/>
    </row>
    <row r="50" spans="2:30" x14ac:dyDescent="0.2">
      <c r="B50" s="97"/>
      <c r="C50" s="22" t="s">
        <v>129</v>
      </c>
      <c r="D50" s="22"/>
      <c r="E50" s="22"/>
      <c r="F50" s="22"/>
      <c r="G50" s="22"/>
      <c r="H50" s="82"/>
      <c r="I50" s="82"/>
      <c r="J50" s="82"/>
      <c r="K50" s="22"/>
      <c r="L50" s="22"/>
      <c r="M50" s="22"/>
      <c r="N50" s="93"/>
      <c r="P50" s="22"/>
    </row>
    <row r="51" spans="2:30" x14ac:dyDescent="0.2">
      <c r="B51" s="97"/>
      <c r="C51" s="22"/>
      <c r="D51" s="22"/>
      <c r="E51" s="22"/>
      <c r="F51" s="22"/>
      <c r="G51" s="22"/>
      <c r="H51" s="82"/>
      <c r="I51" s="82"/>
      <c r="J51" s="82"/>
      <c r="K51" s="22"/>
      <c r="L51" s="22"/>
      <c r="M51" s="22"/>
      <c r="N51" s="93"/>
      <c r="P51" s="22"/>
    </row>
    <row r="52" spans="2:30" x14ac:dyDescent="0.2">
      <c r="B52" s="97"/>
      <c r="C52" s="22" t="s">
        <v>38</v>
      </c>
      <c r="D52" s="22"/>
      <c r="E52" s="22"/>
      <c r="F52" s="22"/>
      <c r="G52" s="22"/>
      <c r="H52" s="82"/>
      <c r="I52" s="82"/>
      <c r="J52" s="82"/>
      <c r="K52" s="22"/>
      <c r="L52" s="22"/>
      <c r="M52" s="22"/>
      <c r="N52" s="93"/>
      <c r="P52" s="29"/>
    </row>
    <row r="53" spans="2:30" x14ac:dyDescent="0.2">
      <c r="B53" s="97"/>
      <c r="C53" s="22" t="s">
        <v>130</v>
      </c>
      <c r="D53" s="22"/>
      <c r="E53" s="22"/>
      <c r="F53" s="22"/>
      <c r="G53" s="22"/>
      <c r="H53" s="82"/>
      <c r="I53" s="82"/>
      <c r="J53" s="82"/>
      <c r="K53" s="22"/>
      <c r="L53" s="22"/>
      <c r="M53" s="22"/>
      <c r="N53" s="93"/>
      <c r="P53" s="22"/>
    </row>
    <row r="54" spans="2:30" x14ac:dyDescent="0.2">
      <c r="B54" s="97"/>
      <c r="C54" s="22" t="s">
        <v>89</v>
      </c>
      <c r="D54" s="22"/>
      <c r="E54" s="22"/>
      <c r="F54" s="22"/>
      <c r="G54" s="22"/>
      <c r="H54" s="82"/>
      <c r="I54" s="82"/>
      <c r="J54" s="82"/>
      <c r="K54" s="22"/>
      <c r="L54" s="22"/>
      <c r="M54" s="22"/>
      <c r="N54" s="93"/>
      <c r="P54" s="22"/>
    </row>
    <row r="55" spans="2:30" x14ac:dyDescent="0.2">
      <c r="B55" s="97"/>
      <c r="C55" s="22" t="s">
        <v>157</v>
      </c>
      <c r="D55" s="22"/>
      <c r="E55" s="22"/>
      <c r="F55" s="22"/>
      <c r="G55" s="22"/>
      <c r="H55" s="82"/>
      <c r="I55" s="82"/>
      <c r="J55" s="82"/>
      <c r="K55" s="22"/>
      <c r="L55" s="22"/>
      <c r="M55" s="22"/>
      <c r="N55" s="93"/>
      <c r="P55" s="22"/>
    </row>
    <row r="56" spans="2:30" x14ac:dyDescent="0.2">
      <c r="B56" s="97"/>
      <c r="C56" s="22"/>
      <c r="D56" s="22"/>
      <c r="E56" s="22"/>
      <c r="F56" s="22"/>
      <c r="G56" s="22"/>
      <c r="H56" s="82"/>
      <c r="I56" s="82"/>
      <c r="J56" s="82"/>
      <c r="K56" s="22"/>
      <c r="L56" s="22"/>
      <c r="M56" s="22"/>
      <c r="N56" s="93"/>
      <c r="T56" s="22"/>
      <c r="U56" s="22"/>
      <c r="V56" s="22"/>
      <c r="W56" s="22"/>
      <c r="X56" s="82"/>
      <c r="Y56" s="82"/>
      <c r="Z56" s="82"/>
      <c r="AA56" s="22"/>
      <c r="AB56" s="22"/>
      <c r="AC56" s="22"/>
      <c r="AD56" s="93"/>
    </row>
    <row r="57" spans="2:30" x14ac:dyDescent="0.2">
      <c r="B57" s="97"/>
      <c r="C57" s="99" t="s">
        <v>260</v>
      </c>
      <c r="D57" s="22"/>
      <c r="E57" s="22"/>
      <c r="F57" s="22"/>
      <c r="G57" s="22"/>
      <c r="H57" s="82"/>
      <c r="I57" s="82"/>
      <c r="J57" s="82"/>
      <c r="K57" s="22"/>
      <c r="L57" s="22"/>
      <c r="M57" s="22"/>
      <c r="N57" s="93"/>
      <c r="T57" s="22"/>
      <c r="U57" s="22"/>
      <c r="V57" s="22"/>
      <c r="W57" s="22"/>
      <c r="X57" s="82"/>
      <c r="Y57" s="82"/>
      <c r="Z57" s="82"/>
      <c r="AA57" s="22"/>
      <c r="AB57" s="22"/>
      <c r="AC57" s="22"/>
      <c r="AD57" s="93"/>
    </row>
    <row r="58" spans="2:30" x14ac:dyDescent="0.2">
      <c r="B58" s="97"/>
      <c r="C58" s="22" t="s">
        <v>344</v>
      </c>
      <c r="D58" s="22"/>
      <c r="E58" s="22"/>
      <c r="F58" s="22"/>
      <c r="G58" s="22"/>
      <c r="H58" s="82"/>
      <c r="I58" s="82"/>
      <c r="J58" s="82"/>
      <c r="K58" s="22"/>
      <c r="L58" s="22"/>
      <c r="M58" s="22"/>
      <c r="N58" s="93"/>
      <c r="T58" s="22"/>
      <c r="U58" s="22"/>
      <c r="V58" s="22"/>
      <c r="W58" s="22"/>
      <c r="X58" s="82"/>
      <c r="Y58" s="82"/>
      <c r="Z58" s="82"/>
      <c r="AA58" s="22"/>
      <c r="AB58" s="22"/>
      <c r="AC58" s="22"/>
      <c r="AD58" s="93"/>
    </row>
    <row r="59" spans="2:30" x14ac:dyDescent="0.2">
      <c r="B59" s="97"/>
      <c r="C59" s="22"/>
      <c r="D59" s="22"/>
      <c r="E59" s="22"/>
      <c r="F59" s="22"/>
      <c r="G59" s="22"/>
      <c r="H59" s="82"/>
      <c r="I59" s="82"/>
      <c r="J59" s="82"/>
      <c r="K59" s="22"/>
      <c r="L59" s="22"/>
      <c r="M59" s="22"/>
      <c r="N59" s="93"/>
      <c r="T59" s="22"/>
      <c r="U59" s="22"/>
      <c r="V59" s="22"/>
      <c r="W59" s="22"/>
      <c r="X59" s="82"/>
      <c r="Y59" s="82"/>
      <c r="Z59" s="82"/>
      <c r="AA59" s="22"/>
      <c r="AB59" s="22"/>
      <c r="AC59" s="22"/>
      <c r="AD59" s="93"/>
    </row>
    <row r="60" spans="2:30" x14ac:dyDescent="0.2">
      <c r="B60" s="97"/>
      <c r="C60" s="79" t="s">
        <v>341</v>
      </c>
      <c r="D60" s="22"/>
      <c r="E60" s="22"/>
      <c r="F60" s="22"/>
      <c r="G60" s="22"/>
      <c r="H60" s="82"/>
      <c r="I60" s="82"/>
      <c r="J60" s="82"/>
      <c r="K60" s="22"/>
      <c r="L60" s="22"/>
      <c r="M60" s="22"/>
      <c r="N60" s="93"/>
      <c r="T60" s="22"/>
      <c r="U60" s="22"/>
      <c r="V60" s="22"/>
      <c r="W60" s="22"/>
      <c r="X60" s="82"/>
      <c r="Y60" s="82"/>
      <c r="Z60" s="82"/>
      <c r="AA60" s="22"/>
      <c r="AB60" s="22"/>
      <c r="AC60" s="22"/>
      <c r="AD60" s="93"/>
    </row>
    <row r="61" spans="2:30" x14ac:dyDescent="0.2">
      <c r="B61" s="97"/>
      <c r="C61" s="100" t="s">
        <v>352</v>
      </c>
      <c r="D61" s="22"/>
      <c r="E61" s="22"/>
      <c r="F61" s="22"/>
      <c r="G61" s="22"/>
      <c r="H61" s="82"/>
      <c r="I61" s="82"/>
      <c r="J61" s="82"/>
      <c r="K61" s="22"/>
      <c r="L61" s="22"/>
      <c r="M61" s="22"/>
      <c r="N61" s="93"/>
      <c r="T61" s="22"/>
      <c r="U61" s="22"/>
      <c r="V61" s="22"/>
      <c r="W61" s="22"/>
      <c r="X61" s="82"/>
      <c r="Y61" s="82"/>
      <c r="Z61" s="82"/>
      <c r="AA61" s="22"/>
      <c r="AB61" s="22"/>
      <c r="AC61" s="22"/>
      <c r="AD61" s="93"/>
    </row>
    <row r="62" spans="2:30" x14ac:dyDescent="0.2">
      <c r="B62" s="97"/>
      <c r="C62" s="22" t="s">
        <v>353</v>
      </c>
      <c r="D62" s="22"/>
      <c r="E62" s="22"/>
      <c r="F62" s="22"/>
      <c r="G62" s="22"/>
      <c r="H62" s="82"/>
      <c r="I62" s="82"/>
      <c r="J62" s="82"/>
      <c r="K62" s="22"/>
      <c r="L62" s="22"/>
      <c r="M62" s="22"/>
      <c r="N62" s="93"/>
      <c r="T62" s="22"/>
      <c r="U62" s="22"/>
      <c r="V62" s="22"/>
      <c r="W62" s="22"/>
      <c r="X62" s="82"/>
      <c r="Y62" s="82"/>
      <c r="Z62" s="82"/>
      <c r="AA62" s="22"/>
      <c r="AB62" s="22"/>
      <c r="AC62" s="22"/>
      <c r="AD62" s="93"/>
    </row>
    <row r="63" spans="2:30" x14ac:dyDescent="0.2">
      <c r="B63" s="97"/>
      <c r="C63" s="22" t="s">
        <v>345</v>
      </c>
      <c r="D63" s="22"/>
      <c r="E63" s="22"/>
      <c r="F63" s="22"/>
      <c r="G63" s="22"/>
      <c r="H63" s="82"/>
      <c r="I63" s="82"/>
      <c r="J63" s="82"/>
      <c r="K63" s="22"/>
      <c r="L63" s="22"/>
      <c r="M63" s="22"/>
      <c r="N63" s="93"/>
      <c r="T63" s="22"/>
      <c r="U63" s="22"/>
      <c r="V63" s="22"/>
      <c r="W63" s="22"/>
      <c r="X63" s="82"/>
      <c r="Y63" s="82"/>
      <c r="Z63" s="82"/>
      <c r="AA63" s="22"/>
      <c r="AB63" s="22"/>
      <c r="AC63" s="22"/>
      <c r="AD63" s="93"/>
    </row>
    <row r="64" spans="2:30" x14ac:dyDescent="0.2">
      <c r="B64" s="97"/>
      <c r="C64" s="100"/>
      <c r="D64" s="22"/>
      <c r="E64" s="22"/>
      <c r="F64" s="22"/>
      <c r="G64" s="22"/>
      <c r="H64" s="82"/>
      <c r="I64" s="82"/>
      <c r="J64" s="82"/>
      <c r="K64" s="22"/>
      <c r="L64" s="22"/>
      <c r="M64" s="22"/>
      <c r="N64" s="93"/>
      <c r="T64" s="22"/>
      <c r="U64" s="22"/>
      <c r="V64" s="22"/>
      <c r="W64" s="22"/>
      <c r="X64" s="82"/>
      <c r="Y64" s="82"/>
      <c r="Z64" s="82"/>
      <c r="AA64" s="22"/>
      <c r="AB64" s="22"/>
      <c r="AC64" s="22"/>
      <c r="AD64" s="93"/>
    </row>
    <row r="65" spans="2:31" x14ac:dyDescent="0.2">
      <c r="B65" s="97"/>
      <c r="C65" s="23" t="s">
        <v>261</v>
      </c>
      <c r="D65" s="22"/>
      <c r="E65" s="22"/>
      <c r="F65" s="22"/>
      <c r="G65" s="22"/>
      <c r="H65" s="82"/>
      <c r="I65" s="82"/>
      <c r="J65" s="82"/>
      <c r="K65" s="22"/>
      <c r="L65" s="22"/>
      <c r="M65" s="22"/>
      <c r="N65" s="93"/>
      <c r="T65" s="22"/>
      <c r="U65" s="22"/>
      <c r="V65" s="22"/>
      <c r="W65" s="22"/>
      <c r="X65" s="82"/>
      <c r="Y65" s="82"/>
      <c r="Z65" s="82"/>
      <c r="AA65" s="22"/>
      <c r="AB65" s="22"/>
      <c r="AC65" s="22"/>
      <c r="AD65" s="93"/>
    </row>
    <row r="66" spans="2:31" x14ac:dyDescent="0.2">
      <c r="B66" s="97"/>
      <c r="C66" s="22" t="s">
        <v>248</v>
      </c>
      <c r="D66" s="22"/>
      <c r="E66" s="22"/>
      <c r="F66" s="22"/>
      <c r="G66" s="22"/>
      <c r="H66" s="82"/>
      <c r="I66" s="82"/>
      <c r="J66" s="82"/>
      <c r="K66" s="22"/>
      <c r="L66" s="22"/>
      <c r="M66" s="22"/>
      <c r="N66" s="93"/>
      <c r="T66" s="22"/>
      <c r="U66" s="22"/>
      <c r="V66" s="22"/>
      <c r="W66" s="22"/>
      <c r="X66" s="82"/>
      <c r="Y66" s="82"/>
      <c r="Z66" s="82"/>
      <c r="AA66" s="22"/>
      <c r="AB66" s="22"/>
      <c r="AC66" s="22"/>
      <c r="AD66" s="93"/>
    </row>
    <row r="67" spans="2:31" x14ac:dyDescent="0.2">
      <c r="B67" s="97"/>
      <c r="C67" s="22" t="s">
        <v>247</v>
      </c>
      <c r="D67" s="22"/>
      <c r="E67" s="22"/>
      <c r="F67" s="22"/>
      <c r="G67" s="22"/>
      <c r="H67" s="82"/>
      <c r="I67" s="82"/>
      <c r="J67" s="82"/>
      <c r="K67" s="22"/>
      <c r="L67" s="22"/>
      <c r="M67" s="22"/>
      <c r="N67" s="93"/>
      <c r="T67" s="22"/>
      <c r="U67" s="22"/>
      <c r="V67" s="22"/>
      <c r="W67" s="22"/>
      <c r="X67" s="82"/>
      <c r="Y67" s="82"/>
      <c r="Z67" s="82"/>
      <c r="AA67" s="22"/>
      <c r="AB67" s="22"/>
      <c r="AC67" s="22"/>
      <c r="AD67" s="93"/>
    </row>
    <row r="68" spans="2:31" x14ac:dyDescent="0.2">
      <c r="B68" s="97"/>
      <c r="C68" s="22" t="s">
        <v>145</v>
      </c>
      <c r="E68" s="80">
        <v>1.5E-3</v>
      </c>
      <c r="F68" s="22"/>
      <c r="G68" s="22"/>
      <c r="H68" s="82"/>
      <c r="I68" s="82"/>
      <c r="J68" s="82"/>
      <c r="K68" s="22"/>
      <c r="L68" s="22"/>
      <c r="M68" s="22"/>
      <c r="N68" s="93"/>
      <c r="T68" s="22"/>
      <c r="U68" s="22"/>
      <c r="V68" s="22"/>
      <c r="W68" s="22"/>
      <c r="X68" s="82"/>
      <c r="Y68" s="82"/>
      <c r="Z68" s="82"/>
      <c r="AA68" s="22"/>
      <c r="AB68" s="22"/>
      <c r="AC68" s="22"/>
      <c r="AD68" s="93"/>
    </row>
    <row r="69" spans="2:31" x14ac:dyDescent="0.2">
      <c r="B69" s="97"/>
      <c r="C69" s="22" t="s">
        <v>146</v>
      </c>
      <c r="E69" s="80">
        <v>3.7999999999999999E-2</v>
      </c>
      <c r="F69" s="22" t="s">
        <v>150</v>
      </c>
      <c r="G69" s="22"/>
      <c r="H69" s="82"/>
      <c r="I69" s="82"/>
      <c r="J69" s="82"/>
      <c r="K69" s="22"/>
      <c r="L69" s="22"/>
      <c r="M69" s="22"/>
      <c r="N69" s="93"/>
      <c r="T69" s="22"/>
      <c r="U69" s="22"/>
      <c r="V69" s="22"/>
      <c r="W69" s="22"/>
      <c r="X69" s="82"/>
      <c r="Y69" s="82"/>
      <c r="Z69" s="82"/>
      <c r="AA69" s="22"/>
      <c r="AB69" s="22"/>
      <c r="AC69" s="22"/>
      <c r="AD69" s="93"/>
    </row>
    <row r="70" spans="2:31" x14ac:dyDescent="0.2">
      <c r="B70" s="97"/>
      <c r="C70" s="22" t="s">
        <v>147</v>
      </c>
      <c r="E70" s="80">
        <v>3.2000000000000001E-2</v>
      </c>
      <c r="F70" s="22" t="s">
        <v>151</v>
      </c>
      <c r="G70" s="22"/>
      <c r="H70" s="82"/>
      <c r="I70" s="82"/>
      <c r="J70" s="82"/>
      <c r="K70" s="22"/>
      <c r="L70" s="22"/>
      <c r="M70" s="22"/>
      <c r="N70" s="93"/>
      <c r="T70" s="22"/>
      <c r="U70" s="22"/>
      <c r="V70" s="22"/>
      <c r="W70" s="22"/>
      <c r="X70" s="82"/>
      <c r="Y70" s="82"/>
      <c r="Z70" s="82"/>
      <c r="AA70" s="22"/>
      <c r="AB70" s="22"/>
      <c r="AC70" s="22"/>
      <c r="AD70" s="93"/>
    </row>
    <row r="71" spans="2:31" x14ac:dyDescent="0.2">
      <c r="B71" s="97"/>
      <c r="C71" s="22" t="s">
        <v>148</v>
      </c>
      <c r="E71" s="80">
        <v>8.0000000000000002E-3</v>
      </c>
      <c r="F71" s="22" t="s">
        <v>152</v>
      </c>
      <c r="N71" s="419"/>
      <c r="O71" s="420"/>
      <c r="T71" s="22"/>
      <c r="U71" s="22"/>
      <c r="V71" s="22"/>
      <c r="W71" s="22"/>
      <c r="X71" s="82"/>
      <c r="Y71" s="82"/>
      <c r="Z71" s="82"/>
      <c r="AA71" s="22"/>
      <c r="AB71" s="22"/>
      <c r="AC71" s="22"/>
      <c r="AD71" s="93"/>
      <c r="AE71" s="22"/>
    </row>
    <row r="72" spans="2:31" x14ac:dyDescent="0.2">
      <c r="B72" s="97"/>
      <c r="C72" s="22" t="s">
        <v>149</v>
      </c>
      <c r="E72" s="80">
        <v>5.0000000000000001E-3</v>
      </c>
      <c r="F72" s="22" t="s">
        <v>153</v>
      </c>
      <c r="N72" s="419"/>
      <c r="O72" s="420"/>
    </row>
    <row r="73" spans="2:31" x14ac:dyDescent="0.2">
      <c r="B73" s="97"/>
      <c r="C73" s="22" t="s">
        <v>232</v>
      </c>
      <c r="N73" s="419"/>
      <c r="O73" s="420"/>
    </row>
    <row r="74" spans="2:31" x14ac:dyDescent="0.2">
      <c r="B74" s="97"/>
      <c r="C74" s="79" t="s">
        <v>271</v>
      </c>
      <c r="N74" s="419"/>
      <c r="O74" s="420"/>
    </row>
    <row r="75" spans="2:31" x14ac:dyDescent="0.2">
      <c r="B75" s="97"/>
      <c r="N75" s="419"/>
      <c r="O75" s="420"/>
    </row>
    <row r="76" spans="2:31" x14ac:dyDescent="0.2">
      <c r="B76" s="97"/>
      <c r="C76" s="81" t="s">
        <v>311</v>
      </c>
      <c r="N76" s="419"/>
      <c r="O76" s="420"/>
    </row>
    <row r="77" spans="2:31" x14ac:dyDescent="0.2">
      <c r="B77" s="97"/>
      <c r="D77" s="22"/>
      <c r="E77" s="22"/>
      <c r="F77" s="22"/>
      <c r="G77" s="22"/>
      <c r="H77" s="82"/>
      <c r="I77" s="82"/>
      <c r="J77" s="82"/>
      <c r="K77" s="22"/>
      <c r="L77" s="22"/>
      <c r="M77" s="22"/>
      <c r="N77" s="93"/>
    </row>
    <row r="78" spans="2:31" x14ac:dyDescent="0.2">
      <c r="B78" s="97"/>
      <c r="C78" s="23" t="s">
        <v>42</v>
      </c>
      <c r="D78" s="22"/>
      <c r="E78" s="22"/>
      <c r="F78" s="22"/>
      <c r="G78" s="22"/>
      <c r="H78" s="82"/>
      <c r="I78" s="82"/>
      <c r="J78" s="82"/>
      <c r="K78" s="22"/>
      <c r="L78" s="22"/>
      <c r="M78" s="22"/>
      <c r="N78" s="93"/>
    </row>
    <row r="79" spans="2:31" x14ac:dyDescent="0.2">
      <c r="B79" s="97"/>
      <c r="C79" s="22" t="s">
        <v>301</v>
      </c>
      <c r="D79" s="22"/>
      <c r="E79" s="22"/>
      <c r="F79" s="22"/>
      <c r="G79" s="22"/>
      <c r="H79" s="82"/>
      <c r="I79" s="82"/>
      <c r="J79" s="82"/>
      <c r="K79" s="22"/>
      <c r="L79" s="22"/>
      <c r="M79" s="22"/>
      <c r="N79" s="93"/>
    </row>
    <row r="80" spans="2:31" x14ac:dyDescent="0.2">
      <c r="B80" s="97"/>
      <c r="C80" s="22" t="s">
        <v>249</v>
      </c>
      <c r="D80" s="22"/>
      <c r="E80" s="22"/>
      <c r="F80" s="22"/>
      <c r="G80" s="22"/>
      <c r="H80" s="82"/>
      <c r="I80" s="82"/>
      <c r="J80" s="82"/>
      <c r="K80" s="22"/>
      <c r="L80" s="22"/>
      <c r="M80" s="22"/>
      <c r="N80" s="93"/>
    </row>
    <row r="81" spans="2:14" x14ac:dyDescent="0.2">
      <c r="B81" s="97"/>
      <c r="C81" s="22" t="s">
        <v>304</v>
      </c>
      <c r="D81" s="22"/>
      <c r="E81" s="22"/>
      <c r="F81" s="22"/>
      <c r="G81" s="22"/>
      <c r="H81" s="82"/>
      <c r="I81" s="82"/>
      <c r="J81" s="82"/>
      <c r="K81" s="22"/>
      <c r="L81" s="22"/>
      <c r="M81" s="22"/>
      <c r="N81" s="93"/>
    </row>
    <row r="82" spans="2:14" x14ac:dyDescent="0.2">
      <c r="B82" s="97"/>
      <c r="C82" s="22" t="s">
        <v>305</v>
      </c>
      <c r="D82" s="22"/>
      <c r="E82" s="22"/>
      <c r="F82" s="22"/>
      <c r="G82" s="22"/>
      <c r="H82" s="82"/>
      <c r="I82" s="82"/>
      <c r="J82" s="82"/>
      <c r="K82" s="22"/>
      <c r="L82" s="22"/>
      <c r="M82" s="22"/>
      <c r="N82" s="93"/>
    </row>
    <row r="83" spans="2:14" x14ac:dyDescent="0.2">
      <c r="B83" s="97"/>
      <c r="D83" s="22"/>
      <c r="E83" s="22"/>
      <c r="F83" s="22"/>
      <c r="G83" s="22"/>
      <c r="H83" s="82"/>
      <c r="I83" s="82"/>
      <c r="J83" s="82"/>
      <c r="K83" s="22"/>
      <c r="L83" s="22"/>
      <c r="M83" s="22"/>
      <c r="N83" s="93"/>
    </row>
    <row r="84" spans="2:14" x14ac:dyDescent="0.2">
      <c r="B84" s="97"/>
      <c r="C84" s="23" t="s">
        <v>227</v>
      </c>
      <c r="D84" s="22"/>
      <c r="E84" s="22"/>
      <c r="F84" s="22"/>
      <c r="G84" s="22"/>
      <c r="H84" s="82"/>
      <c r="I84" s="82"/>
      <c r="J84" s="82"/>
      <c r="K84" s="22"/>
      <c r="L84" s="22"/>
      <c r="M84" s="22"/>
      <c r="N84" s="93"/>
    </row>
    <row r="85" spans="2:14" x14ac:dyDescent="0.2">
      <c r="B85" s="97"/>
      <c r="C85" s="22" t="s">
        <v>155</v>
      </c>
      <c r="D85" s="22"/>
      <c r="E85" s="22"/>
      <c r="F85" s="22"/>
      <c r="G85" s="22"/>
      <c r="H85" s="82"/>
      <c r="I85" s="82"/>
      <c r="J85" s="82"/>
      <c r="K85" s="22"/>
      <c r="L85" s="22"/>
      <c r="M85" s="22"/>
      <c r="N85" s="93"/>
    </row>
    <row r="86" spans="2:14" x14ac:dyDescent="0.2">
      <c r="B86" s="97"/>
      <c r="C86" s="22" t="s">
        <v>156</v>
      </c>
      <c r="D86" s="22"/>
      <c r="E86" s="22"/>
      <c r="F86" s="22"/>
      <c r="G86" s="22"/>
      <c r="H86" s="82"/>
      <c r="I86" s="82"/>
      <c r="J86" s="82"/>
      <c r="K86" s="22"/>
      <c r="L86" s="22"/>
      <c r="M86" s="22"/>
      <c r="N86" s="93"/>
    </row>
    <row r="87" spans="2:14" x14ac:dyDescent="0.2">
      <c r="B87" s="97"/>
      <c r="C87" s="22" t="s">
        <v>179</v>
      </c>
      <c r="D87" s="22"/>
      <c r="E87" s="22"/>
      <c r="F87" s="22"/>
      <c r="G87" s="22"/>
      <c r="H87" s="82"/>
      <c r="I87" s="82"/>
      <c r="J87" s="82"/>
      <c r="K87" s="22"/>
      <c r="L87" s="22"/>
      <c r="M87" s="22"/>
      <c r="N87" s="93"/>
    </row>
    <row r="88" spans="2:14" x14ac:dyDescent="0.2">
      <c r="B88" s="97"/>
      <c r="C88" s="22" t="s">
        <v>354</v>
      </c>
      <c r="D88" s="22"/>
      <c r="E88" s="22"/>
      <c r="F88" s="22"/>
      <c r="G88" s="22"/>
      <c r="H88" s="82"/>
      <c r="I88" s="82"/>
      <c r="J88" s="82"/>
      <c r="K88" s="22"/>
      <c r="L88" s="77"/>
      <c r="M88" s="77"/>
      <c r="N88" s="93"/>
    </row>
    <row r="89" spans="2:14" x14ac:dyDescent="0.2">
      <c r="B89" s="97"/>
      <c r="C89" s="22"/>
      <c r="D89" s="22"/>
      <c r="E89" s="22"/>
      <c r="F89" s="22"/>
      <c r="G89" s="22"/>
      <c r="H89" s="82"/>
      <c r="I89" s="82"/>
      <c r="J89" s="82"/>
      <c r="K89" s="22"/>
      <c r="L89" s="77"/>
      <c r="M89" s="77"/>
      <c r="N89" s="93"/>
    </row>
    <row r="90" spans="2:14" x14ac:dyDescent="0.2">
      <c r="B90" s="97"/>
      <c r="C90" s="29" t="s">
        <v>214</v>
      </c>
      <c r="D90" s="22"/>
      <c r="E90" s="22"/>
      <c r="F90" s="22"/>
      <c r="G90" s="22"/>
      <c r="H90" s="82"/>
      <c r="I90" s="82"/>
      <c r="J90" s="82"/>
      <c r="K90" s="22"/>
      <c r="L90" s="77"/>
      <c r="M90" s="77"/>
      <c r="N90" s="93"/>
    </row>
    <row r="91" spans="2:14" x14ac:dyDescent="0.2">
      <c r="B91" s="97"/>
      <c r="C91" s="23" t="s">
        <v>226</v>
      </c>
      <c r="D91" s="22"/>
      <c r="E91" s="22"/>
      <c r="F91" s="22"/>
      <c r="G91" s="22"/>
      <c r="H91" s="82"/>
      <c r="I91" s="82"/>
      <c r="J91" s="82"/>
      <c r="K91" s="22"/>
      <c r="L91" s="77"/>
      <c r="M91" s="77"/>
      <c r="N91" s="93"/>
    </row>
    <row r="92" spans="2:14" x14ac:dyDescent="0.2">
      <c r="B92" s="97"/>
      <c r="C92" s="22" t="s">
        <v>346</v>
      </c>
      <c r="D92" s="22"/>
      <c r="E92" s="22"/>
      <c r="F92" s="22"/>
      <c r="G92" s="22"/>
      <c r="H92" s="82"/>
      <c r="I92" s="82"/>
      <c r="J92" s="82"/>
      <c r="K92" s="22"/>
      <c r="L92" s="77"/>
      <c r="M92" s="77"/>
      <c r="N92" s="93"/>
    </row>
    <row r="93" spans="2:14" x14ac:dyDescent="0.2">
      <c r="B93" s="97"/>
      <c r="C93" s="22" t="s">
        <v>215</v>
      </c>
      <c r="D93" s="22"/>
      <c r="E93" s="22"/>
      <c r="F93" s="22"/>
      <c r="G93" s="22"/>
      <c r="H93" s="82"/>
      <c r="I93" s="82"/>
      <c r="J93" s="82"/>
      <c r="K93" s="22"/>
      <c r="L93" s="77"/>
      <c r="M93" s="77"/>
      <c r="N93" s="93"/>
    </row>
    <row r="94" spans="2:14" x14ac:dyDescent="0.2">
      <c r="B94" s="97"/>
      <c r="C94" s="22" t="s">
        <v>216</v>
      </c>
      <c r="D94" s="22"/>
      <c r="E94" s="22"/>
      <c r="F94" s="22"/>
      <c r="G94" s="22"/>
      <c r="H94" s="82"/>
      <c r="I94" s="82"/>
      <c r="J94" s="82"/>
      <c r="K94" s="22"/>
      <c r="L94" s="77"/>
      <c r="M94" s="77"/>
      <c r="N94" s="93"/>
    </row>
    <row r="95" spans="2:14" x14ac:dyDescent="0.2">
      <c r="B95" s="97"/>
      <c r="C95" s="22" t="s">
        <v>217</v>
      </c>
      <c r="D95" s="22"/>
      <c r="E95" s="22"/>
      <c r="F95" s="22"/>
      <c r="G95" s="22"/>
      <c r="H95" s="82"/>
      <c r="I95" s="82"/>
      <c r="J95" s="82"/>
      <c r="K95" s="22"/>
      <c r="L95" s="77"/>
      <c r="M95" s="77"/>
      <c r="N95" s="93"/>
    </row>
    <row r="96" spans="2:14" x14ac:dyDescent="0.2">
      <c r="B96" s="97"/>
      <c r="C96" s="22" t="s">
        <v>218</v>
      </c>
      <c r="D96" s="22"/>
      <c r="E96" s="22"/>
      <c r="F96" s="22"/>
      <c r="G96" s="22"/>
      <c r="H96" s="82"/>
      <c r="I96" s="82"/>
      <c r="J96" s="82"/>
      <c r="K96" s="22"/>
      <c r="L96" s="77"/>
      <c r="M96" s="77"/>
      <c r="N96" s="93"/>
    </row>
    <row r="97" spans="1:14" x14ac:dyDescent="0.2">
      <c r="B97" s="97"/>
      <c r="C97" s="22" t="s">
        <v>219</v>
      </c>
      <c r="D97" s="22"/>
      <c r="E97" s="22"/>
      <c r="F97" s="22"/>
      <c r="G97" s="22"/>
      <c r="H97" s="82"/>
      <c r="I97" s="82"/>
      <c r="J97" s="82"/>
      <c r="K97" s="22"/>
      <c r="L97" s="77"/>
      <c r="M97" s="77"/>
      <c r="N97" s="93"/>
    </row>
    <row r="98" spans="1:14" x14ac:dyDescent="0.2">
      <c r="B98" s="97"/>
      <c r="C98" s="22" t="s">
        <v>220</v>
      </c>
      <c r="D98" s="22"/>
      <c r="E98" s="22"/>
      <c r="F98" s="22"/>
      <c r="G98" s="22"/>
      <c r="H98" s="82"/>
      <c r="I98" s="82"/>
      <c r="J98" s="82"/>
      <c r="K98" s="22"/>
      <c r="L98" s="77"/>
      <c r="M98" s="77"/>
      <c r="N98" s="93"/>
    </row>
    <row r="99" spans="1:14" x14ac:dyDescent="0.2">
      <c r="B99" s="97"/>
      <c r="C99" s="22" t="s">
        <v>221</v>
      </c>
      <c r="D99" s="22"/>
      <c r="E99" s="22"/>
      <c r="F99" s="22"/>
      <c r="G99" s="22"/>
      <c r="H99" s="82"/>
      <c r="I99" s="82"/>
      <c r="J99" s="82"/>
      <c r="K99" s="22"/>
      <c r="L99" s="77"/>
      <c r="M99" s="77"/>
      <c r="N99" s="93"/>
    </row>
    <row r="100" spans="1:14" x14ac:dyDescent="0.2">
      <c r="B100" s="97"/>
      <c r="C100" s="22" t="s">
        <v>222</v>
      </c>
      <c r="D100" s="22"/>
      <c r="E100" s="22"/>
      <c r="F100" s="22"/>
      <c r="G100" s="22"/>
      <c r="H100" s="82"/>
      <c r="I100" s="82"/>
      <c r="J100" s="82"/>
      <c r="K100" s="22"/>
      <c r="L100" s="77"/>
      <c r="M100" s="77"/>
      <c r="N100" s="93"/>
    </row>
    <row r="101" spans="1:14" x14ac:dyDescent="0.2">
      <c r="B101" s="97"/>
      <c r="C101" s="22" t="s">
        <v>223</v>
      </c>
      <c r="D101" s="22"/>
      <c r="E101" s="22"/>
      <c r="F101" s="22"/>
      <c r="G101" s="22"/>
      <c r="H101" s="82"/>
      <c r="I101" s="82"/>
      <c r="J101" s="82"/>
      <c r="K101" s="22"/>
      <c r="L101" s="77"/>
      <c r="M101" s="77"/>
      <c r="N101" s="93"/>
    </row>
    <row r="102" spans="1:14" x14ac:dyDescent="0.2">
      <c r="B102" s="97"/>
      <c r="C102" s="22" t="s">
        <v>224</v>
      </c>
      <c r="D102" s="22"/>
      <c r="E102" s="22"/>
      <c r="F102" s="22"/>
      <c r="G102" s="22"/>
      <c r="H102" s="82"/>
      <c r="I102" s="82"/>
      <c r="J102" s="82"/>
      <c r="K102" s="22"/>
      <c r="L102" s="77"/>
      <c r="M102" s="77"/>
      <c r="N102" s="93"/>
    </row>
    <row r="103" spans="1:14" x14ac:dyDescent="0.2">
      <c r="B103" s="97"/>
      <c r="C103" s="29" t="s">
        <v>230</v>
      </c>
      <c r="D103" s="22"/>
      <c r="E103" s="22"/>
      <c r="F103" s="22"/>
      <c r="G103" s="22"/>
      <c r="H103" s="82"/>
      <c r="I103" s="82"/>
      <c r="J103" s="82"/>
      <c r="K103" s="22"/>
      <c r="L103" s="77"/>
      <c r="M103" s="77"/>
      <c r="N103" s="93"/>
    </row>
    <row r="104" spans="1:14" x14ac:dyDescent="0.2">
      <c r="B104" s="97"/>
      <c r="C104" s="22" t="s">
        <v>225</v>
      </c>
      <c r="D104" s="22"/>
      <c r="E104" s="22"/>
      <c r="F104" s="22"/>
      <c r="G104" s="22"/>
      <c r="H104" s="82"/>
      <c r="I104" s="82"/>
      <c r="J104" s="82"/>
      <c r="K104" s="22"/>
      <c r="L104" s="77"/>
      <c r="M104" s="77"/>
      <c r="N104" s="93"/>
    </row>
    <row r="105" spans="1:14" x14ac:dyDescent="0.2">
      <c r="B105" s="97"/>
      <c r="C105" s="22"/>
      <c r="D105" s="22"/>
      <c r="E105" s="22"/>
      <c r="F105" s="22"/>
      <c r="G105" s="22"/>
      <c r="H105" s="82"/>
      <c r="I105" s="82"/>
      <c r="J105" s="82"/>
      <c r="K105" s="22"/>
      <c r="L105" s="77"/>
      <c r="M105" s="77"/>
      <c r="N105" s="93"/>
    </row>
    <row r="106" spans="1:14" x14ac:dyDescent="0.2">
      <c r="A106" s="75"/>
      <c r="B106" s="101"/>
      <c r="C106" s="29" t="s">
        <v>23</v>
      </c>
      <c r="D106" s="22"/>
      <c r="E106" s="22"/>
      <c r="F106" s="22"/>
      <c r="G106" s="22"/>
      <c r="H106" s="22"/>
      <c r="I106" s="22"/>
      <c r="J106" s="22"/>
      <c r="K106" s="22"/>
      <c r="L106" s="22"/>
      <c r="M106" s="22"/>
      <c r="N106" s="93"/>
    </row>
    <row r="107" spans="1:14" x14ac:dyDescent="0.2">
      <c r="A107" s="75"/>
      <c r="B107" s="101"/>
      <c r="C107" s="22" t="s">
        <v>347</v>
      </c>
      <c r="D107" s="22"/>
      <c r="E107" s="22"/>
      <c r="F107" s="22"/>
      <c r="G107" s="22"/>
      <c r="H107" s="22"/>
      <c r="I107" s="22"/>
      <c r="J107" s="22"/>
      <c r="K107" s="22"/>
      <c r="L107" s="22"/>
      <c r="M107" s="22"/>
      <c r="N107" s="93"/>
    </row>
    <row r="108" spans="1:14" x14ac:dyDescent="0.2">
      <c r="A108" s="75"/>
      <c r="B108" s="101"/>
      <c r="C108" s="22" t="s">
        <v>81</v>
      </c>
      <c r="D108" s="22"/>
      <c r="E108" s="22"/>
      <c r="F108" s="22"/>
      <c r="G108" s="22"/>
      <c r="H108" s="22"/>
      <c r="I108" s="22"/>
      <c r="J108" s="22"/>
      <c r="K108" s="22"/>
      <c r="L108" s="22"/>
      <c r="M108" s="22"/>
      <c r="N108" s="93"/>
    </row>
    <row r="109" spans="1:14" x14ac:dyDescent="0.2">
      <c r="A109" s="75"/>
      <c r="B109" s="101"/>
      <c r="C109" s="22"/>
      <c r="D109" s="22"/>
      <c r="E109" s="22"/>
      <c r="F109" s="22"/>
      <c r="G109" s="22"/>
      <c r="H109" s="22"/>
      <c r="I109" s="22"/>
      <c r="J109" s="22"/>
      <c r="K109" s="22"/>
      <c r="L109" s="22"/>
      <c r="M109" s="22"/>
      <c r="N109" s="93"/>
    </row>
    <row r="110" spans="1:14" s="22" customFormat="1" x14ac:dyDescent="0.2">
      <c r="B110" s="101"/>
      <c r="C110" s="29" t="s">
        <v>85</v>
      </c>
      <c r="N110" s="98"/>
    </row>
    <row r="111" spans="1:14" s="22" customFormat="1" x14ac:dyDescent="0.2">
      <c r="B111" s="101"/>
      <c r="C111" s="87" t="s">
        <v>131</v>
      </c>
      <c r="J111" s="87"/>
      <c r="N111" s="98"/>
    </row>
    <row r="112" spans="1:14" ht="15.75" x14ac:dyDescent="0.25">
      <c r="B112" s="101"/>
      <c r="C112" s="29"/>
      <c r="D112" s="22"/>
      <c r="E112" s="29"/>
      <c r="F112" s="22"/>
      <c r="G112" s="22"/>
      <c r="H112" s="22"/>
      <c r="I112" s="22"/>
      <c r="J112" s="88"/>
      <c r="K112" s="22"/>
      <c r="L112" s="22"/>
      <c r="M112" s="22"/>
      <c r="N112" s="102"/>
    </row>
    <row r="113" spans="2:14" x14ac:dyDescent="0.2">
      <c r="B113" s="103"/>
      <c r="C113" s="104"/>
      <c r="D113" s="105"/>
      <c r="E113" s="105"/>
      <c r="F113" s="105"/>
      <c r="G113" s="105"/>
      <c r="H113" s="105"/>
      <c r="I113" s="105"/>
      <c r="J113" s="106"/>
      <c r="K113" s="105"/>
      <c r="L113" s="105"/>
      <c r="M113" s="105"/>
      <c r="N113" s="107"/>
    </row>
  </sheetData>
  <sheetProtection algorithmName="SHA-512" hashValue="2OpTNJOfXPjQO/iFefXN6YtYyYoZhqL9KJsQwookwwCDqTTw+lrHtXlX/GYT5sCS6U0/aCvqxIDVg0yhiGlu3Q==" saltValue="coSRWjfAlYUzmtxj+/pkyg==" spinCount="100000" sheet="1" objects="1" scenarios="1"/>
  <phoneticPr fontId="5" type="noConversion"/>
  <hyperlinks>
    <hyperlink ref="C111" r:id="rId1"/>
  </hyperlinks>
  <printOptions gridLines="1"/>
  <pageMargins left="0.74803149606299213" right="0.74803149606299213" top="0.98425196850393704" bottom="0.98425196850393704" header="0.51181102362204722" footer="0.51181102362204722"/>
  <pageSetup paperSize="9" scale="62" orientation="portrait" r:id="rId2"/>
  <headerFooter alignWithMargins="0">
    <oddHeader>&amp;L&amp;"Arial,Vet"&amp;A&amp;R&amp;"Arial,Vet"&amp;F</oddHeader>
    <oddFooter>&amp;L&amp;"Arial,Vet"&amp;8PO-Raad&amp;R&amp;"Arial,Vet"&amp;P</oddFooter>
  </headerFooter>
  <rowBreaks count="1" manualBreakCount="1">
    <brk id="76"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10"/>
  <sheetViews>
    <sheetView tabSelected="1" zoomScaleNormal="100" zoomScaleSheetLayoutView="85" workbookViewId="0">
      <selection activeCell="B2" sqref="B2"/>
    </sheetView>
  </sheetViews>
  <sheetFormatPr defaultColWidth="9.7109375" defaultRowHeight="13.5" customHeight="1" x14ac:dyDescent="0.2"/>
  <cols>
    <col min="1" max="1" width="3.5703125" style="236" customWidth="1"/>
    <col min="2" max="2" width="2.5703125" style="242" customWidth="1"/>
    <col min="3" max="3" width="1.5703125" style="242" customWidth="1"/>
    <col min="4" max="4" width="30.5703125" style="242" customWidth="1"/>
    <col min="5" max="5" width="10.5703125" style="357" customWidth="1"/>
    <col min="6" max="6" width="1.140625" style="242" customWidth="1"/>
    <col min="7" max="8" width="10.5703125" style="357" customWidth="1"/>
    <col min="9" max="11" width="1.5703125" style="242" customWidth="1"/>
    <col min="12" max="12" width="26.5703125" style="242" customWidth="1"/>
    <col min="13" max="14" width="9.5703125" style="242" customWidth="1"/>
    <col min="15" max="15" width="1.140625" style="242" customWidth="1"/>
    <col min="16" max="16" width="13.85546875" style="357" customWidth="1"/>
    <col min="17" max="17" width="11.140625" style="357" customWidth="1"/>
    <col min="18" max="18" width="1.5703125" style="242" customWidth="1"/>
    <col min="19" max="19" width="2.5703125" style="242" customWidth="1"/>
    <col min="20" max="20" width="9.7109375" style="236"/>
    <col min="21" max="22" width="12" style="236" bestFit="1" customWidth="1"/>
    <col min="23" max="57" width="9.7109375" style="236"/>
    <col min="58" max="16384" width="9.7109375" style="242"/>
  </cols>
  <sheetData>
    <row r="1" spans="1:57" s="236" customFormat="1" ht="12.95" customHeight="1" x14ac:dyDescent="0.2">
      <c r="E1" s="237"/>
      <c r="G1" s="237"/>
      <c r="H1" s="237"/>
      <c r="P1" s="237"/>
      <c r="Q1" s="237"/>
    </row>
    <row r="2" spans="1:57" ht="12.95" customHeight="1" x14ac:dyDescent="0.2">
      <c r="B2" s="238"/>
      <c r="C2" s="239"/>
      <c r="D2" s="239"/>
      <c r="E2" s="240"/>
      <c r="F2" s="239"/>
      <c r="G2" s="240"/>
      <c r="H2" s="240"/>
      <c r="I2" s="239"/>
      <c r="J2" s="239"/>
      <c r="K2" s="239"/>
      <c r="L2" s="239"/>
      <c r="M2" s="239"/>
      <c r="N2" s="239"/>
      <c r="O2" s="239"/>
      <c r="P2" s="240"/>
      <c r="Q2" s="240"/>
      <c r="R2" s="239"/>
      <c r="S2" s="241"/>
    </row>
    <row r="3" spans="1:57" ht="12.95" customHeight="1" x14ac:dyDescent="0.2">
      <c r="B3" s="243"/>
      <c r="C3" s="244"/>
      <c r="D3" s="244"/>
      <c r="E3" s="245"/>
      <c r="F3" s="244"/>
      <c r="G3" s="245"/>
      <c r="H3" s="245"/>
      <c r="I3" s="244"/>
      <c r="J3" s="244"/>
      <c r="K3" s="244"/>
      <c r="L3" s="244"/>
      <c r="M3" s="244"/>
      <c r="N3" s="244"/>
      <c r="O3" s="244"/>
      <c r="P3" s="245"/>
      <c r="Q3" s="245"/>
      <c r="R3" s="244"/>
      <c r="S3" s="246"/>
    </row>
    <row r="4" spans="1:57" s="253" customFormat="1" ht="18" customHeight="1" x14ac:dyDescent="0.2">
      <c r="A4" s="247"/>
      <c r="B4" s="248"/>
      <c r="C4" s="249" t="str">
        <f>"WERKGEVERSLASTEN PO "&amp;tabellen!B1</f>
        <v>WERKGEVERSLASTEN PO 2020</v>
      </c>
      <c r="D4" s="250"/>
      <c r="E4" s="251"/>
      <c r="F4" s="250"/>
      <c r="G4" s="251"/>
      <c r="H4" s="251"/>
      <c r="I4" s="250"/>
      <c r="J4" s="250"/>
      <c r="K4" s="250"/>
      <c r="L4" s="250"/>
      <c r="M4" s="250"/>
      <c r="N4" s="250"/>
      <c r="O4" s="250"/>
      <c r="P4" s="251"/>
      <c r="Q4" s="251"/>
      <c r="R4" s="250"/>
      <c r="S4" s="252"/>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row>
    <row r="5" spans="1:57" s="261" customFormat="1" ht="17.25" customHeight="1" x14ac:dyDescent="0.2">
      <c r="A5" s="254"/>
      <c r="B5" s="255"/>
      <c r="C5" s="256" t="str">
        <f>+tabellen!C1 &amp;" "&amp; tabellen!B1</f>
        <v xml:space="preserve"> vanaf 1 januari 2020</v>
      </c>
      <c r="D5" s="257"/>
      <c r="E5" s="258"/>
      <c r="F5" s="257"/>
      <c r="G5" s="259"/>
      <c r="H5" s="259"/>
      <c r="I5" s="257"/>
      <c r="J5" s="257"/>
      <c r="K5" s="257"/>
      <c r="L5" s="257"/>
      <c r="M5" s="257"/>
      <c r="N5" s="257"/>
      <c r="O5" s="257"/>
      <c r="P5" s="258"/>
      <c r="Q5" s="258"/>
      <c r="R5" s="257"/>
      <c r="S5" s="260"/>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row>
    <row r="6" spans="1:57" ht="12.95" customHeight="1" x14ac:dyDescent="0.2">
      <c r="B6" s="243"/>
      <c r="C6" s="244"/>
      <c r="D6" s="244"/>
      <c r="E6" s="245"/>
      <c r="F6" s="244"/>
      <c r="G6" s="262"/>
      <c r="H6" s="262"/>
      <c r="I6" s="244"/>
      <c r="J6" s="244"/>
      <c r="K6" s="244"/>
      <c r="L6" s="244"/>
      <c r="M6" s="244"/>
      <c r="N6" s="244"/>
      <c r="O6" s="244"/>
      <c r="P6" s="245"/>
      <c r="Q6" s="245"/>
      <c r="R6" s="244"/>
      <c r="S6" s="246"/>
    </row>
    <row r="7" spans="1:57" ht="12.95" customHeight="1" x14ac:dyDescent="0.2">
      <c r="B7" s="243"/>
      <c r="C7" s="244"/>
      <c r="D7" s="244"/>
      <c r="E7" s="245"/>
      <c r="F7" s="244"/>
      <c r="G7" s="262"/>
      <c r="H7" s="262"/>
      <c r="I7" s="244"/>
      <c r="J7" s="244"/>
      <c r="K7" s="244"/>
      <c r="L7" s="244"/>
      <c r="M7" s="244"/>
      <c r="N7" s="244"/>
      <c r="O7" s="244"/>
      <c r="P7" s="245"/>
      <c r="Q7" s="245"/>
      <c r="R7" s="244"/>
      <c r="S7" s="246"/>
    </row>
    <row r="8" spans="1:57" ht="12.95" customHeight="1" x14ac:dyDescent="0.2">
      <c r="B8" s="243"/>
      <c r="C8" s="244"/>
      <c r="D8" s="244"/>
      <c r="E8" s="245"/>
      <c r="F8" s="244"/>
      <c r="G8" s="262"/>
      <c r="H8" s="262"/>
      <c r="I8" s="244"/>
      <c r="J8" s="244"/>
      <c r="K8" s="244"/>
      <c r="L8" s="244"/>
      <c r="M8" s="244"/>
      <c r="N8" s="244"/>
      <c r="O8" s="244"/>
      <c r="P8" s="245"/>
      <c r="Q8" s="245"/>
      <c r="R8" s="244"/>
      <c r="S8" s="246"/>
    </row>
    <row r="9" spans="1:57" s="275" customFormat="1" ht="12.95" customHeight="1" x14ac:dyDescent="0.2">
      <c r="A9" s="263"/>
      <c r="B9" s="264"/>
      <c r="C9" s="265"/>
      <c r="D9" s="265"/>
      <c r="E9" s="266"/>
      <c r="F9" s="267"/>
      <c r="G9" s="266"/>
      <c r="H9" s="266"/>
      <c r="I9" s="265"/>
      <c r="J9" s="268"/>
      <c r="K9" s="269"/>
      <c r="L9" s="265"/>
      <c r="M9" s="270"/>
      <c r="N9" s="265"/>
      <c r="O9" s="271"/>
      <c r="P9" s="272"/>
      <c r="Q9" s="273"/>
      <c r="R9" s="265"/>
      <c r="S9" s="274"/>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1:57" s="275" customFormat="1" ht="12.95" customHeight="1" x14ac:dyDescent="0.2">
      <c r="A10" s="263"/>
      <c r="B10" s="264"/>
      <c r="C10" s="265"/>
      <c r="D10" s="269" t="s">
        <v>163</v>
      </c>
      <c r="E10" s="266"/>
      <c r="F10" s="267"/>
      <c r="G10" s="266"/>
      <c r="H10" s="266"/>
      <c r="I10" s="265"/>
      <c r="J10" s="268"/>
      <c r="K10" s="265"/>
      <c r="L10" s="276" t="s">
        <v>229</v>
      </c>
      <c r="M10" s="276"/>
      <c r="N10" s="277"/>
      <c r="O10" s="271"/>
      <c r="P10" s="272"/>
      <c r="Q10" s="278">
        <f>+G73/G24-1</f>
        <v>0.61032720358895021</v>
      </c>
      <c r="R10" s="265"/>
      <c r="S10" s="274"/>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1:57" s="275" customFormat="1" ht="12.95" customHeight="1" x14ac:dyDescent="0.2">
      <c r="A11" s="263"/>
      <c r="B11" s="264"/>
      <c r="C11" s="265"/>
      <c r="D11" s="279"/>
      <c r="E11" s="266"/>
      <c r="F11" s="280"/>
      <c r="G11" s="281"/>
      <c r="H11" s="281"/>
      <c r="I11" s="265"/>
      <c r="J11" s="268"/>
      <c r="K11" s="265"/>
      <c r="L11" s="282" t="s">
        <v>197</v>
      </c>
      <c r="M11" s="283"/>
      <c r="N11" s="271"/>
      <c r="O11" s="271"/>
      <c r="P11" s="272"/>
      <c r="Q11" s="284">
        <f>G73/G41-1</f>
        <v>0.34078679323894678</v>
      </c>
      <c r="R11" s="277"/>
      <c r="S11" s="274"/>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1:57" s="275" customFormat="1" ht="12.95" customHeight="1" x14ac:dyDescent="0.2">
      <c r="A12" s="263"/>
      <c r="B12" s="264"/>
      <c r="C12" s="265"/>
      <c r="D12" s="265" t="s">
        <v>41</v>
      </c>
      <c r="E12" s="266"/>
      <c r="F12" s="267"/>
      <c r="G12" s="188" t="s">
        <v>21</v>
      </c>
      <c r="H12" s="185"/>
      <c r="I12" s="265"/>
      <c r="J12" s="268"/>
      <c r="K12" s="282" t="s">
        <v>191</v>
      </c>
      <c r="L12" s="285" t="s">
        <v>212</v>
      </c>
      <c r="M12" s="286"/>
      <c r="N12" s="282"/>
      <c r="O12" s="282"/>
      <c r="P12" s="287"/>
      <c r="Q12" s="288">
        <f>G41/G24</f>
        <v>1.201031522468142</v>
      </c>
      <c r="R12" s="289"/>
      <c r="S12" s="274"/>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row>
    <row r="13" spans="1:57" s="275" customFormat="1" ht="12.95" customHeight="1" x14ac:dyDescent="0.2">
      <c r="A13" s="263"/>
      <c r="B13" s="290"/>
      <c r="C13" s="269"/>
      <c r="D13" s="265" t="s">
        <v>87</v>
      </c>
      <c r="E13" s="266"/>
      <c r="F13" s="267"/>
      <c r="G13" s="186">
        <v>25573</v>
      </c>
      <c r="H13" s="266"/>
      <c r="I13" s="265"/>
      <c r="J13" s="268"/>
      <c r="K13" s="282"/>
      <c r="L13" s="285" t="s">
        <v>265</v>
      </c>
      <c r="M13" s="285"/>
      <c r="N13" s="285"/>
      <c r="O13" s="285"/>
      <c r="P13" s="291"/>
      <c r="Q13" s="292">
        <f>G73/G41</f>
        <v>1.3407867932389468</v>
      </c>
      <c r="R13" s="289"/>
      <c r="S13" s="274"/>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row>
    <row r="14" spans="1:57" s="275" customFormat="1" ht="12.95" customHeight="1" x14ac:dyDescent="0.2">
      <c r="A14" s="263"/>
      <c r="B14" s="264"/>
      <c r="C14" s="265"/>
      <c r="D14" s="269"/>
      <c r="E14" s="266"/>
      <c r="F14" s="267"/>
      <c r="G14" s="293">
        <f ca="1">YEAR(tabellen!F1)-YEAR(G13)</f>
        <v>50</v>
      </c>
      <c r="H14" s="293">
        <f ca="1">MONTH(tabellen!F1)-MONTH(G13)</f>
        <v>1</v>
      </c>
      <c r="I14" s="265"/>
      <c r="J14" s="268"/>
      <c r="K14" s="265"/>
      <c r="L14" s="285" t="s">
        <v>266</v>
      </c>
      <c r="M14" s="285"/>
      <c r="N14" s="285"/>
      <c r="O14" s="285"/>
      <c r="P14" s="291"/>
      <c r="Q14" s="292">
        <f>G73/G24</f>
        <v>1.6103272035889502</v>
      </c>
      <c r="R14" s="265"/>
      <c r="S14" s="274"/>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row>
    <row r="15" spans="1:57" s="275" customFormat="1" ht="12.95" customHeight="1" x14ac:dyDescent="0.2">
      <c r="A15" s="263"/>
      <c r="B15" s="264"/>
      <c r="C15" s="244"/>
      <c r="D15" s="244"/>
      <c r="E15" s="245"/>
      <c r="F15" s="244"/>
      <c r="G15" s="245"/>
      <c r="H15" s="245"/>
      <c r="I15" s="244"/>
      <c r="J15" s="268"/>
      <c r="K15" s="265"/>
      <c r="L15" s="265"/>
      <c r="M15" s="265"/>
      <c r="N15" s="265"/>
      <c r="O15" s="265"/>
      <c r="P15" s="273"/>
      <c r="Q15" s="273"/>
      <c r="R15" s="265"/>
      <c r="S15" s="274"/>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row>
    <row r="16" spans="1:57" s="275" customFormat="1" ht="12.95" customHeight="1" x14ac:dyDescent="0.2">
      <c r="A16" s="263"/>
      <c r="B16" s="264"/>
      <c r="C16" s="265"/>
      <c r="D16" s="269"/>
      <c r="E16" s="266"/>
      <c r="F16" s="267"/>
      <c r="G16" s="266"/>
      <c r="H16" s="266"/>
      <c r="I16" s="265"/>
      <c r="J16" s="268"/>
      <c r="K16" s="294"/>
      <c r="L16" s="294"/>
      <c r="M16" s="294"/>
      <c r="N16" s="294"/>
      <c r="O16" s="294"/>
      <c r="P16" s="295"/>
      <c r="Q16" s="295"/>
      <c r="R16" s="294"/>
      <c r="S16" s="274"/>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row>
    <row r="17" spans="1:57" s="275" customFormat="1" ht="12.95" customHeight="1" x14ac:dyDescent="0.2">
      <c r="A17" s="263"/>
      <c r="B17" s="264"/>
      <c r="C17" s="265"/>
      <c r="D17" s="269" t="s">
        <v>198</v>
      </c>
      <c r="E17" s="266"/>
      <c r="F17" s="267"/>
      <c r="G17" s="266"/>
      <c r="H17" s="266"/>
      <c r="I17" s="265"/>
      <c r="J17" s="268"/>
      <c r="K17" s="265"/>
      <c r="L17" s="265"/>
      <c r="M17" s="265"/>
      <c r="N17" s="265"/>
      <c r="O17" s="265"/>
      <c r="P17" s="273"/>
      <c r="Q17" s="273"/>
      <c r="R17" s="265"/>
      <c r="S17" s="274"/>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row>
    <row r="18" spans="1:57" s="275" customFormat="1" ht="12.95" customHeight="1" x14ac:dyDescent="0.2">
      <c r="A18" s="263"/>
      <c r="B18" s="264"/>
      <c r="C18" s="265"/>
      <c r="D18" s="269"/>
      <c r="E18" s="410"/>
      <c r="F18" s="267"/>
      <c r="G18" s="411" t="str">
        <f>IF(OR(G21&lt;1,G21&gt;VLOOKUP(G20,schaalregel,2,FALSE)),D81,"")</f>
        <v/>
      </c>
      <c r="H18" s="297"/>
      <c r="I18" s="265"/>
      <c r="J18" s="268"/>
      <c r="K18" s="265"/>
      <c r="L18" s="269" t="s">
        <v>162</v>
      </c>
      <c r="M18" s="265"/>
      <c r="N18" s="265"/>
      <c r="O18" s="265"/>
      <c r="P18" s="273"/>
      <c r="Q18" s="273"/>
      <c r="R18" s="265"/>
      <c r="S18" s="274"/>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1:57" s="275" customFormat="1" ht="12.95" customHeight="1" x14ac:dyDescent="0.2">
      <c r="A19" s="263"/>
      <c r="B19" s="264"/>
      <c r="C19" s="265"/>
      <c r="D19" s="279" t="s">
        <v>17</v>
      </c>
      <c r="E19" s="266"/>
      <c r="F19" s="267"/>
      <c r="G19" s="296" t="s">
        <v>36</v>
      </c>
      <c r="H19" s="297" t="s">
        <v>37</v>
      </c>
      <c r="I19" s="265"/>
      <c r="J19" s="268"/>
      <c r="K19" s="265"/>
      <c r="L19" s="265"/>
      <c r="M19" s="265"/>
      <c r="N19" s="265"/>
      <c r="O19" s="265"/>
      <c r="P19" s="273"/>
      <c r="Q19" s="273"/>
      <c r="R19" s="265"/>
      <c r="S19" s="274"/>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1:57" s="275" customFormat="1" ht="12.95" customHeight="1" x14ac:dyDescent="0.2">
      <c r="A20" s="263"/>
      <c r="B20" s="264"/>
      <c r="C20" s="265"/>
      <c r="D20" s="265" t="s">
        <v>15</v>
      </c>
      <c r="E20" s="266"/>
      <c r="F20" s="267"/>
      <c r="G20" s="185" t="s">
        <v>165</v>
      </c>
      <c r="H20" s="272">
        <f>IF(AND(G20&gt;0,G20&lt;17),100,0)</f>
        <v>0</v>
      </c>
      <c r="I20" s="265"/>
      <c r="J20" s="268"/>
      <c r="K20" s="285"/>
      <c r="L20" s="269" t="s">
        <v>201</v>
      </c>
      <c r="M20" s="298"/>
      <c r="N20" s="298"/>
      <c r="O20" s="298"/>
      <c r="P20" s="299" t="s">
        <v>36</v>
      </c>
      <c r="Q20" s="297" t="s">
        <v>37</v>
      </c>
      <c r="R20" s="265"/>
      <c r="S20" s="274"/>
      <c r="T20" s="263"/>
      <c r="U20" s="263"/>
      <c r="V20" s="300"/>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1:57" s="275" customFormat="1" ht="12.95" customHeight="1" x14ac:dyDescent="0.2">
      <c r="A21" s="263"/>
      <c r="B21" s="264"/>
      <c r="C21" s="265"/>
      <c r="D21" s="265" t="s">
        <v>16</v>
      </c>
      <c r="E21" s="266"/>
      <c r="F21" s="267"/>
      <c r="G21" s="185">
        <v>12</v>
      </c>
      <c r="H21" s="301"/>
      <c r="I21" s="265"/>
      <c r="J21" s="268"/>
      <c r="K21" s="285"/>
      <c r="L21" s="265" t="s">
        <v>26</v>
      </c>
      <c r="M21" s="265"/>
      <c r="N21" s="265"/>
      <c r="O21" s="302"/>
      <c r="P21" s="303">
        <f>IF($H$42/$G$23&lt;tabellen!E6,0,(+$H$42-tabellen!E6*G23)/12*tabellen!$D6)</f>
        <v>252.32937899999999</v>
      </c>
      <c r="Q21" s="303">
        <f>IF($H$42/$G$23&lt;tabellen!E6,0,(+$H$42-tabellen!E6*G23)*tabellen!$D6)</f>
        <v>3027.9525479999998</v>
      </c>
      <c r="R21" s="265"/>
      <c r="S21" s="274"/>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row>
    <row r="22" spans="1:57" s="275" customFormat="1" ht="12.95" customHeight="1" x14ac:dyDescent="0.2">
      <c r="A22" s="263"/>
      <c r="B22" s="264"/>
      <c r="C22" s="265"/>
      <c r="D22" s="265" t="s">
        <v>18</v>
      </c>
      <c r="E22" s="266"/>
      <c r="F22" s="267"/>
      <c r="G22" s="304">
        <f>VLOOKUP(G20,saltab2020,G21+1,FALSE)</f>
        <v>3976</v>
      </c>
      <c r="H22" s="305"/>
      <c r="I22" s="265"/>
      <c r="J22" s="268"/>
      <c r="K22" s="306"/>
      <c r="L22" s="265" t="s">
        <v>75</v>
      </c>
      <c r="M22" s="265"/>
      <c r="N22" s="265"/>
      <c r="O22" s="302"/>
      <c r="P22" s="303">
        <f>IF($H$42/$G$23&lt;tabellen!E7,0,(+$H$42-tabellen!E7*$G$23)/12*tabellen!$D7)</f>
        <v>7.5003390000000003</v>
      </c>
      <c r="Q22" s="303">
        <f>IF($H$42/$G$23&lt;tabellen!E7,0,(+$H$42-tabellen!E7*$G$23)*tabellen!$D7)</f>
        <v>90.00406799999999</v>
      </c>
      <c r="R22" s="269"/>
      <c r="S22" s="274"/>
      <c r="T22" s="263"/>
      <c r="U22" s="263"/>
      <c r="V22" s="300"/>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row>
    <row r="23" spans="1:57" s="275" customFormat="1" ht="12.95" customHeight="1" x14ac:dyDescent="0.2">
      <c r="A23" s="263"/>
      <c r="B23" s="264"/>
      <c r="C23" s="265"/>
      <c r="D23" s="265" t="s">
        <v>19</v>
      </c>
      <c r="E23" s="266"/>
      <c r="F23" s="267"/>
      <c r="G23" s="187">
        <v>1</v>
      </c>
      <c r="H23" s="266"/>
      <c r="I23" s="265"/>
      <c r="J23" s="268"/>
      <c r="K23" s="306"/>
      <c r="L23" s="265" t="s">
        <v>133</v>
      </c>
      <c r="M23" s="265"/>
      <c r="N23" s="265"/>
      <c r="O23" s="302"/>
      <c r="P23" s="303">
        <f>$H$42/12*tabellen!$D8</f>
        <v>0</v>
      </c>
      <c r="Q23" s="303">
        <f>$H$42*tabellen!$D8</f>
        <v>0</v>
      </c>
      <c r="R23" s="269"/>
      <c r="S23" s="274"/>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row>
    <row r="24" spans="1:57" s="275" customFormat="1" ht="12.95" customHeight="1" x14ac:dyDescent="0.2">
      <c r="A24" s="263"/>
      <c r="B24" s="264"/>
      <c r="C24" s="265"/>
      <c r="D24" s="269" t="s">
        <v>213</v>
      </c>
      <c r="E24" s="266"/>
      <c r="F24" s="267"/>
      <c r="G24" s="307">
        <f>+G22*G23</f>
        <v>3976</v>
      </c>
      <c r="H24" s="307">
        <f>G24*12</f>
        <v>47712</v>
      </c>
      <c r="I24" s="265"/>
      <c r="J24" s="268"/>
      <c r="K24" s="306"/>
      <c r="L24" s="269"/>
      <c r="M24" s="269"/>
      <c r="N24" s="269"/>
      <c r="O24" s="308"/>
      <c r="P24" s="307">
        <f>SUM(P21:P23)</f>
        <v>259.82971800000001</v>
      </c>
      <c r="Q24" s="307">
        <f>SUM(Q21:Q23)</f>
        <v>3117.9566159999999</v>
      </c>
      <c r="R24" s="269"/>
      <c r="S24" s="274"/>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row>
    <row r="25" spans="1:57" s="275" customFormat="1" ht="12.95" customHeight="1" x14ac:dyDescent="0.2">
      <c r="A25" s="263"/>
      <c r="B25" s="264"/>
      <c r="C25" s="265"/>
      <c r="D25" s="309"/>
      <c r="E25" s="310"/>
      <c r="F25" s="311"/>
      <c r="G25" s="310"/>
      <c r="H25" s="310"/>
      <c r="I25" s="265"/>
      <c r="J25" s="268"/>
      <c r="K25" s="306"/>
      <c r="L25" s="269" t="s">
        <v>158</v>
      </c>
      <c r="M25" s="269"/>
      <c r="N25" s="269"/>
      <c r="O25" s="269"/>
      <c r="P25" s="269"/>
      <c r="Q25" s="269"/>
      <c r="R25" s="269"/>
      <c r="S25" s="274"/>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row>
    <row r="26" spans="1:57" s="275" customFormat="1" ht="12.95" customHeight="1" x14ac:dyDescent="0.2">
      <c r="A26" s="263"/>
      <c r="B26" s="264"/>
      <c r="C26" s="265"/>
      <c r="D26" s="312"/>
      <c r="E26" s="313"/>
      <c r="F26" s="314"/>
      <c r="G26" s="313"/>
      <c r="H26" s="313"/>
      <c r="I26" s="265"/>
      <c r="J26" s="268"/>
      <c r="K26" s="306"/>
      <c r="L26" s="265" t="s">
        <v>192</v>
      </c>
      <c r="M26" s="306"/>
      <c r="N26" s="306"/>
      <c r="O26" s="315"/>
      <c r="P26" s="303">
        <f>G41</f>
        <v>4775.3013333333329</v>
      </c>
      <c r="Q26" s="303">
        <f>H41</f>
        <v>57303.616000000002</v>
      </c>
      <c r="R26" s="269"/>
      <c r="S26" s="274"/>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row>
    <row r="27" spans="1:57" s="275" customFormat="1" ht="12.95" customHeight="1" x14ac:dyDescent="0.2">
      <c r="A27" s="263"/>
      <c r="B27" s="264"/>
      <c r="C27" s="265"/>
      <c r="D27" s="269" t="s">
        <v>199</v>
      </c>
      <c r="E27" s="273"/>
      <c r="F27" s="265"/>
      <c r="G27" s="316"/>
      <c r="H27" s="273"/>
      <c r="I27" s="265"/>
      <c r="J27" s="268"/>
      <c r="K27" s="306"/>
      <c r="L27" s="265" t="s">
        <v>202</v>
      </c>
      <c r="M27" s="306"/>
      <c r="N27" s="306"/>
      <c r="O27" s="315"/>
      <c r="P27" s="303">
        <f>P24</f>
        <v>259.82971800000001</v>
      </c>
      <c r="Q27" s="303">
        <f>Q24</f>
        <v>3117.9566159999999</v>
      </c>
      <c r="R27" s="269"/>
      <c r="S27" s="274"/>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1:57" s="275" customFormat="1" ht="12.95" customHeight="1" x14ac:dyDescent="0.2">
      <c r="A28" s="263"/>
      <c r="B28" s="264"/>
      <c r="C28" s="265"/>
      <c r="D28" s="265"/>
      <c r="E28" s="273"/>
      <c r="F28" s="265"/>
      <c r="G28" s="296" t="s">
        <v>36</v>
      </c>
      <c r="H28" s="297" t="s">
        <v>37</v>
      </c>
      <c r="I28" s="265"/>
      <c r="J28" s="268"/>
      <c r="K28" s="306"/>
      <c r="L28" s="306"/>
      <c r="M28" s="306"/>
      <c r="N28" s="306"/>
      <c r="O28" s="315"/>
      <c r="P28" s="307">
        <f>P26-P27</f>
        <v>4515.4716153333329</v>
      </c>
      <c r="Q28" s="307">
        <f>H41-Q24</f>
        <v>54185.659383999999</v>
      </c>
      <c r="R28" s="269"/>
      <c r="S28" s="274"/>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1:57" s="275" customFormat="1" ht="12.95" customHeight="1" x14ac:dyDescent="0.2">
      <c r="A29" s="263"/>
      <c r="B29" s="264"/>
      <c r="C29" s="265"/>
      <c r="D29" s="265" t="s">
        <v>25</v>
      </c>
      <c r="E29" s="273"/>
      <c r="F29" s="317"/>
      <c r="G29" s="303">
        <f>ROUND(IF((G$24+G31)*tabellen!D42&lt;G23*tabellen!D44,G23*tabellen!D44,(G$24+G31)*tabellen!D42),2)</f>
        <v>318.08</v>
      </c>
      <c r="H29" s="303">
        <f>+G29*12</f>
        <v>3816.96</v>
      </c>
      <c r="I29" s="265"/>
      <c r="J29" s="268"/>
      <c r="K29" s="306"/>
      <c r="L29" s="269" t="s">
        <v>56</v>
      </c>
      <c r="M29" s="306"/>
      <c r="N29" s="306"/>
      <c r="O29" s="315"/>
      <c r="P29" s="318"/>
      <c r="Q29" s="318"/>
      <c r="R29" s="269"/>
      <c r="S29" s="274"/>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1:57" s="275" customFormat="1" ht="12.95" customHeight="1" x14ac:dyDescent="0.2">
      <c r="A30" s="263"/>
      <c r="B30" s="264"/>
      <c r="C30" s="265"/>
      <c r="D30" s="265" t="s">
        <v>45</v>
      </c>
      <c r="E30" s="273"/>
      <c r="F30" s="319"/>
      <c r="G30" s="303">
        <f>ROUND((G$24+G31)*tabellen!D45,2)</f>
        <v>250.49</v>
      </c>
      <c r="H30" s="303">
        <f>+G30*12</f>
        <v>3005.88</v>
      </c>
      <c r="I30" s="265"/>
      <c r="J30" s="268"/>
      <c r="K30" s="306"/>
      <c r="L30" s="265" t="s">
        <v>203</v>
      </c>
      <c r="M30" s="306"/>
      <c r="N30" s="306"/>
      <c r="O30" s="315"/>
      <c r="P30" s="303">
        <f>P28</f>
        <v>4515.4716153333329</v>
      </c>
      <c r="Q30" s="303">
        <f>Q28</f>
        <v>54185.659383999999</v>
      </c>
      <c r="R30" s="269"/>
      <c r="S30" s="274"/>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row>
    <row r="31" spans="1:57" s="275" customFormat="1" ht="12.95" customHeight="1" x14ac:dyDescent="0.2">
      <c r="A31" s="263"/>
      <c r="B31" s="264"/>
      <c r="C31" s="265"/>
      <c r="D31" s="265" t="s">
        <v>171</v>
      </c>
      <c r="E31" s="184" t="s">
        <v>338</v>
      </c>
      <c r="F31" s="319"/>
      <c r="G31" s="303">
        <f>IF(E31="nee",0,(VLOOKUP(G20,uitlooptoeslag,2,FALSE)))</f>
        <v>0</v>
      </c>
      <c r="H31" s="303">
        <f>+G31*12</f>
        <v>0</v>
      </c>
      <c r="I31" s="265"/>
      <c r="J31" s="268"/>
      <c r="K31" s="306"/>
      <c r="L31" s="265" t="s">
        <v>159</v>
      </c>
      <c r="M31" s="269"/>
      <c r="N31" s="269"/>
      <c r="O31" s="269"/>
      <c r="P31" s="303">
        <f>G52</f>
        <v>302.54000000000002</v>
      </c>
      <c r="Q31" s="303">
        <f>H52</f>
        <v>3630.4800000000005</v>
      </c>
      <c r="R31" s="269"/>
      <c r="S31" s="274"/>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row>
    <row r="32" spans="1:57" s="275" customFormat="1" ht="12.95" customHeight="1" x14ac:dyDescent="0.2">
      <c r="A32" s="263"/>
      <c r="B32" s="264"/>
      <c r="C32" s="265"/>
      <c r="D32" s="265" t="s">
        <v>80</v>
      </c>
      <c r="E32" s="320" t="str">
        <f>IF(OR(G20="DA",G20="DB",G20="DBuit",G20="DC",G20="DCuit",MID(G20,1,5)="meerh"),"j","n")</f>
        <v>n</v>
      </c>
      <c r="F32" s="319"/>
      <c r="G32" s="303">
        <f>ROUND(IF(E32="j",tabellen!D55*IF(G23&gt;1,1,G23),0),2)</f>
        <v>0</v>
      </c>
      <c r="H32" s="303">
        <f>+G32*12</f>
        <v>0</v>
      </c>
      <c r="I32" s="265"/>
      <c r="J32" s="268"/>
      <c r="K32" s="306"/>
      <c r="L32" s="263"/>
      <c r="M32" s="269"/>
      <c r="N32" s="269"/>
      <c r="O32" s="269"/>
      <c r="P32" s="307">
        <f>SUM(P30:P31)</f>
        <v>4818.0116153333329</v>
      </c>
      <c r="Q32" s="307">
        <f>SUM(Q30:Q31)</f>
        <v>57816.139384000002</v>
      </c>
      <c r="R32" s="269"/>
      <c r="S32" s="274"/>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row>
    <row r="33" spans="1:57" s="275" customFormat="1" ht="12.95" customHeight="1" x14ac:dyDescent="0.2">
      <c r="A33" s="263"/>
      <c r="B33" s="264"/>
      <c r="C33" s="265"/>
      <c r="D33" s="265" t="s">
        <v>68</v>
      </c>
      <c r="E33" s="321">
        <f>IF(H20=100,G20,0)</f>
        <v>0</v>
      </c>
      <c r="F33" s="319"/>
      <c r="G33" s="303">
        <f>VLOOKUP(E33,eindejaarsuitkering_OOP,2,TRUE)*G23/12</f>
        <v>0</v>
      </c>
      <c r="H33" s="303">
        <f>+G33*12</f>
        <v>0</v>
      </c>
      <c r="I33" s="265"/>
      <c r="J33" s="268"/>
      <c r="K33" s="265"/>
      <c r="L33" s="263"/>
      <c r="M33" s="263"/>
      <c r="N33" s="263"/>
      <c r="O33" s="263"/>
      <c r="P33" s="263"/>
      <c r="Q33" s="263"/>
      <c r="R33" s="285"/>
      <c r="S33" s="274"/>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row>
    <row r="34" spans="1:57" s="275" customFormat="1" ht="12.95" customHeight="1" x14ac:dyDescent="0.2">
      <c r="A34" s="263"/>
      <c r="B34" s="264"/>
      <c r="C34" s="265"/>
      <c r="D34" s="265" t="s">
        <v>190</v>
      </c>
      <c r="E34" s="322"/>
      <c r="F34" s="265"/>
      <c r="G34" s="303">
        <f>H34/12</f>
        <v>16.666666666666668</v>
      </c>
      <c r="H34" s="303">
        <f>ROUND(G23*tabellen!D51,2)</f>
        <v>200</v>
      </c>
      <c r="I34" s="269"/>
      <c r="J34" s="268"/>
      <c r="K34" s="294"/>
      <c r="L34" s="294"/>
      <c r="M34" s="294"/>
      <c r="N34" s="294"/>
      <c r="O34" s="294"/>
      <c r="P34" s="294"/>
      <c r="Q34" s="294"/>
      <c r="R34" s="294"/>
      <c r="S34" s="331"/>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row>
    <row r="35" spans="1:57" s="275" customFormat="1" ht="12.95" customHeight="1" x14ac:dyDescent="0.2">
      <c r="A35" s="263"/>
      <c r="B35" s="264"/>
      <c r="C35" s="265"/>
      <c r="D35" s="414" t="s">
        <v>333</v>
      </c>
      <c r="E35" s="322"/>
      <c r="F35" s="265"/>
      <c r="G35" s="303">
        <f>H35/12</f>
        <v>72.916666666666671</v>
      </c>
      <c r="H35" s="303">
        <f>tabellen!D52*G23</f>
        <v>875</v>
      </c>
      <c r="I35" s="269"/>
      <c r="J35" s="268"/>
      <c r="K35" s="358"/>
      <c r="L35" s="359"/>
      <c r="M35" s="359"/>
      <c r="N35" s="359"/>
      <c r="O35" s="359"/>
      <c r="P35" s="359"/>
      <c r="Q35" s="359"/>
      <c r="R35" s="359"/>
      <c r="S35" s="367"/>
      <c r="T35" s="263"/>
      <c r="U35" s="263"/>
      <c r="V35" s="300"/>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row>
    <row r="36" spans="1:57" s="275" customFormat="1" ht="12.95" customHeight="1" x14ac:dyDescent="0.2">
      <c r="A36" s="263"/>
      <c r="B36" s="264"/>
      <c r="C36" s="265"/>
      <c r="D36" s="414" t="s">
        <v>334</v>
      </c>
      <c r="E36" s="322"/>
      <c r="F36" s="265"/>
      <c r="G36" s="303">
        <f>H36/12</f>
        <v>109.34000000000002</v>
      </c>
      <c r="H36" s="303">
        <f>G24*tabellen!D53</f>
        <v>1312.0800000000002</v>
      </c>
      <c r="I36" s="269"/>
      <c r="J36" s="268"/>
      <c r="K36" s="358"/>
      <c r="L36" s="359"/>
      <c r="M36" s="359"/>
      <c r="N36" s="359"/>
      <c r="O36" s="359"/>
      <c r="P36" s="359"/>
      <c r="Q36" s="359"/>
      <c r="R36" s="359"/>
      <c r="S36" s="367"/>
      <c r="T36" s="263"/>
      <c r="U36" s="263"/>
      <c r="V36" s="300"/>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1:57" s="275" customFormat="1" ht="12.95" customHeight="1" x14ac:dyDescent="0.2">
      <c r="A37" s="263"/>
      <c r="B37" s="264"/>
      <c r="C37" s="265"/>
      <c r="D37" s="265" t="s">
        <v>70</v>
      </c>
      <c r="E37" s="273"/>
      <c r="F37" s="265"/>
      <c r="G37" s="303">
        <f>((G24+G31)*tabellen!C37)</f>
        <v>31.808</v>
      </c>
      <c r="H37" s="303">
        <f>G37*12</f>
        <v>381.69600000000003</v>
      </c>
      <c r="I37" s="269"/>
      <c r="J37" s="268"/>
      <c r="K37" s="358"/>
      <c r="L37" s="359"/>
      <c r="M37" s="359"/>
      <c r="N37" s="359"/>
      <c r="O37" s="359"/>
      <c r="P37" s="359"/>
      <c r="Q37" s="359"/>
      <c r="R37" s="359"/>
      <c r="S37" s="367"/>
      <c r="T37" s="263"/>
      <c r="U37" s="263"/>
      <c r="V37" s="300"/>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1:57" s="275" customFormat="1" ht="12.95" customHeight="1" x14ac:dyDescent="0.2">
      <c r="A38" s="263"/>
      <c r="B38" s="264"/>
      <c r="C38" s="265"/>
      <c r="D38" s="265"/>
      <c r="E38" s="273"/>
      <c r="F38" s="265"/>
      <c r="G38" s="322"/>
      <c r="H38" s="322"/>
      <c r="I38" s="269"/>
      <c r="J38" s="268"/>
      <c r="K38" s="362" t="s">
        <v>278</v>
      </c>
      <c r="L38" s="363"/>
      <c r="M38" s="363"/>
      <c r="N38" s="363"/>
      <c r="O38" s="363"/>
      <c r="P38" s="363"/>
      <c r="Q38" s="364"/>
      <c r="R38" s="359"/>
      <c r="S38" s="367"/>
      <c r="T38" s="263"/>
      <c r="U38" s="263"/>
      <c r="V38" s="300"/>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1:57" s="275" customFormat="1" ht="12.95" customHeight="1" x14ac:dyDescent="0.2">
      <c r="A39" s="263"/>
      <c r="B39" s="264"/>
      <c r="C39" s="265"/>
      <c r="D39" s="306" t="s">
        <v>196</v>
      </c>
      <c r="E39" s="322"/>
      <c r="F39" s="306"/>
      <c r="G39" s="323">
        <f>SUM(G29:G37)</f>
        <v>799.30133333333322</v>
      </c>
      <c r="H39" s="323">
        <f>SUM(H29:H37)</f>
        <v>9591.616</v>
      </c>
      <c r="I39" s="269"/>
      <c r="J39" s="268"/>
      <c r="K39" s="365" t="s">
        <v>288</v>
      </c>
      <c r="L39" s="366"/>
      <c r="M39" s="366"/>
      <c r="N39" s="366"/>
      <c r="O39" s="366"/>
      <c r="P39" s="366"/>
      <c r="Q39" s="367"/>
      <c r="R39" s="359"/>
      <c r="S39" s="367"/>
      <c r="T39" s="263"/>
      <c r="U39" s="263"/>
      <c r="V39" s="300"/>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row>
    <row r="40" spans="1:57" s="275" customFormat="1" ht="12.95" customHeight="1" x14ac:dyDescent="0.2">
      <c r="A40" s="263"/>
      <c r="B40" s="264"/>
      <c r="C40" s="265"/>
      <c r="D40" s="269"/>
      <c r="E40" s="273"/>
      <c r="F40" s="270"/>
      <c r="G40" s="273"/>
      <c r="H40" s="273"/>
      <c r="I40" s="269"/>
      <c r="J40" s="268"/>
      <c r="K40" s="365" t="s">
        <v>327</v>
      </c>
      <c r="L40" s="366"/>
      <c r="M40" s="366"/>
      <c r="N40" s="366"/>
      <c r="O40" s="366"/>
      <c r="P40" s="366"/>
      <c r="Q40" s="367"/>
      <c r="R40" s="359"/>
      <c r="S40" s="367"/>
      <c r="T40" s="263"/>
      <c r="U40" s="263"/>
      <c r="V40" s="300"/>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row>
    <row r="41" spans="1:57" s="275" customFormat="1" ht="12.95" customHeight="1" x14ac:dyDescent="0.2">
      <c r="A41" s="263"/>
      <c r="B41" s="264"/>
      <c r="C41" s="265"/>
      <c r="D41" s="269" t="s">
        <v>192</v>
      </c>
      <c r="E41" s="273"/>
      <c r="F41" s="270"/>
      <c r="G41" s="326">
        <f>G24+G39</f>
        <v>4775.3013333333329</v>
      </c>
      <c r="H41" s="326">
        <f>H24+H39</f>
        <v>57303.616000000002</v>
      </c>
      <c r="I41" s="269"/>
      <c r="J41" s="268"/>
      <c r="K41" s="368" t="s">
        <v>289</v>
      </c>
      <c r="L41" s="366"/>
      <c r="M41" s="366"/>
      <c r="N41" s="366"/>
      <c r="O41" s="366"/>
      <c r="P41" s="366"/>
      <c r="Q41" s="367"/>
      <c r="R41" s="360"/>
      <c r="S41" s="371"/>
      <c r="T41" s="263"/>
      <c r="U41" s="263"/>
      <c r="V41" s="300"/>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row>
    <row r="42" spans="1:57" s="275" customFormat="1" ht="12.95" customHeight="1" x14ac:dyDescent="0.2">
      <c r="A42" s="263"/>
      <c r="B42" s="264"/>
      <c r="C42" s="265"/>
      <c r="D42" s="285" t="s">
        <v>35</v>
      </c>
      <c r="E42" s="291"/>
      <c r="F42" s="285"/>
      <c r="G42" s="328">
        <f>H42/12</f>
        <v>4561.2366666666667</v>
      </c>
      <c r="H42" s="328">
        <f>H41-H35-H36-H37</f>
        <v>54734.84</v>
      </c>
      <c r="I42" s="265"/>
      <c r="J42" s="268"/>
      <c r="K42" s="369" t="s">
        <v>290</v>
      </c>
      <c r="L42" s="370"/>
      <c r="M42" s="370"/>
      <c r="N42" s="370"/>
      <c r="O42" s="370"/>
      <c r="P42" s="370"/>
      <c r="Q42" s="371"/>
      <c r="R42" s="360"/>
      <c r="S42" s="371"/>
      <c r="T42" s="263"/>
      <c r="U42" s="263"/>
      <c r="V42" s="300"/>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row>
    <row r="43" spans="1:57" s="275" customFormat="1" ht="12.95" customHeight="1" x14ac:dyDescent="0.2">
      <c r="A43" s="263"/>
      <c r="B43" s="264"/>
      <c r="C43" s="265"/>
      <c r="D43" s="309"/>
      <c r="E43" s="310"/>
      <c r="F43" s="311"/>
      <c r="G43" s="310"/>
      <c r="H43" s="415"/>
      <c r="I43" s="265"/>
      <c r="J43" s="268"/>
      <c r="K43" s="369" t="s">
        <v>291</v>
      </c>
      <c r="L43" s="370"/>
      <c r="M43" s="370"/>
      <c r="N43" s="370"/>
      <c r="O43" s="370"/>
      <c r="P43" s="370"/>
      <c r="Q43" s="371"/>
      <c r="R43" s="359"/>
      <c r="S43" s="367"/>
      <c r="T43" s="263"/>
      <c r="U43" s="330"/>
      <c r="V43" s="330"/>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row>
    <row r="44" spans="1:57" s="275" customFormat="1" ht="12.95" customHeight="1" x14ac:dyDescent="0.2">
      <c r="A44" s="263"/>
      <c r="B44" s="264"/>
      <c r="C44" s="265"/>
      <c r="D44" s="312"/>
      <c r="E44" s="313"/>
      <c r="F44" s="314"/>
      <c r="G44" s="313"/>
      <c r="H44" s="384"/>
      <c r="I44" s="265"/>
      <c r="J44" s="268"/>
      <c r="K44" s="369"/>
      <c r="L44" s="370"/>
      <c r="M44" s="370"/>
      <c r="N44" s="370"/>
      <c r="O44" s="370"/>
      <c r="P44" s="370"/>
      <c r="Q44" s="371"/>
      <c r="R44" s="359"/>
      <c r="S44" s="367"/>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row>
    <row r="45" spans="1:57" s="275" customFormat="1" ht="12.95" customHeight="1" x14ac:dyDescent="0.2">
      <c r="A45" s="263"/>
      <c r="B45" s="264"/>
      <c r="C45" s="265"/>
      <c r="D45" s="269" t="s">
        <v>200</v>
      </c>
      <c r="E45" s="273"/>
      <c r="F45" s="265"/>
      <c r="G45" s="332"/>
      <c r="H45" s="384"/>
      <c r="I45" s="265"/>
      <c r="J45" s="268"/>
      <c r="K45" s="372" t="s">
        <v>279</v>
      </c>
      <c r="L45" s="366"/>
      <c r="M45" s="366"/>
      <c r="N45" s="366"/>
      <c r="O45" s="366"/>
      <c r="P45" s="366"/>
      <c r="Q45" s="367"/>
      <c r="R45" s="359"/>
      <c r="S45" s="367"/>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1:57" s="275" customFormat="1" ht="12.95" customHeight="1" x14ac:dyDescent="0.2">
      <c r="A46" s="263"/>
      <c r="B46" s="264"/>
      <c r="C46" s="265"/>
      <c r="D46" s="265"/>
      <c r="E46" s="273"/>
      <c r="F46" s="265"/>
      <c r="G46" s="296"/>
      <c r="H46" s="297"/>
      <c r="I46" s="265"/>
      <c r="J46" s="268"/>
      <c r="K46" s="365" t="s">
        <v>274</v>
      </c>
      <c r="L46" s="366"/>
      <c r="M46" s="366"/>
      <c r="N46" s="366"/>
      <c r="O46" s="366"/>
      <c r="P46" s="366"/>
      <c r="Q46" s="367"/>
      <c r="R46" s="359"/>
      <c r="S46" s="367"/>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row>
    <row r="47" spans="1:57" s="275" customFormat="1" ht="12.95" customHeight="1" x14ac:dyDescent="0.2">
      <c r="A47" s="263"/>
      <c r="B47" s="264"/>
      <c r="C47" s="265"/>
      <c r="D47" s="285" t="s">
        <v>195</v>
      </c>
      <c r="E47" s="273"/>
      <c r="F47" s="265"/>
      <c r="G47" s="296" t="s">
        <v>36</v>
      </c>
      <c r="H47" s="297" t="s">
        <v>37</v>
      </c>
      <c r="I47" s="265"/>
      <c r="J47" s="268"/>
      <c r="K47" s="365" t="s">
        <v>275</v>
      </c>
      <c r="L47" s="366"/>
      <c r="M47" s="366"/>
      <c r="N47" s="366"/>
      <c r="O47" s="366"/>
      <c r="P47" s="366"/>
      <c r="Q47" s="367"/>
      <c r="R47" s="359"/>
      <c r="S47" s="367"/>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row>
    <row r="48" spans="1:57" s="275" customFormat="1" ht="12.95" customHeight="1" x14ac:dyDescent="0.2">
      <c r="A48" s="263"/>
      <c r="B48" s="264"/>
      <c r="C48" s="265"/>
      <c r="D48" s="265" t="s">
        <v>26</v>
      </c>
      <c r="E48" s="273"/>
      <c r="F48" s="265"/>
      <c r="G48" s="303">
        <f>IF($H$42/$G$23&lt;tabellen!E6,0,($H$42-tabellen!E6*$G$23)/12)*tabellen!$C6</f>
        <v>588.768551</v>
      </c>
      <c r="H48" s="333">
        <f t="shared" ref="H48:H53" si="0">G48*12</f>
        <v>7065.2226119999996</v>
      </c>
      <c r="I48" s="285"/>
      <c r="J48" s="268"/>
      <c r="K48" s="365" t="s">
        <v>276</v>
      </c>
      <c r="L48" s="366"/>
      <c r="M48" s="366"/>
      <c r="N48" s="366"/>
      <c r="O48" s="366"/>
      <c r="P48" s="366"/>
      <c r="Q48" s="367"/>
      <c r="R48" s="359"/>
      <c r="S48" s="367"/>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row>
    <row r="49" spans="1:57" s="275" customFormat="1" ht="12.95" customHeight="1" x14ac:dyDescent="0.2">
      <c r="A49" s="263"/>
      <c r="B49" s="264"/>
      <c r="C49" s="265"/>
      <c r="D49" s="265" t="s">
        <v>75</v>
      </c>
      <c r="E49" s="273"/>
      <c r="F49" s="265"/>
      <c r="G49" s="303">
        <f>IF($H$42/$G$23&lt;tabellen!E7,0,($H$42-tabellen!E7*$G$23)/12)*tabellen!$C7</f>
        <v>17.500791</v>
      </c>
      <c r="H49" s="333">
        <f t="shared" si="0"/>
        <v>210.00949199999999</v>
      </c>
      <c r="I49" s="285"/>
      <c r="J49" s="268"/>
      <c r="K49" s="365" t="s">
        <v>292</v>
      </c>
      <c r="L49" s="366"/>
      <c r="M49" s="366"/>
      <c r="N49" s="366"/>
      <c r="O49" s="366"/>
      <c r="P49" s="366"/>
      <c r="Q49" s="367"/>
      <c r="R49" s="359"/>
      <c r="S49" s="367"/>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row>
    <row r="50" spans="1:57" s="275" customFormat="1" ht="12.95" customHeight="1" x14ac:dyDescent="0.2">
      <c r="A50" s="263"/>
      <c r="B50" s="264"/>
      <c r="C50" s="285"/>
      <c r="D50" s="265" t="s">
        <v>133</v>
      </c>
      <c r="E50" s="291"/>
      <c r="F50" s="265"/>
      <c r="G50" s="303">
        <f>$H$42/12*tabellen!$C8</f>
        <v>118.59215333333333</v>
      </c>
      <c r="H50" s="333">
        <f t="shared" si="0"/>
        <v>1423.1058399999999</v>
      </c>
      <c r="I50" s="285"/>
      <c r="J50" s="268"/>
      <c r="K50" s="365" t="s">
        <v>293</v>
      </c>
      <c r="L50" s="366"/>
      <c r="M50" s="366"/>
      <c r="N50" s="366"/>
      <c r="O50" s="366"/>
      <c r="P50" s="366"/>
      <c r="Q50" s="367"/>
      <c r="R50" s="359"/>
      <c r="S50" s="367"/>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1:57" s="275" customFormat="1" ht="12.95" customHeight="1" x14ac:dyDescent="0.2">
      <c r="A51" s="263"/>
      <c r="B51" s="264"/>
      <c r="C51" s="285"/>
      <c r="D51" s="265" t="s">
        <v>363</v>
      </c>
      <c r="E51" s="273"/>
      <c r="F51" s="265"/>
      <c r="G51" s="303">
        <f>IF(P28&gt;tabellen!$G$9/12,tabellen!$G$9/12,P28)*(tabellen!$C9+tabellen!$C10)</f>
        <v>382.46044581873326</v>
      </c>
      <c r="H51" s="333">
        <f>G51*12</f>
        <v>4589.5253498247994</v>
      </c>
      <c r="I51" s="270"/>
      <c r="J51" s="268"/>
      <c r="K51" s="365" t="s">
        <v>280</v>
      </c>
      <c r="L51" s="366"/>
      <c r="M51" s="366"/>
      <c r="N51" s="366"/>
      <c r="O51" s="366"/>
      <c r="P51" s="366"/>
      <c r="Q51" s="367"/>
      <c r="R51" s="359"/>
      <c r="S51" s="367"/>
      <c r="T51" s="263"/>
      <c r="U51" s="263"/>
      <c r="V51" s="18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1:57" s="275" customFormat="1" ht="12.95" customHeight="1" x14ac:dyDescent="0.2">
      <c r="A52" s="263"/>
      <c r="B52" s="264"/>
      <c r="C52" s="285"/>
      <c r="D52" s="265" t="s">
        <v>125</v>
      </c>
      <c r="E52" s="273"/>
      <c r="F52" s="265"/>
      <c r="G52" s="303">
        <f>ROUND(IF(P28&gt;tabellen!H11,tabellen!H11,P28)*tabellen!C11,2)</f>
        <v>302.54000000000002</v>
      </c>
      <c r="H52" s="333">
        <f t="shared" si="0"/>
        <v>3630.4800000000005</v>
      </c>
      <c r="I52" s="270"/>
      <c r="J52" s="268"/>
      <c r="K52" s="365" t="s">
        <v>284</v>
      </c>
      <c r="L52" s="366"/>
      <c r="M52" s="366"/>
      <c r="N52" s="366"/>
      <c r="O52" s="366"/>
      <c r="P52" s="366"/>
      <c r="Q52" s="367"/>
      <c r="R52" s="359"/>
      <c r="S52" s="367"/>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row>
    <row r="53" spans="1:57" s="275" customFormat="1" ht="12.95" customHeight="1" x14ac:dyDescent="0.2">
      <c r="A53" s="263"/>
      <c r="B53" s="264"/>
      <c r="C53" s="265"/>
      <c r="D53" s="265" t="s">
        <v>32</v>
      </c>
      <c r="E53" s="273"/>
      <c r="F53" s="265"/>
      <c r="G53" s="303">
        <f>IF(P28&gt;tabellen!$G$12*$G$23/12,tabellen!$G$12*$G$23/12,P28)*tabellen!$C12</f>
        <v>30.705206984266663</v>
      </c>
      <c r="H53" s="333">
        <f t="shared" si="0"/>
        <v>368.46248381119995</v>
      </c>
      <c r="I53" s="270"/>
      <c r="J53" s="268"/>
      <c r="K53" s="365" t="s">
        <v>296</v>
      </c>
      <c r="L53" s="366"/>
      <c r="M53" s="366"/>
      <c r="N53" s="366"/>
      <c r="O53" s="366"/>
      <c r="P53" s="366"/>
      <c r="Q53" s="367"/>
      <c r="R53" s="359"/>
      <c r="S53" s="367"/>
      <c r="T53" s="263"/>
      <c r="U53" s="263"/>
      <c r="V53" s="334"/>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row>
    <row r="54" spans="1:57" s="275" customFormat="1" ht="12.95" customHeight="1" x14ac:dyDescent="0.2">
      <c r="A54" s="263"/>
      <c r="B54" s="264"/>
      <c r="C54" s="265"/>
      <c r="D54" s="285"/>
      <c r="E54" s="291"/>
      <c r="F54" s="285"/>
      <c r="G54" s="335">
        <f>SUM(G48:G53)</f>
        <v>1440.5671481363331</v>
      </c>
      <c r="H54" s="335">
        <f>SUM(H48:H53)</f>
        <v>17286.805777635996</v>
      </c>
      <c r="I54" s="270"/>
      <c r="J54" s="268"/>
      <c r="K54" s="365" t="s">
        <v>281</v>
      </c>
      <c r="L54" s="366"/>
      <c r="M54" s="366"/>
      <c r="N54" s="366"/>
      <c r="O54" s="366"/>
      <c r="P54" s="366"/>
      <c r="Q54" s="367"/>
      <c r="R54" s="359"/>
      <c r="S54" s="367"/>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row>
    <row r="55" spans="1:57" s="337" customFormat="1" ht="12.95" customHeight="1" x14ac:dyDescent="0.2">
      <c r="A55" s="334"/>
      <c r="B55" s="338"/>
      <c r="C55" s="265"/>
      <c r="D55" s="285" t="s">
        <v>235</v>
      </c>
      <c r="E55" s="273"/>
      <c r="F55" s="265"/>
      <c r="G55" s="273"/>
      <c r="H55" s="273"/>
      <c r="I55" s="270"/>
      <c r="J55" s="336"/>
      <c r="K55" s="365" t="s">
        <v>282</v>
      </c>
      <c r="L55" s="366"/>
      <c r="M55" s="366"/>
      <c r="N55" s="366"/>
      <c r="O55" s="366"/>
      <c r="P55" s="366"/>
      <c r="Q55" s="367"/>
      <c r="R55" s="359"/>
      <c r="S55" s="367"/>
      <c r="T55" s="334"/>
      <c r="U55" s="334"/>
      <c r="V55" s="263"/>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row>
    <row r="56" spans="1:57" s="337" customFormat="1" ht="12.95" customHeight="1" x14ac:dyDescent="0.2">
      <c r="A56" s="334"/>
      <c r="B56" s="338"/>
      <c r="C56" s="265"/>
      <c r="D56" s="265" t="s">
        <v>267</v>
      </c>
      <c r="E56" s="425">
        <v>3</v>
      </c>
      <c r="F56" s="265"/>
      <c r="G56" s="303">
        <f>(G24+G29)*IF(E56=1,tabellen!$C13,IF(E56=2,tabellen!C14,IF(E56=3,tabellen!C15,IF(E56=5,tabellen!C17,IF(E56=6,tabellen!C18,IF(E56=7,tabellen!C19,IF(E56=8,tabellen!C20,tabellen!C16)))))))</f>
        <v>6.4411199999999997</v>
      </c>
      <c r="H56" s="333">
        <f>G56*12</f>
        <v>77.293440000000004</v>
      </c>
      <c r="I56" s="265"/>
      <c r="J56" s="336"/>
      <c r="K56" s="365" t="s">
        <v>283</v>
      </c>
      <c r="L56" s="366"/>
      <c r="M56" s="366"/>
      <c r="N56" s="366"/>
      <c r="O56" s="366"/>
      <c r="P56" s="366"/>
      <c r="Q56" s="367"/>
      <c r="R56" s="359"/>
      <c r="S56" s="367"/>
      <c r="T56" s="334"/>
      <c r="U56" s="334"/>
      <c r="V56" s="263"/>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row>
    <row r="57" spans="1:57" s="275" customFormat="1" ht="12.95" customHeight="1" x14ac:dyDescent="0.2">
      <c r="A57" s="263"/>
      <c r="B57" s="264"/>
      <c r="C57" s="265"/>
      <c r="D57" s="265" t="s">
        <v>250</v>
      </c>
      <c r="E57" s="273"/>
      <c r="F57" s="265"/>
      <c r="G57" s="303">
        <f>H57/12</f>
        <v>0</v>
      </c>
      <c r="H57" s="220">
        <v>0</v>
      </c>
      <c r="I57" s="265"/>
      <c r="J57" s="268"/>
      <c r="K57" s="365"/>
      <c r="L57" s="366"/>
      <c r="M57" s="366"/>
      <c r="N57" s="366"/>
      <c r="O57" s="366"/>
      <c r="P57" s="366"/>
      <c r="Q57" s="367"/>
      <c r="R57" s="359"/>
      <c r="S57" s="367"/>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row>
    <row r="58" spans="1:57" s="275" customFormat="1" ht="12.95" customHeight="1" x14ac:dyDescent="0.2">
      <c r="A58" s="263"/>
      <c r="B58" s="264"/>
      <c r="C58" s="265"/>
      <c r="D58" s="265" t="s">
        <v>189</v>
      </c>
      <c r="E58" s="273"/>
      <c r="F58" s="265"/>
      <c r="G58" s="303">
        <f>(G24+G29)*tabellen!$C21</f>
        <v>180.35136</v>
      </c>
      <c r="H58" s="333">
        <f>G58*12</f>
        <v>2164.21632</v>
      </c>
      <c r="I58" s="265"/>
      <c r="J58" s="268"/>
      <c r="K58" s="373" t="s">
        <v>285</v>
      </c>
      <c r="L58" s="366"/>
      <c r="M58" s="366"/>
      <c r="N58" s="366"/>
      <c r="O58" s="366"/>
      <c r="P58" s="366"/>
      <c r="Q58" s="367"/>
      <c r="R58" s="359"/>
      <c r="S58" s="367"/>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row>
    <row r="59" spans="1:57" s="275" customFormat="1" ht="12.95" customHeight="1" x14ac:dyDescent="0.2">
      <c r="A59" s="263"/>
      <c r="B59" s="264"/>
      <c r="C59" s="265"/>
      <c r="D59" s="265"/>
      <c r="E59" s="273"/>
      <c r="F59" s="265"/>
      <c r="G59" s="335">
        <f>SUM(G56:G58)</f>
        <v>186.79248000000001</v>
      </c>
      <c r="H59" s="335">
        <f>SUM(H56:H58)</f>
        <v>2241.5097599999999</v>
      </c>
      <c r="I59" s="265"/>
      <c r="J59" s="268"/>
      <c r="K59" s="368" t="s">
        <v>277</v>
      </c>
      <c r="L59" s="366"/>
      <c r="M59" s="366"/>
      <c r="N59" s="366"/>
      <c r="O59" s="366"/>
      <c r="P59" s="366"/>
      <c r="Q59" s="367"/>
      <c r="R59" s="359"/>
      <c r="S59" s="367"/>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row>
    <row r="60" spans="1:57" s="275" customFormat="1" ht="12.95" customHeight="1" x14ac:dyDescent="0.2">
      <c r="A60" s="263"/>
      <c r="B60" s="264"/>
      <c r="C60" s="265"/>
      <c r="D60" s="265"/>
      <c r="E60" s="273"/>
      <c r="F60" s="265"/>
      <c r="G60" s="273"/>
      <c r="H60" s="273"/>
      <c r="I60" s="265"/>
      <c r="J60" s="268"/>
      <c r="K60" s="368" t="s">
        <v>286</v>
      </c>
      <c r="L60" s="366"/>
      <c r="M60" s="366"/>
      <c r="N60" s="366"/>
      <c r="O60" s="366"/>
      <c r="P60" s="366"/>
      <c r="Q60" s="367"/>
      <c r="R60" s="359"/>
      <c r="S60" s="367"/>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row>
    <row r="61" spans="1:57" s="275" customFormat="1" ht="12.95" customHeight="1" x14ac:dyDescent="0.2">
      <c r="A61" s="263"/>
      <c r="B61" s="264"/>
      <c r="C61" s="265"/>
      <c r="D61" s="269" t="s">
        <v>254</v>
      </c>
      <c r="E61" s="273"/>
      <c r="F61" s="265"/>
      <c r="G61" s="273"/>
      <c r="H61" s="273"/>
      <c r="I61" s="265"/>
      <c r="J61" s="268"/>
      <c r="K61" s="368" t="s">
        <v>287</v>
      </c>
      <c r="L61" s="366"/>
      <c r="M61" s="366"/>
      <c r="N61" s="366"/>
      <c r="O61" s="366"/>
      <c r="P61" s="366"/>
      <c r="Q61" s="367"/>
      <c r="R61" s="359"/>
      <c r="S61" s="367"/>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row>
    <row r="62" spans="1:57" s="275" customFormat="1" ht="12.95" customHeight="1" x14ac:dyDescent="0.2">
      <c r="A62" s="263"/>
      <c r="B62" s="264"/>
      <c r="C62" s="265"/>
      <c r="D62" s="285"/>
      <c r="E62" s="273"/>
      <c r="F62" s="265"/>
      <c r="G62" s="273"/>
      <c r="H62" s="273"/>
      <c r="I62" s="265"/>
      <c r="J62" s="268"/>
      <c r="K62" s="368"/>
      <c r="L62" s="366"/>
      <c r="M62" s="366"/>
      <c r="N62" s="366"/>
      <c r="O62" s="366"/>
      <c r="P62" s="366"/>
      <c r="Q62" s="367"/>
      <c r="R62" s="359"/>
      <c r="S62" s="367"/>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row>
    <row r="63" spans="1:57" s="275" customFormat="1" ht="12.95" customHeight="1" x14ac:dyDescent="0.25">
      <c r="A63" s="263"/>
      <c r="B63" s="264"/>
      <c r="C63" s="265"/>
      <c r="D63" s="265" t="s">
        <v>244</v>
      </c>
      <c r="E63" s="273"/>
      <c r="F63" s="265"/>
      <c r="G63" s="303">
        <f>H63/12</f>
        <v>0</v>
      </c>
      <c r="H63" s="221">
        <v>0</v>
      </c>
      <c r="I63" s="265"/>
      <c r="J63" s="268"/>
      <c r="K63" s="374" t="s">
        <v>328</v>
      </c>
      <c r="L63" s="366"/>
      <c r="M63" s="366"/>
      <c r="N63" s="366"/>
      <c r="O63" s="366"/>
      <c r="P63" s="366"/>
      <c r="Q63" s="367"/>
      <c r="R63" s="294"/>
      <c r="S63" s="361"/>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row>
    <row r="64" spans="1:57" s="275" customFormat="1" ht="12.95" customHeight="1" x14ac:dyDescent="0.2">
      <c r="A64" s="263"/>
      <c r="B64" s="264"/>
      <c r="C64" s="265"/>
      <c r="D64" s="265" t="s">
        <v>245</v>
      </c>
      <c r="E64" s="273"/>
      <c r="F64" s="265"/>
      <c r="G64" s="303">
        <f>H64/12</f>
        <v>0</v>
      </c>
      <c r="H64" s="221">
        <v>0</v>
      </c>
      <c r="I64" s="265"/>
      <c r="J64" s="268"/>
      <c r="K64" s="368" t="s">
        <v>329</v>
      </c>
      <c r="L64" s="375"/>
      <c r="M64" s="375"/>
      <c r="N64" s="375"/>
      <c r="O64" s="375"/>
      <c r="P64" s="375"/>
      <c r="Q64" s="376"/>
      <c r="R64" s="294"/>
      <c r="S64" s="361"/>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row>
    <row r="65" spans="1:57" s="275" customFormat="1" ht="12.95" customHeight="1" x14ac:dyDescent="0.2">
      <c r="A65" s="263"/>
      <c r="B65" s="264"/>
      <c r="C65" s="265"/>
      <c r="D65" s="265" t="s">
        <v>251</v>
      </c>
      <c r="E65" s="273"/>
      <c r="F65" s="265"/>
      <c r="G65" s="303">
        <f>H65/12</f>
        <v>0</v>
      </c>
      <c r="H65" s="221">
        <v>0</v>
      </c>
      <c r="I65" s="265"/>
      <c r="J65" s="268"/>
      <c r="K65" s="368" t="s">
        <v>330</v>
      </c>
      <c r="L65" s="375"/>
      <c r="M65" s="375"/>
      <c r="N65" s="375"/>
      <c r="O65" s="375"/>
      <c r="P65" s="375"/>
      <c r="Q65" s="376"/>
      <c r="R65" s="343"/>
      <c r="S65" s="246"/>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row>
    <row r="66" spans="1:57" s="275" customFormat="1" ht="12.95" customHeight="1" x14ac:dyDescent="0.2">
      <c r="A66" s="263"/>
      <c r="B66" s="264"/>
      <c r="C66" s="265"/>
      <c r="D66" s="265" t="s">
        <v>246</v>
      </c>
      <c r="E66" s="273"/>
      <c r="F66" s="265"/>
      <c r="G66" s="303">
        <f>H66/12</f>
        <v>0</v>
      </c>
      <c r="H66" s="221">
        <v>0</v>
      </c>
      <c r="I66" s="265"/>
      <c r="J66" s="268"/>
      <c r="K66" s="377" t="s">
        <v>331</v>
      </c>
      <c r="L66" s="378"/>
      <c r="M66" s="378"/>
      <c r="N66" s="378"/>
      <c r="O66" s="378"/>
      <c r="P66" s="378"/>
      <c r="Q66" s="379"/>
      <c r="R66" s="294"/>
      <c r="S66" s="274"/>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row>
    <row r="67" spans="1:57" s="275" customFormat="1" ht="12.95" customHeight="1" x14ac:dyDescent="0.2">
      <c r="A67" s="263"/>
      <c r="B67" s="264"/>
      <c r="C67" s="265"/>
      <c r="D67" s="265" t="s">
        <v>252</v>
      </c>
      <c r="E67" s="273"/>
      <c r="F67" s="265"/>
      <c r="G67" s="303">
        <f>H67/12</f>
        <v>0</v>
      </c>
      <c r="H67" s="221">
        <v>0</v>
      </c>
      <c r="I67" s="265"/>
      <c r="J67" s="268"/>
      <c r="K67" s="294"/>
      <c r="L67" s="340"/>
      <c r="M67" s="340"/>
      <c r="N67" s="340"/>
      <c r="O67" s="340"/>
      <c r="P67" s="341"/>
      <c r="Q67" s="341"/>
      <c r="R67" s="294"/>
      <c r="S67" s="274"/>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row>
    <row r="68" spans="1:57" s="275" customFormat="1" ht="12.95" customHeight="1" x14ac:dyDescent="0.2">
      <c r="A68" s="263"/>
      <c r="B68" s="264"/>
      <c r="C68" s="265"/>
      <c r="D68" s="285" t="s">
        <v>255</v>
      </c>
      <c r="E68" s="291"/>
      <c r="F68" s="285"/>
      <c r="G68" s="335">
        <f>SUM(G63:G67)</f>
        <v>0</v>
      </c>
      <c r="H68" s="335">
        <f>SUM(H63:H67)</f>
        <v>0</v>
      </c>
      <c r="I68" s="265"/>
      <c r="J68" s="268"/>
      <c r="K68" s="294"/>
      <c r="L68" s="340"/>
      <c r="M68" s="340"/>
      <c r="N68" s="340"/>
      <c r="O68" s="340"/>
      <c r="P68" s="341"/>
      <c r="Q68" s="341"/>
      <c r="R68" s="294"/>
      <c r="S68" s="274"/>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row>
    <row r="69" spans="1:57" s="275" customFormat="1" ht="12.95" customHeight="1" x14ac:dyDescent="0.2">
      <c r="A69" s="263"/>
      <c r="B69" s="264"/>
      <c r="C69" s="265"/>
      <c r="D69" s="265"/>
      <c r="E69" s="273"/>
      <c r="F69" s="265"/>
      <c r="G69" s="273"/>
      <c r="H69" s="273"/>
      <c r="I69" s="265"/>
      <c r="J69" s="268"/>
      <c r="K69" s="294"/>
      <c r="L69" s="340"/>
      <c r="M69" s="340"/>
      <c r="N69" s="340"/>
      <c r="O69" s="340"/>
      <c r="P69" s="341"/>
      <c r="Q69" s="341"/>
      <c r="R69" s="294"/>
      <c r="S69" s="274"/>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row>
    <row r="70" spans="1:57" s="275" customFormat="1" ht="12.95" customHeight="1" x14ac:dyDescent="0.2">
      <c r="A70" s="263"/>
      <c r="B70" s="264"/>
      <c r="C70" s="265"/>
      <c r="D70" s="306" t="s">
        <v>193</v>
      </c>
      <c r="E70" s="339"/>
      <c r="F70" s="306"/>
      <c r="G70" s="323">
        <f>G54+G59+G68</f>
        <v>1627.3596281363332</v>
      </c>
      <c r="H70" s="323">
        <f>H54+H59+H68</f>
        <v>19528.315537635997</v>
      </c>
      <c r="I70" s="265"/>
      <c r="J70" s="268"/>
      <c r="K70" s="294"/>
      <c r="L70" s="340"/>
      <c r="M70" s="340"/>
      <c r="N70" s="340"/>
      <c r="O70" s="340"/>
      <c r="P70" s="341"/>
      <c r="Q70" s="341"/>
      <c r="R70" s="294"/>
      <c r="S70" s="274"/>
      <c r="T70" s="263"/>
      <c r="U70" s="263"/>
      <c r="V70" s="300"/>
      <c r="W70" s="263"/>
      <c r="X70" s="263"/>
      <c r="Y70" s="18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row>
    <row r="71" spans="1:57" s="275" customFormat="1" ht="12.95" customHeight="1" thickBot="1" x14ac:dyDescent="0.25">
      <c r="A71" s="263"/>
      <c r="B71" s="264"/>
      <c r="C71" s="265"/>
      <c r="D71" s="324"/>
      <c r="E71" s="325"/>
      <c r="F71" s="324"/>
      <c r="G71" s="325"/>
      <c r="H71" s="325"/>
      <c r="I71" s="265"/>
      <c r="J71" s="268"/>
      <c r="K71" s="294"/>
      <c r="L71" s="340"/>
      <c r="M71" s="340"/>
      <c r="N71" s="340"/>
      <c r="O71" s="340"/>
      <c r="P71" s="341"/>
      <c r="Q71" s="341"/>
      <c r="R71" s="294"/>
      <c r="S71" s="274"/>
      <c r="T71" s="263"/>
      <c r="U71" s="263"/>
      <c r="V71" s="300"/>
      <c r="W71" s="263"/>
      <c r="X71" s="263"/>
      <c r="Y71" s="18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row>
    <row r="72" spans="1:57" s="275" customFormat="1" ht="12.95" customHeight="1" thickTop="1" x14ac:dyDescent="0.2">
      <c r="A72" s="263"/>
      <c r="B72" s="264"/>
      <c r="C72" s="265"/>
      <c r="D72" s="327"/>
      <c r="E72" s="313"/>
      <c r="F72" s="327"/>
      <c r="G72" s="313"/>
      <c r="H72" s="313"/>
      <c r="I72" s="327"/>
      <c r="J72" s="268"/>
      <c r="K72" s="294"/>
      <c r="L72" s="340"/>
      <c r="M72" s="340"/>
      <c r="N72" s="340"/>
      <c r="O72" s="340"/>
      <c r="P72" s="341"/>
      <c r="Q72" s="341"/>
      <c r="R72" s="294"/>
      <c r="S72" s="274"/>
      <c r="T72" s="263"/>
      <c r="U72" s="263"/>
      <c r="V72" s="300"/>
      <c r="W72" s="263"/>
      <c r="X72" s="263"/>
      <c r="Y72" s="18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row>
    <row r="73" spans="1:57" s="275" customFormat="1" ht="12.95" customHeight="1" x14ac:dyDescent="0.2">
      <c r="A73" s="263"/>
      <c r="B73" s="243"/>
      <c r="C73" s="277"/>
      <c r="D73" s="276" t="s">
        <v>264</v>
      </c>
      <c r="E73" s="342"/>
      <c r="F73" s="276"/>
      <c r="G73" s="329">
        <f>G41+G70</f>
        <v>6402.6609614696663</v>
      </c>
      <c r="H73" s="329">
        <f>H41+H70</f>
        <v>76831.931537636003</v>
      </c>
      <c r="I73" s="277"/>
      <c r="J73" s="268"/>
      <c r="K73" s="294"/>
      <c r="L73" s="340"/>
      <c r="M73" s="340"/>
      <c r="N73" s="340"/>
      <c r="O73" s="340"/>
      <c r="P73" s="341"/>
      <c r="Q73" s="341"/>
      <c r="R73" s="294"/>
      <c r="S73" s="274"/>
      <c r="T73" s="263"/>
      <c r="U73" s="263"/>
      <c r="V73" s="300"/>
      <c r="W73" s="263"/>
      <c r="X73" s="263"/>
      <c r="Y73" s="18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row>
    <row r="74" spans="1:57" ht="12.95" customHeight="1" x14ac:dyDescent="0.2">
      <c r="B74" s="264"/>
      <c r="C74" s="265"/>
      <c r="D74" s="265"/>
      <c r="E74" s="273"/>
      <c r="F74" s="265"/>
      <c r="G74" s="273"/>
      <c r="H74" s="273"/>
      <c r="I74" s="265"/>
      <c r="J74" s="244"/>
      <c r="K74" s="294"/>
      <c r="L74" s="340"/>
      <c r="M74" s="340"/>
      <c r="N74" s="340"/>
      <c r="O74" s="340"/>
      <c r="P74" s="341"/>
      <c r="Q74" s="341"/>
      <c r="R74" s="294"/>
      <c r="S74" s="274"/>
    </row>
    <row r="75" spans="1:57" s="275" customFormat="1" ht="12.95" customHeight="1" x14ac:dyDescent="0.2">
      <c r="A75" s="263"/>
      <c r="B75" s="264"/>
      <c r="C75" s="263"/>
      <c r="D75" s="263"/>
      <c r="E75" s="281"/>
      <c r="F75" s="263"/>
      <c r="G75" s="281"/>
      <c r="H75" s="281"/>
      <c r="I75" s="263"/>
      <c r="J75" s="268"/>
      <c r="K75" s="294"/>
      <c r="L75" s="340"/>
      <c r="M75" s="340"/>
      <c r="N75" s="340"/>
      <c r="O75" s="340"/>
      <c r="P75" s="341"/>
      <c r="Q75" s="341"/>
      <c r="R75" s="294"/>
      <c r="S75" s="274"/>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row>
    <row r="76" spans="1:57" s="275" customFormat="1" ht="12.95" customHeight="1" x14ac:dyDescent="0.2">
      <c r="A76" s="263"/>
      <c r="B76" s="264"/>
      <c r="C76" s="263"/>
      <c r="D76" s="263"/>
      <c r="E76" s="281"/>
      <c r="F76" s="263"/>
      <c r="G76" s="281"/>
      <c r="H76" s="281"/>
      <c r="I76" s="263"/>
      <c r="J76" s="268"/>
      <c r="K76" s="294"/>
      <c r="L76" s="340"/>
      <c r="M76" s="340"/>
      <c r="N76" s="340"/>
      <c r="O76" s="340"/>
      <c r="P76" s="341"/>
      <c r="Q76" s="341"/>
      <c r="R76" s="294"/>
      <c r="S76" s="274"/>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row>
    <row r="77" spans="1:57" s="275" customFormat="1" ht="12.95" customHeight="1" x14ac:dyDescent="0.2">
      <c r="A77" s="263"/>
      <c r="B77" s="264"/>
      <c r="C77" s="244"/>
      <c r="D77" s="244"/>
      <c r="E77" s="245"/>
      <c r="F77" s="244"/>
      <c r="G77" s="245"/>
      <c r="H77" s="245"/>
      <c r="I77" s="244"/>
      <c r="J77" s="268"/>
      <c r="K77" s="294"/>
      <c r="L77" s="340"/>
      <c r="M77" s="340"/>
      <c r="N77" s="340"/>
      <c r="O77" s="340"/>
      <c r="P77" s="341"/>
      <c r="Q77" s="341"/>
      <c r="R77" s="294"/>
      <c r="S77" s="274"/>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row>
    <row r="78" spans="1:57" s="275" customFormat="1" ht="12.95" customHeight="1" x14ac:dyDescent="0.2">
      <c r="A78" s="263"/>
      <c r="B78" s="344"/>
      <c r="C78" s="345"/>
      <c r="D78" s="345"/>
      <c r="E78" s="346"/>
      <c r="F78" s="345"/>
      <c r="G78" s="347"/>
      <c r="H78" s="347"/>
      <c r="I78" s="345"/>
      <c r="J78" s="348"/>
      <c r="K78" s="349"/>
      <c r="L78" s="349"/>
      <c r="M78" s="349"/>
      <c r="N78" s="349"/>
      <c r="O78" s="349"/>
      <c r="P78" s="350"/>
      <c r="Q78" s="350"/>
      <c r="R78" s="349"/>
      <c r="S78" s="351"/>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row>
    <row r="79" spans="1:57" s="236" customFormat="1" ht="12.95" customHeight="1" x14ac:dyDescent="0.2">
      <c r="E79" s="237"/>
      <c r="G79" s="237"/>
      <c r="H79" s="237"/>
      <c r="P79" s="237"/>
      <c r="Q79" s="237"/>
    </row>
    <row r="80" spans="1:57" s="236" customFormat="1" ht="13.5" customHeight="1" x14ac:dyDescent="0.2">
      <c r="E80" s="237"/>
      <c r="G80" s="237"/>
      <c r="H80" s="237"/>
      <c r="P80" s="237"/>
      <c r="Q80" s="237"/>
    </row>
    <row r="81" spans="4:22" s="236" customFormat="1" ht="13.5" customHeight="1" x14ac:dyDescent="0.2">
      <c r="D81" s="352" t="s">
        <v>332</v>
      </c>
      <c r="E81" s="237"/>
      <c r="G81" s="237"/>
      <c r="H81" s="237"/>
      <c r="P81" s="237"/>
      <c r="Q81" s="237"/>
      <c r="U81" s="405" t="s">
        <v>312</v>
      </c>
      <c r="V81" s="352">
        <v>15</v>
      </c>
    </row>
    <row r="82" spans="4:22" s="236" customFormat="1" ht="13.5" customHeight="1" x14ac:dyDescent="0.2">
      <c r="E82" s="237"/>
      <c r="G82" s="237"/>
      <c r="H82" s="237"/>
      <c r="P82" s="237"/>
      <c r="Q82" s="237"/>
      <c r="U82" s="405" t="s">
        <v>313</v>
      </c>
      <c r="V82" s="352">
        <v>15</v>
      </c>
    </row>
    <row r="83" spans="4:22" s="236" customFormat="1" ht="13.5" customHeight="1" x14ac:dyDescent="0.2">
      <c r="E83" s="237"/>
      <c r="G83" s="237"/>
      <c r="H83" s="237"/>
      <c r="P83" s="237"/>
      <c r="Q83" s="237"/>
      <c r="U83" s="405" t="s">
        <v>314</v>
      </c>
      <c r="V83" s="352">
        <v>15</v>
      </c>
    </row>
    <row r="84" spans="4:22" s="236" customFormat="1" ht="13.5" customHeight="1" x14ac:dyDescent="0.2">
      <c r="D84" s="352" t="s">
        <v>294</v>
      </c>
      <c r="E84" s="353"/>
      <c r="F84" s="352"/>
      <c r="G84" s="354"/>
      <c r="H84" s="355">
        <f>H73/H41-1</f>
        <v>0.34078679323894678</v>
      </c>
      <c r="P84" s="356"/>
      <c r="Q84" s="356"/>
      <c r="U84" s="405" t="s">
        <v>315</v>
      </c>
      <c r="V84" s="352">
        <v>15</v>
      </c>
    </row>
    <row r="85" spans="4:22" s="236" customFormat="1" ht="13.5" customHeight="1" x14ac:dyDescent="0.2">
      <c r="D85" s="352" t="s">
        <v>295</v>
      </c>
      <c r="E85" s="352"/>
      <c r="F85" s="352"/>
      <c r="G85" s="353"/>
      <c r="H85" s="355">
        <f>(H73-H68)/H41-1</f>
        <v>0.34078679323894678</v>
      </c>
      <c r="P85" s="237"/>
      <c r="Q85" s="237"/>
      <c r="U85" s="406" t="s">
        <v>9</v>
      </c>
      <c r="V85" s="352">
        <v>13</v>
      </c>
    </row>
    <row r="86" spans="4:22" s="236" customFormat="1" ht="13.5" customHeight="1" x14ac:dyDescent="0.2">
      <c r="P86" s="237"/>
      <c r="Q86" s="237"/>
      <c r="U86" s="406" t="s">
        <v>10</v>
      </c>
      <c r="V86" s="352">
        <v>18</v>
      </c>
    </row>
    <row r="87" spans="4:22" s="236" customFormat="1" ht="13.5" customHeight="1" x14ac:dyDescent="0.2">
      <c r="E87" s="237"/>
      <c r="G87" s="237"/>
      <c r="H87" s="237"/>
      <c r="P87" s="237"/>
      <c r="Q87" s="237"/>
      <c r="U87" s="406" t="s">
        <v>11</v>
      </c>
      <c r="V87" s="352">
        <v>20</v>
      </c>
    </row>
    <row r="88" spans="4:22" s="236" customFormat="1" ht="13.5" customHeight="1" x14ac:dyDescent="0.2">
      <c r="E88" s="237"/>
      <c r="G88" s="237"/>
      <c r="H88" s="237"/>
      <c r="P88" s="237"/>
      <c r="Q88" s="237"/>
      <c r="U88" s="406" t="s">
        <v>12</v>
      </c>
      <c r="V88" s="352">
        <v>19</v>
      </c>
    </row>
    <row r="89" spans="4:22" s="236" customFormat="1" ht="13.5" customHeight="1" x14ac:dyDescent="0.2">
      <c r="E89" s="237"/>
      <c r="G89" s="237"/>
      <c r="H89" s="237"/>
      <c r="P89" s="237"/>
      <c r="Q89" s="237"/>
      <c r="U89" s="406" t="s">
        <v>322</v>
      </c>
      <c r="V89" s="352">
        <v>13</v>
      </c>
    </row>
    <row r="90" spans="4:22" s="236" customFormat="1" ht="13.5" customHeight="1" x14ac:dyDescent="0.2">
      <c r="E90" s="237"/>
      <c r="G90" s="237"/>
      <c r="H90" s="237"/>
      <c r="P90" s="237"/>
      <c r="Q90" s="237"/>
      <c r="U90" s="406" t="s">
        <v>323</v>
      </c>
      <c r="V90" s="352">
        <v>15</v>
      </c>
    </row>
    <row r="91" spans="4:22" s="236" customFormat="1" ht="13.5" customHeight="1" x14ac:dyDescent="0.2">
      <c r="E91" s="237"/>
      <c r="G91" s="237"/>
      <c r="H91" s="237"/>
      <c r="P91" s="237"/>
      <c r="Q91" s="237"/>
      <c r="U91" s="406" t="s">
        <v>324</v>
      </c>
      <c r="V91" s="352">
        <v>16</v>
      </c>
    </row>
    <row r="92" spans="4:22" s="236" customFormat="1" ht="13.5" customHeight="1" x14ac:dyDescent="0.2">
      <c r="E92" s="237"/>
      <c r="G92" s="237"/>
      <c r="H92" s="237"/>
      <c r="P92" s="237"/>
      <c r="Q92" s="237"/>
      <c r="U92" s="406" t="s">
        <v>325</v>
      </c>
      <c r="V92" s="352">
        <v>18</v>
      </c>
    </row>
    <row r="93" spans="4:22" s="236" customFormat="1" ht="13.5" customHeight="1" x14ac:dyDescent="0.2">
      <c r="E93" s="237"/>
      <c r="G93" s="237"/>
      <c r="H93" s="237"/>
      <c r="P93" s="237"/>
      <c r="Q93" s="237"/>
      <c r="U93" s="406" t="s">
        <v>326</v>
      </c>
      <c r="V93" s="352">
        <v>18</v>
      </c>
    </row>
    <row r="94" spans="4:22" s="236" customFormat="1" ht="13.5" customHeight="1" x14ac:dyDescent="0.2">
      <c r="E94" s="237"/>
      <c r="G94" s="237"/>
      <c r="H94" s="237"/>
      <c r="P94" s="237"/>
      <c r="Q94" s="237"/>
      <c r="U94" s="406" t="s">
        <v>2</v>
      </c>
      <c r="V94" s="352">
        <v>13</v>
      </c>
    </row>
    <row r="95" spans="4:22" s="236" customFormat="1" ht="13.5" customHeight="1" x14ac:dyDescent="0.2">
      <c r="E95" s="237"/>
      <c r="G95" s="237"/>
      <c r="H95" s="237"/>
      <c r="P95" s="237"/>
      <c r="Q95" s="237"/>
      <c r="U95" s="406" t="s">
        <v>3</v>
      </c>
      <c r="V95" s="352">
        <v>15</v>
      </c>
    </row>
    <row r="96" spans="4:22" s="236" customFormat="1" ht="13.5" customHeight="1" x14ac:dyDescent="0.2">
      <c r="E96" s="237"/>
      <c r="G96" s="237"/>
      <c r="H96" s="237"/>
      <c r="P96" s="237"/>
      <c r="Q96" s="237"/>
      <c r="U96" s="406" t="s">
        <v>4</v>
      </c>
      <c r="V96" s="352">
        <v>17</v>
      </c>
    </row>
    <row r="97" spans="5:23" s="236" customFormat="1" ht="13.5" customHeight="1" x14ac:dyDescent="0.2">
      <c r="E97" s="237"/>
      <c r="G97" s="237"/>
      <c r="H97" s="237"/>
      <c r="P97" s="237"/>
      <c r="Q97" s="237"/>
      <c r="U97" s="406" t="s">
        <v>5</v>
      </c>
      <c r="V97" s="352">
        <v>16</v>
      </c>
    </row>
    <row r="98" spans="5:23" s="236" customFormat="1" ht="13.5" customHeight="1" x14ac:dyDescent="0.2">
      <c r="E98" s="237"/>
      <c r="G98" s="237"/>
      <c r="H98" s="237"/>
      <c r="P98" s="237"/>
      <c r="Q98" s="237"/>
      <c r="U98" s="406" t="s">
        <v>6</v>
      </c>
      <c r="V98" s="352">
        <v>18</v>
      </c>
    </row>
    <row r="99" spans="5:23" s="236" customFormat="1" ht="13.5" customHeight="1" x14ac:dyDescent="0.2">
      <c r="E99" s="237"/>
      <c r="G99" s="237"/>
      <c r="H99" s="237"/>
      <c r="P99" s="237"/>
      <c r="Q99" s="237"/>
      <c r="U99" s="406" t="s">
        <v>7</v>
      </c>
      <c r="V99" s="352">
        <v>18</v>
      </c>
    </row>
    <row r="100" spans="5:23" s="236" customFormat="1" ht="13.5" customHeight="1" x14ac:dyDescent="0.2">
      <c r="E100" s="237"/>
      <c r="G100" s="237"/>
      <c r="H100" s="237"/>
      <c r="P100" s="237"/>
      <c r="Q100" s="237"/>
      <c r="U100" s="406" t="s">
        <v>8</v>
      </c>
      <c r="V100" s="352">
        <v>18</v>
      </c>
    </row>
    <row r="101" spans="5:23" s="236" customFormat="1" ht="13.5" customHeight="1" x14ac:dyDescent="0.2">
      <c r="E101" s="237"/>
      <c r="G101" s="237"/>
      <c r="H101" s="237"/>
      <c r="P101" s="237"/>
      <c r="Q101" s="237"/>
      <c r="U101" s="407" t="s">
        <v>52</v>
      </c>
      <c r="V101" s="352">
        <v>7</v>
      </c>
    </row>
    <row r="102" spans="5:23" s="236" customFormat="1" ht="13.5" customHeight="1" x14ac:dyDescent="0.2">
      <c r="E102" s="237"/>
      <c r="G102" s="237"/>
      <c r="H102" s="237"/>
      <c r="P102" s="237"/>
      <c r="Q102" s="237"/>
      <c r="U102" s="408" t="s">
        <v>53</v>
      </c>
      <c r="V102" s="352">
        <v>8</v>
      </c>
    </row>
    <row r="103" spans="5:23" s="236" customFormat="1" ht="13.5" customHeight="1" x14ac:dyDescent="0.2">
      <c r="E103" s="237"/>
      <c r="G103" s="237"/>
      <c r="H103" s="237"/>
      <c r="P103" s="237"/>
      <c r="Q103" s="237"/>
      <c r="U103" s="408" t="s">
        <v>54</v>
      </c>
      <c r="V103" s="352">
        <v>7</v>
      </c>
    </row>
    <row r="104" spans="5:23" s="236" customFormat="1" ht="13.5" customHeight="1" x14ac:dyDescent="0.2">
      <c r="E104" s="237"/>
      <c r="G104" s="237"/>
      <c r="H104" s="237"/>
      <c r="P104" s="237"/>
      <c r="Q104" s="237"/>
      <c r="U104" s="408" t="s">
        <v>316</v>
      </c>
      <c r="V104" s="352">
        <v>4</v>
      </c>
    </row>
    <row r="105" spans="5:23" s="236" customFormat="1" ht="13.5" customHeight="1" x14ac:dyDescent="0.2">
      <c r="E105" s="237"/>
      <c r="G105" s="237"/>
      <c r="H105" s="237"/>
      <c r="P105" s="237"/>
      <c r="Q105" s="237"/>
      <c r="U105" s="406" t="s">
        <v>164</v>
      </c>
      <c r="V105" s="352">
        <v>15</v>
      </c>
    </row>
    <row r="106" spans="5:23" s="236" customFormat="1" ht="13.5" customHeight="1" x14ac:dyDescent="0.2">
      <c r="E106" s="237"/>
      <c r="G106" s="237"/>
      <c r="H106" s="237"/>
      <c r="P106" s="237"/>
      <c r="Q106" s="237"/>
      <c r="U106" s="406" t="s">
        <v>165</v>
      </c>
      <c r="V106" s="352">
        <v>15</v>
      </c>
    </row>
    <row r="107" spans="5:23" s="236" customFormat="1" ht="13.5" customHeight="1" x14ac:dyDescent="0.2">
      <c r="E107" s="237"/>
      <c r="G107" s="237"/>
      <c r="H107" s="237"/>
      <c r="P107" s="237"/>
      <c r="Q107" s="237"/>
      <c r="U107" s="406" t="s">
        <v>166</v>
      </c>
      <c r="V107" s="352">
        <v>15</v>
      </c>
    </row>
    <row r="108" spans="5:23" s="236" customFormat="1" ht="13.5" customHeight="1" x14ac:dyDescent="0.2">
      <c r="E108" s="237"/>
      <c r="G108" s="237"/>
      <c r="H108" s="237"/>
      <c r="P108" s="237"/>
      <c r="Q108" s="237"/>
      <c r="U108" s="406" t="s">
        <v>167</v>
      </c>
      <c r="V108" s="352">
        <v>15</v>
      </c>
    </row>
    <row r="109" spans="5:23" s="236" customFormat="1" ht="13.5" customHeight="1" x14ac:dyDescent="0.2">
      <c r="E109" s="237"/>
      <c r="G109" s="237"/>
      <c r="H109" s="237"/>
      <c r="P109" s="237"/>
      <c r="Q109" s="237"/>
      <c r="U109" s="406" t="s">
        <v>168</v>
      </c>
      <c r="V109" s="352">
        <v>15</v>
      </c>
    </row>
    <row r="110" spans="5:23" s="236" customFormat="1" ht="13.5" customHeight="1" x14ac:dyDescent="0.2">
      <c r="E110" s="237"/>
      <c r="G110" s="237"/>
      <c r="H110" s="237"/>
      <c r="P110" s="237"/>
      <c r="Q110" s="237"/>
      <c r="U110" s="408" t="s">
        <v>13</v>
      </c>
      <c r="V110" s="352">
        <v>1</v>
      </c>
    </row>
    <row r="111" spans="5:23" s="236" customFormat="1" ht="13.5" customHeight="1" x14ac:dyDescent="0.2">
      <c r="E111" s="237"/>
      <c r="G111" s="237"/>
      <c r="H111" s="237"/>
      <c r="P111" s="237"/>
      <c r="Q111" s="237"/>
      <c r="U111" s="408" t="s">
        <v>14</v>
      </c>
      <c r="V111" s="352">
        <v>1</v>
      </c>
      <c r="W111" s="352"/>
    </row>
    <row r="112" spans="5:23" s="236" customFormat="1" ht="13.5" customHeight="1" x14ac:dyDescent="0.2">
      <c r="E112" s="237"/>
      <c r="G112" s="237"/>
      <c r="H112" s="237"/>
      <c r="P112" s="237"/>
      <c r="Q112" s="237"/>
      <c r="U112" s="409" t="s">
        <v>51</v>
      </c>
      <c r="V112" s="352">
        <v>11</v>
      </c>
      <c r="W112" s="352"/>
    </row>
    <row r="113" spans="5:23" s="236" customFormat="1" ht="13.5" customHeight="1" x14ac:dyDescent="0.2">
      <c r="E113" s="237"/>
      <c r="G113" s="237"/>
      <c r="H113" s="237"/>
      <c r="P113" s="237"/>
      <c r="Q113" s="237"/>
      <c r="U113" s="409" t="s">
        <v>47</v>
      </c>
      <c r="V113" s="352">
        <v>10</v>
      </c>
      <c r="W113" s="352"/>
    </row>
    <row r="114" spans="5:23" s="236" customFormat="1" ht="13.5" customHeight="1" x14ac:dyDescent="0.2">
      <c r="E114" s="237"/>
      <c r="G114" s="237"/>
      <c r="H114" s="237"/>
      <c r="P114" s="237"/>
      <c r="Q114" s="237"/>
      <c r="U114" s="409" t="s">
        <v>48</v>
      </c>
      <c r="V114" s="352">
        <v>11</v>
      </c>
      <c r="W114" s="352"/>
    </row>
    <row r="115" spans="5:23" s="236" customFormat="1" ht="13.5" customHeight="1" x14ac:dyDescent="0.2">
      <c r="E115" s="237"/>
      <c r="G115" s="237"/>
      <c r="H115" s="237"/>
      <c r="P115" s="237"/>
      <c r="Q115" s="237"/>
      <c r="U115" s="409" t="s">
        <v>49</v>
      </c>
      <c r="V115" s="352">
        <v>13</v>
      </c>
      <c r="W115" s="352"/>
    </row>
    <row r="116" spans="5:23" s="236" customFormat="1" ht="13.5" customHeight="1" x14ac:dyDescent="0.2">
      <c r="E116" s="237"/>
      <c r="G116" s="237"/>
      <c r="H116" s="237"/>
      <c r="P116" s="237"/>
      <c r="Q116" s="237"/>
      <c r="U116" s="409" t="s">
        <v>50</v>
      </c>
      <c r="V116" s="352">
        <v>15</v>
      </c>
      <c r="W116" s="352"/>
    </row>
    <row r="117" spans="5:23" s="236" customFormat="1" ht="13.5" customHeight="1" x14ac:dyDescent="0.2">
      <c r="E117" s="237"/>
      <c r="G117" s="237"/>
      <c r="H117" s="237"/>
      <c r="P117" s="237"/>
      <c r="Q117" s="237"/>
      <c r="U117" s="408">
        <v>1</v>
      </c>
      <c r="V117" s="352">
        <v>7</v>
      </c>
      <c r="W117" s="352"/>
    </row>
    <row r="118" spans="5:23" s="236" customFormat="1" ht="13.5" customHeight="1" x14ac:dyDescent="0.2">
      <c r="E118" s="237"/>
      <c r="G118" s="237"/>
      <c r="H118" s="237"/>
      <c r="P118" s="237"/>
      <c r="Q118" s="237"/>
      <c r="U118" s="408">
        <v>2</v>
      </c>
      <c r="V118" s="352">
        <v>8</v>
      </c>
      <c r="W118" s="352"/>
    </row>
    <row r="119" spans="5:23" s="236" customFormat="1" ht="13.5" customHeight="1" x14ac:dyDescent="0.2">
      <c r="E119" s="237"/>
      <c r="G119" s="237"/>
      <c r="H119" s="237"/>
      <c r="P119" s="237"/>
      <c r="Q119" s="237"/>
      <c r="U119" s="408">
        <v>3</v>
      </c>
      <c r="V119" s="352">
        <v>9</v>
      </c>
      <c r="W119" s="352"/>
    </row>
    <row r="120" spans="5:23" s="236" customFormat="1" ht="13.5" customHeight="1" x14ac:dyDescent="0.2">
      <c r="E120" s="237"/>
      <c r="G120" s="237"/>
      <c r="H120" s="237"/>
      <c r="P120" s="237"/>
      <c r="Q120" s="237"/>
      <c r="U120" s="408">
        <v>4</v>
      </c>
      <c r="V120" s="352">
        <v>11</v>
      </c>
      <c r="W120" s="352"/>
    </row>
    <row r="121" spans="5:23" s="236" customFormat="1" ht="13.5" customHeight="1" x14ac:dyDescent="0.2">
      <c r="E121" s="237"/>
      <c r="G121" s="237"/>
      <c r="H121" s="237"/>
      <c r="P121" s="237"/>
      <c r="Q121" s="237"/>
      <c r="U121" s="408">
        <v>5</v>
      </c>
      <c r="V121" s="352">
        <v>12</v>
      </c>
      <c r="W121" s="352"/>
    </row>
    <row r="122" spans="5:23" s="236" customFormat="1" ht="13.5" customHeight="1" x14ac:dyDescent="0.2">
      <c r="E122" s="237"/>
      <c r="G122" s="237"/>
      <c r="H122" s="237"/>
      <c r="P122" s="237"/>
      <c r="Q122" s="237"/>
      <c r="U122" s="408">
        <v>6</v>
      </c>
      <c r="V122" s="352">
        <v>11</v>
      </c>
      <c r="W122" s="352"/>
    </row>
    <row r="123" spans="5:23" s="236" customFormat="1" ht="13.5" customHeight="1" x14ac:dyDescent="0.2">
      <c r="E123" s="237"/>
      <c r="G123" s="237"/>
      <c r="H123" s="237"/>
      <c r="P123" s="237"/>
      <c r="Q123" s="237"/>
      <c r="U123" s="408">
        <v>7</v>
      </c>
      <c r="V123" s="352">
        <v>12</v>
      </c>
      <c r="W123" s="352"/>
    </row>
    <row r="124" spans="5:23" s="236" customFormat="1" ht="13.5" customHeight="1" x14ac:dyDescent="0.2">
      <c r="E124" s="237"/>
      <c r="G124" s="237"/>
      <c r="H124" s="237"/>
      <c r="P124" s="237"/>
      <c r="Q124" s="237"/>
      <c r="U124" s="408">
        <v>8</v>
      </c>
      <c r="V124" s="352">
        <v>13</v>
      </c>
      <c r="W124" s="352"/>
    </row>
    <row r="125" spans="5:23" s="236" customFormat="1" ht="13.5" customHeight="1" x14ac:dyDescent="0.2">
      <c r="E125" s="237"/>
      <c r="G125" s="237"/>
      <c r="H125" s="237"/>
      <c r="P125" s="237"/>
      <c r="Q125" s="237"/>
      <c r="U125" s="408">
        <v>9</v>
      </c>
      <c r="V125" s="352">
        <v>10</v>
      </c>
      <c r="W125" s="352"/>
    </row>
    <row r="126" spans="5:23" s="236" customFormat="1" ht="13.5" customHeight="1" x14ac:dyDescent="0.2">
      <c r="E126" s="237"/>
      <c r="G126" s="237"/>
      <c r="H126" s="237"/>
      <c r="P126" s="237"/>
      <c r="Q126" s="237"/>
      <c r="U126" s="408">
        <v>10</v>
      </c>
      <c r="V126" s="352">
        <v>13</v>
      </c>
      <c r="W126" s="352"/>
    </row>
    <row r="127" spans="5:23" s="236" customFormat="1" ht="13.5" customHeight="1" x14ac:dyDescent="0.2">
      <c r="E127" s="237"/>
      <c r="G127" s="237"/>
      <c r="H127" s="237"/>
      <c r="P127" s="237"/>
      <c r="Q127" s="237"/>
      <c r="U127" s="408">
        <v>11</v>
      </c>
      <c r="V127" s="352">
        <v>18</v>
      </c>
    </row>
    <row r="128" spans="5:23" s="236" customFormat="1" ht="13.5" customHeight="1" x14ac:dyDescent="0.2">
      <c r="E128" s="237"/>
      <c r="G128" s="237"/>
      <c r="H128" s="237"/>
      <c r="P128" s="237"/>
      <c r="Q128" s="237"/>
      <c r="U128" s="408">
        <v>12</v>
      </c>
      <c r="V128" s="352">
        <v>16</v>
      </c>
    </row>
    <row r="129" spans="2:22" s="236" customFormat="1" ht="13.5" customHeight="1" x14ac:dyDescent="0.2">
      <c r="E129" s="237"/>
      <c r="G129" s="237"/>
      <c r="H129" s="237"/>
      <c r="P129" s="237"/>
      <c r="Q129" s="237"/>
      <c r="U129" s="408">
        <v>13</v>
      </c>
      <c r="V129" s="352">
        <v>13</v>
      </c>
    </row>
    <row r="130" spans="2:22" ht="13.5" customHeight="1" x14ac:dyDescent="0.2">
      <c r="B130" s="236"/>
      <c r="C130" s="236"/>
      <c r="D130" s="236"/>
      <c r="E130" s="237"/>
      <c r="F130" s="236"/>
      <c r="G130" s="237"/>
      <c r="H130" s="237"/>
      <c r="I130" s="236"/>
      <c r="J130" s="236"/>
      <c r="K130" s="236"/>
      <c r="L130" s="236"/>
      <c r="M130" s="236"/>
      <c r="N130" s="236"/>
      <c r="O130" s="236"/>
      <c r="P130" s="237"/>
      <c r="Q130" s="237"/>
      <c r="R130" s="236"/>
      <c r="S130" s="236"/>
      <c r="U130" s="408">
        <v>14</v>
      </c>
      <c r="V130" s="352">
        <v>11</v>
      </c>
    </row>
    <row r="131" spans="2:22" ht="13.5" customHeight="1" x14ac:dyDescent="0.2">
      <c r="B131" s="236"/>
      <c r="C131" s="236"/>
      <c r="D131" s="236"/>
      <c r="E131" s="237"/>
      <c r="F131" s="236"/>
      <c r="G131" s="237"/>
      <c r="H131" s="237"/>
      <c r="I131" s="236"/>
      <c r="J131" s="236"/>
      <c r="K131" s="236"/>
      <c r="L131" s="236"/>
      <c r="M131" s="236"/>
      <c r="N131" s="236"/>
      <c r="O131" s="236"/>
      <c r="P131" s="237"/>
      <c r="Q131" s="237"/>
      <c r="R131" s="236"/>
      <c r="S131" s="236"/>
      <c r="U131" s="408">
        <v>15</v>
      </c>
      <c r="V131" s="352">
        <v>12</v>
      </c>
    </row>
    <row r="132" spans="2:22" ht="13.5" customHeight="1" x14ac:dyDescent="0.2">
      <c r="B132" s="236"/>
      <c r="C132" s="236"/>
      <c r="D132" s="236"/>
      <c r="E132" s="237"/>
      <c r="F132" s="236"/>
      <c r="G132" s="237"/>
      <c r="H132" s="237"/>
      <c r="I132" s="236"/>
      <c r="J132" s="236"/>
      <c r="K132" s="236"/>
      <c r="L132" s="236"/>
      <c r="M132" s="236"/>
      <c r="N132" s="236"/>
      <c r="O132" s="236"/>
      <c r="P132" s="237"/>
      <c r="Q132" s="237"/>
      <c r="R132" s="236"/>
      <c r="S132" s="236"/>
      <c r="U132" s="408">
        <v>16</v>
      </c>
      <c r="V132" s="352">
        <v>12</v>
      </c>
    </row>
    <row r="133" spans="2:22" ht="13.5" customHeight="1" x14ac:dyDescent="0.2">
      <c r="B133" s="236"/>
      <c r="C133" s="236"/>
      <c r="D133" s="236"/>
      <c r="E133" s="237"/>
      <c r="F133" s="236"/>
      <c r="G133" s="237"/>
      <c r="H133" s="237"/>
      <c r="I133" s="236"/>
      <c r="J133" s="236"/>
      <c r="K133" s="236"/>
      <c r="L133" s="236"/>
      <c r="M133" s="236"/>
      <c r="N133" s="236"/>
      <c r="O133" s="236"/>
      <c r="P133" s="237"/>
      <c r="Q133" s="237"/>
      <c r="R133" s="236"/>
      <c r="S133" s="236"/>
    </row>
    <row r="134" spans="2:22" ht="13.5" customHeight="1" x14ac:dyDescent="0.2">
      <c r="B134" s="236"/>
      <c r="C134" s="236"/>
      <c r="D134" s="236"/>
      <c r="E134" s="237"/>
      <c r="F134" s="236"/>
      <c r="G134" s="237"/>
      <c r="H134" s="237"/>
      <c r="I134" s="236"/>
      <c r="J134" s="236"/>
      <c r="K134" s="236"/>
      <c r="L134" s="236"/>
      <c r="M134" s="236"/>
      <c r="N134" s="236"/>
      <c r="O134" s="236"/>
      <c r="P134" s="237"/>
      <c r="Q134" s="237"/>
      <c r="R134" s="236"/>
      <c r="S134" s="236"/>
    </row>
    <row r="135" spans="2:22" ht="13.5" customHeight="1" x14ac:dyDescent="0.2">
      <c r="B135" s="236"/>
      <c r="C135" s="236"/>
      <c r="D135" s="236"/>
      <c r="E135" s="237"/>
      <c r="F135" s="236"/>
      <c r="G135" s="237"/>
      <c r="H135" s="237"/>
      <c r="I135" s="236"/>
      <c r="J135" s="236"/>
      <c r="K135" s="236"/>
      <c r="L135" s="236"/>
      <c r="M135" s="236"/>
      <c r="N135" s="236"/>
      <c r="O135" s="236"/>
      <c r="P135" s="237"/>
      <c r="Q135" s="237"/>
      <c r="R135" s="236"/>
      <c r="S135" s="236"/>
    </row>
    <row r="136" spans="2:22" ht="13.5" customHeight="1" x14ac:dyDescent="0.2">
      <c r="B136" s="236"/>
      <c r="C136" s="236"/>
      <c r="D136" s="236"/>
      <c r="E136" s="237"/>
      <c r="F136" s="236"/>
      <c r="G136" s="237"/>
      <c r="H136" s="237"/>
      <c r="I136" s="236"/>
      <c r="J136" s="236"/>
      <c r="K136" s="236"/>
      <c r="L136" s="236"/>
      <c r="M136" s="236"/>
      <c r="N136" s="236"/>
      <c r="O136" s="236"/>
      <c r="P136" s="237"/>
      <c r="Q136" s="237"/>
      <c r="R136" s="236"/>
      <c r="S136" s="236"/>
    </row>
    <row r="137" spans="2:22" ht="13.5" customHeight="1" x14ac:dyDescent="0.2">
      <c r="B137" s="236"/>
      <c r="C137" s="236"/>
      <c r="D137" s="236"/>
      <c r="E137" s="237"/>
      <c r="F137" s="236"/>
      <c r="G137" s="237"/>
      <c r="H137" s="237"/>
      <c r="I137" s="236"/>
      <c r="J137" s="236"/>
      <c r="K137" s="236"/>
      <c r="L137" s="236"/>
      <c r="M137" s="236"/>
      <c r="N137" s="236"/>
      <c r="O137" s="236"/>
      <c r="P137" s="237"/>
      <c r="Q137" s="237"/>
      <c r="R137" s="236"/>
      <c r="S137" s="236"/>
    </row>
    <row r="138" spans="2:22" ht="13.5" customHeight="1" x14ac:dyDescent="0.2">
      <c r="B138" s="236"/>
      <c r="C138" s="236"/>
      <c r="D138" s="236"/>
      <c r="E138" s="237"/>
      <c r="F138" s="236"/>
      <c r="G138" s="237"/>
      <c r="H138" s="237"/>
      <c r="I138" s="236"/>
      <c r="J138" s="236"/>
      <c r="K138" s="236"/>
      <c r="L138" s="236"/>
      <c r="M138" s="236"/>
      <c r="N138" s="236"/>
      <c r="O138" s="236"/>
      <c r="P138" s="237"/>
      <c r="Q138" s="237"/>
      <c r="R138" s="236"/>
      <c r="S138" s="236"/>
    </row>
    <row r="139" spans="2:22" ht="13.5" customHeight="1" x14ac:dyDescent="0.2">
      <c r="B139" s="236"/>
      <c r="C139" s="236"/>
      <c r="D139" s="236"/>
      <c r="E139" s="237"/>
      <c r="F139" s="236"/>
      <c r="G139" s="237"/>
      <c r="H139" s="237"/>
      <c r="I139" s="236"/>
      <c r="J139" s="236"/>
      <c r="K139" s="236"/>
      <c r="L139" s="236"/>
      <c r="M139" s="236"/>
      <c r="N139" s="236"/>
      <c r="O139" s="236"/>
      <c r="P139" s="237"/>
      <c r="Q139" s="237"/>
      <c r="R139" s="236"/>
      <c r="S139" s="236"/>
    </row>
    <row r="140" spans="2:22" ht="13.5" customHeight="1" x14ac:dyDescent="0.2">
      <c r="B140" s="236"/>
      <c r="C140" s="236"/>
      <c r="D140" s="236"/>
      <c r="E140" s="237"/>
      <c r="F140" s="236"/>
      <c r="G140" s="237"/>
      <c r="H140" s="237"/>
      <c r="I140" s="236"/>
      <c r="J140" s="236"/>
      <c r="K140" s="236"/>
      <c r="L140" s="236"/>
      <c r="M140" s="236"/>
      <c r="N140" s="236"/>
      <c r="O140" s="236"/>
      <c r="P140" s="237"/>
      <c r="Q140" s="237"/>
      <c r="R140" s="236"/>
      <c r="S140" s="236"/>
    </row>
    <row r="141" spans="2:22" ht="13.5" customHeight="1" x14ac:dyDescent="0.2">
      <c r="B141" s="236"/>
      <c r="C141" s="236"/>
      <c r="D141" s="236"/>
      <c r="E141" s="237"/>
      <c r="F141" s="236"/>
      <c r="G141" s="237"/>
      <c r="H141" s="237"/>
      <c r="I141" s="236"/>
      <c r="J141" s="236"/>
      <c r="K141" s="236"/>
      <c r="L141" s="236"/>
      <c r="M141" s="236"/>
      <c r="N141" s="236"/>
      <c r="O141" s="236"/>
      <c r="P141" s="237"/>
      <c r="Q141" s="237"/>
      <c r="R141" s="236"/>
      <c r="S141" s="236"/>
    </row>
    <row r="142" spans="2:22" ht="13.5" customHeight="1" x14ac:dyDescent="0.2">
      <c r="B142" s="236"/>
      <c r="C142" s="236"/>
      <c r="D142" s="236"/>
      <c r="E142" s="237"/>
      <c r="F142" s="236"/>
      <c r="G142" s="237"/>
      <c r="H142" s="237"/>
      <c r="I142" s="236"/>
      <c r="J142" s="236"/>
      <c r="K142" s="236"/>
      <c r="L142" s="236"/>
      <c r="M142" s="236"/>
      <c r="N142" s="236"/>
      <c r="O142" s="236"/>
      <c r="P142" s="237"/>
      <c r="Q142" s="237"/>
      <c r="R142" s="236"/>
      <c r="S142" s="236"/>
    </row>
    <row r="143" spans="2:22" ht="13.5" customHeight="1" x14ac:dyDescent="0.2">
      <c r="B143" s="236"/>
      <c r="C143" s="236"/>
      <c r="D143" s="236"/>
      <c r="E143" s="237"/>
      <c r="F143" s="236"/>
      <c r="G143" s="237"/>
      <c r="H143" s="237"/>
      <c r="I143" s="236"/>
      <c r="J143" s="236"/>
      <c r="K143" s="236"/>
      <c r="L143" s="236"/>
      <c r="M143" s="236"/>
      <c r="N143" s="236"/>
      <c r="O143" s="236"/>
      <c r="P143" s="237"/>
      <c r="Q143" s="237"/>
      <c r="R143" s="236"/>
      <c r="S143" s="236"/>
    </row>
    <row r="144" spans="2:22" ht="13.5" customHeight="1" x14ac:dyDescent="0.2">
      <c r="B144" s="236"/>
      <c r="C144" s="236"/>
      <c r="D144" s="236"/>
      <c r="E144" s="237"/>
      <c r="F144" s="236"/>
      <c r="G144" s="237"/>
      <c r="H144" s="237"/>
      <c r="I144" s="236"/>
      <c r="J144" s="236"/>
      <c r="K144" s="236"/>
      <c r="L144" s="236"/>
      <c r="M144" s="236"/>
      <c r="N144" s="236"/>
      <c r="O144" s="236"/>
      <c r="P144" s="237"/>
      <c r="Q144" s="237"/>
      <c r="R144" s="236"/>
      <c r="S144" s="236"/>
    </row>
    <row r="145" spans="2:19" ht="13.5" customHeight="1" x14ac:dyDescent="0.2">
      <c r="B145" s="236"/>
      <c r="C145" s="236"/>
      <c r="D145" s="236"/>
      <c r="E145" s="237"/>
      <c r="F145" s="236"/>
      <c r="G145" s="237"/>
      <c r="H145" s="237"/>
      <c r="I145" s="236"/>
      <c r="J145" s="236"/>
      <c r="K145" s="236"/>
      <c r="L145" s="236"/>
      <c r="M145" s="236"/>
      <c r="N145" s="236"/>
      <c r="O145" s="236"/>
      <c r="P145" s="237"/>
      <c r="Q145" s="237"/>
      <c r="R145" s="236"/>
      <c r="S145" s="236"/>
    </row>
    <row r="146" spans="2:19" ht="13.5" customHeight="1" x14ac:dyDescent="0.2">
      <c r="B146" s="236"/>
      <c r="C146" s="236"/>
      <c r="D146" s="236"/>
      <c r="E146" s="237"/>
      <c r="F146" s="236"/>
      <c r="G146" s="237"/>
      <c r="H146" s="237"/>
      <c r="I146" s="236"/>
      <c r="J146" s="236"/>
      <c r="K146" s="236"/>
      <c r="L146" s="236"/>
      <c r="M146" s="236"/>
      <c r="N146" s="236"/>
      <c r="O146" s="236"/>
      <c r="P146" s="237"/>
      <c r="Q146" s="237"/>
      <c r="R146" s="236"/>
      <c r="S146" s="236"/>
    </row>
    <row r="147" spans="2:19" ht="13.5" customHeight="1" x14ac:dyDescent="0.2">
      <c r="B147" s="236"/>
      <c r="C147" s="236"/>
      <c r="D147" s="236"/>
      <c r="E147" s="237"/>
      <c r="F147" s="236"/>
      <c r="G147" s="237"/>
      <c r="H147" s="237"/>
      <c r="I147" s="236"/>
      <c r="J147" s="236"/>
      <c r="K147" s="236"/>
      <c r="L147" s="236"/>
      <c r="M147" s="236"/>
      <c r="N147" s="236"/>
      <c r="O147" s="236"/>
      <c r="P147" s="237"/>
      <c r="Q147" s="237"/>
      <c r="R147" s="236"/>
      <c r="S147" s="236"/>
    </row>
    <row r="148" spans="2:19" ht="13.5" customHeight="1" x14ac:dyDescent="0.2">
      <c r="B148" s="236"/>
      <c r="C148" s="236"/>
      <c r="D148" s="236"/>
      <c r="E148" s="237"/>
      <c r="F148" s="236"/>
      <c r="G148" s="237"/>
      <c r="H148" s="237"/>
      <c r="I148" s="236"/>
      <c r="J148" s="236"/>
      <c r="K148" s="236"/>
      <c r="L148" s="236"/>
      <c r="M148" s="236"/>
      <c r="N148" s="236"/>
      <c r="O148" s="236"/>
      <c r="P148" s="237"/>
      <c r="Q148" s="237"/>
      <c r="R148" s="236"/>
      <c r="S148" s="236"/>
    </row>
    <row r="149" spans="2:19" ht="13.5" customHeight="1" x14ac:dyDescent="0.2">
      <c r="B149" s="236"/>
      <c r="C149" s="236"/>
      <c r="D149" s="236"/>
      <c r="E149" s="237"/>
      <c r="F149" s="236"/>
      <c r="G149" s="237"/>
      <c r="H149" s="237"/>
      <c r="I149" s="236"/>
      <c r="J149" s="236"/>
      <c r="K149" s="236"/>
      <c r="L149" s="236"/>
      <c r="M149" s="236"/>
      <c r="N149" s="236"/>
      <c r="O149" s="236"/>
      <c r="P149" s="237"/>
      <c r="Q149" s="237"/>
      <c r="R149" s="236"/>
      <c r="S149" s="236"/>
    </row>
    <row r="150" spans="2:19" ht="13.5" customHeight="1" x14ac:dyDescent="0.2">
      <c r="B150" s="236"/>
      <c r="C150" s="236"/>
      <c r="D150" s="236"/>
      <c r="E150" s="237"/>
      <c r="F150" s="236"/>
      <c r="G150" s="237"/>
      <c r="H150" s="237"/>
      <c r="I150" s="236"/>
      <c r="J150" s="236"/>
      <c r="K150" s="236"/>
      <c r="L150" s="236"/>
      <c r="M150" s="236"/>
      <c r="N150" s="236"/>
      <c r="O150" s="236"/>
      <c r="P150" s="237"/>
      <c r="Q150" s="237"/>
      <c r="R150" s="236"/>
      <c r="S150" s="236"/>
    </row>
    <row r="151" spans="2:19" ht="13.5" customHeight="1" x14ac:dyDescent="0.2">
      <c r="B151" s="236"/>
      <c r="C151" s="236"/>
      <c r="D151" s="236"/>
      <c r="E151" s="237"/>
      <c r="F151" s="236"/>
      <c r="G151" s="237"/>
      <c r="H151" s="237"/>
      <c r="I151" s="236"/>
      <c r="J151" s="236"/>
      <c r="K151" s="236"/>
      <c r="L151" s="236"/>
      <c r="M151" s="236"/>
      <c r="N151" s="236"/>
      <c r="O151" s="236"/>
      <c r="P151" s="237"/>
      <c r="Q151" s="237"/>
      <c r="R151" s="236"/>
      <c r="S151" s="236"/>
    </row>
    <row r="152" spans="2:19" ht="13.5" customHeight="1" x14ac:dyDescent="0.2">
      <c r="B152" s="236"/>
      <c r="C152" s="236"/>
      <c r="D152" s="236"/>
      <c r="E152" s="237"/>
      <c r="F152" s="236"/>
      <c r="G152" s="237"/>
      <c r="H152" s="237"/>
      <c r="I152" s="236"/>
      <c r="J152" s="236"/>
      <c r="K152" s="236"/>
      <c r="L152" s="236"/>
      <c r="M152" s="236"/>
      <c r="N152" s="236"/>
      <c r="O152" s="236"/>
      <c r="P152" s="237"/>
      <c r="Q152" s="237"/>
      <c r="R152" s="236"/>
      <c r="S152" s="236"/>
    </row>
    <row r="153" spans="2:19" ht="13.5" customHeight="1" x14ac:dyDescent="0.2">
      <c r="B153" s="236"/>
      <c r="C153" s="236"/>
      <c r="D153" s="236"/>
      <c r="E153" s="237"/>
      <c r="F153" s="236"/>
      <c r="G153" s="237"/>
      <c r="H153" s="237"/>
      <c r="I153" s="236"/>
      <c r="J153" s="236"/>
      <c r="K153" s="236"/>
      <c r="L153" s="236"/>
      <c r="M153" s="236"/>
      <c r="N153" s="236"/>
      <c r="O153" s="236"/>
      <c r="P153" s="237"/>
      <c r="Q153" s="237"/>
      <c r="R153" s="236"/>
      <c r="S153" s="236"/>
    </row>
    <row r="154" spans="2:19" ht="13.5" customHeight="1" x14ac:dyDescent="0.2">
      <c r="B154" s="236"/>
      <c r="C154" s="236"/>
      <c r="D154" s="236"/>
      <c r="E154" s="237"/>
      <c r="F154" s="236"/>
      <c r="G154" s="237"/>
      <c r="H154" s="237"/>
      <c r="I154" s="236"/>
      <c r="J154" s="236"/>
      <c r="K154" s="236"/>
      <c r="L154" s="236"/>
      <c r="M154" s="236"/>
      <c r="N154" s="236"/>
      <c r="O154" s="236"/>
      <c r="P154" s="237"/>
      <c r="Q154" s="237"/>
      <c r="R154" s="236"/>
      <c r="S154" s="236"/>
    </row>
    <row r="155" spans="2:19" ht="13.5" customHeight="1" x14ac:dyDescent="0.2">
      <c r="B155" s="236"/>
      <c r="C155" s="236"/>
      <c r="D155" s="236"/>
      <c r="E155" s="237"/>
      <c r="F155" s="236"/>
      <c r="G155" s="237"/>
      <c r="H155" s="237"/>
      <c r="I155" s="236"/>
      <c r="J155" s="236"/>
      <c r="K155" s="236"/>
      <c r="L155" s="236"/>
      <c r="M155" s="236"/>
      <c r="N155" s="236"/>
      <c r="O155" s="236"/>
      <c r="P155" s="237"/>
      <c r="Q155" s="237"/>
      <c r="R155" s="236"/>
      <c r="S155" s="236"/>
    </row>
    <row r="156" spans="2:19" ht="13.5" customHeight="1" x14ac:dyDescent="0.2">
      <c r="B156" s="236"/>
      <c r="C156" s="236"/>
      <c r="D156" s="236"/>
      <c r="E156" s="237"/>
      <c r="F156" s="236"/>
      <c r="G156" s="237"/>
      <c r="H156" s="237"/>
      <c r="I156" s="236"/>
      <c r="J156" s="236"/>
      <c r="K156" s="236"/>
      <c r="L156" s="236"/>
      <c r="M156" s="236"/>
      <c r="N156" s="236"/>
      <c r="O156" s="236"/>
      <c r="P156" s="237"/>
      <c r="Q156" s="237"/>
      <c r="R156" s="236"/>
      <c r="S156" s="236"/>
    </row>
    <row r="157" spans="2:19" ht="13.5" customHeight="1" x14ac:dyDescent="0.2">
      <c r="B157" s="236"/>
      <c r="C157" s="236"/>
      <c r="D157" s="236"/>
      <c r="E157" s="237"/>
      <c r="F157" s="236"/>
      <c r="G157" s="237"/>
      <c r="H157" s="237"/>
      <c r="I157" s="236"/>
      <c r="J157" s="236"/>
      <c r="K157" s="236"/>
      <c r="L157" s="236"/>
      <c r="M157" s="236"/>
      <c r="N157" s="236"/>
      <c r="O157" s="236"/>
      <c r="P157" s="237"/>
      <c r="Q157" s="237"/>
      <c r="R157" s="236"/>
      <c r="S157" s="236"/>
    </row>
    <row r="158" spans="2:19" ht="13.5" customHeight="1" x14ac:dyDescent="0.2">
      <c r="B158" s="236"/>
      <c r="C158" s="236"/>
      <c r="D158" s="236"/>
      <c r="E158" s="237"/>
      <c r="F158" s="236"/>
      <c r="G158" s="237"/>
      <c r="H158" s="237"/>
      <c r="I158" s="236"/>
      <c r="J158" s="236"/>
      <c r="K158" s="236"/>
      <c r="L158" s="236"/>
      <c r="M158" s="236"/>
      <c r="N158" s="236"/>
      <c r="O158" s="236"/>
      <c r="P158" s="237"/>
      <c r="Q158" s="237"/>
      <c r="R158" s="236"/>
      <c r="S158" s="236"/>
    </row>
    <row r="159" spans="2:19" ht="13.5" customHeight="1" x14ac:dyDescent="0.2">
      <c r="B159" s="236"/>
      <c r="C159" s="236"/>
      <c r="D159" s="236"/>
      <c r="E159" s="237"/>
      <c r="F159" s="236"/>
      <c r="G159" s="237"/>
      <c r="H159" s="237"/>
      <c r="I159" s="236"/>
      <c r="J159" s="236"/>
      <c r="K159" s="236"/>
      <c r="L159" s="236"/>
      <c r="M159" s="236"/>
      <c r="N159" s="236"/>
      <c r="O159" s="236"/>
      <c r="P159" s="237"/>
      <c r="Q159" s="237"/>
      <c r="R159" s="236"/>
      <c r="S159" s="236"/>
    </row>
    <row r="160" spans="2:19" ht="13.5" customHeight="1" x14ac:dyDescent="0.2">
      <c r="B160" s="236"/>
      <c r="C160" s="236"/>
      <c r="D160" s="236"/>
      <c r="E160" s="237"/>
      <c r="F160" s="236"/>
      <c r="G160" s="237"/>
      <c r="H160" s="237"/>
      <c r="I160" s="236"/>
      <c r="J160" s="236"/>
      <c r="K160" s="236"/>
      <c r="L160" s="236"/>
      <c r="M160" s="236"/>
      <c r="N160" s="236"/>
      <c r="O160" s="236"/>
      <c r="P160" s="237"/>
      <c r="Q160" s="237"/>
      <c r="R160" s="236"/>
      <c r="S160" s="236"/>
    </row>
    <row r="161" spans="2:19" ht="13.5" customHeight="1" x14ac:dyDescent="0.2">
      <c r="B161" s="236"/>
      <c r="C161" s="236"/>
      <c r="D161" s="236"/>
      <c r="E161" s="237"/>
      <c r="F161" s="236"/>
      <c r="G161" s="237"/>
      <c r="H161" s="237"/>
      <c r="I161" s="236"/>
      <c r="J161" s="236"/>
      <c r="K161" s="236"/>
      <c r="L161" s="236"/>
      <c r="M161" s="236"/>
      <c r="N161" s="236"/>
      <c r="O161" s="236"/>
      <c r="P161" s="237"/>
      <c r="Q161" s="237"/>
      <c r="R161" s="236"/>
      <c r="S161" s="236"/>
    </row>
    <row r="162" spans="2:19" ht="13.5" customHeight="1" x14ac:dyDescent="0.2">
      <c r="B162" s="236"/>
      <c r="C162" s="236"/>
      <c r="D162" s="236"/>
      <c r="E162" s="237"/>
      <c r="F162" s="236"/>
      <c r="G162" s="237"/>
      <c r="H162" s="237"/>
      <c r="I162" s="236"/>
      <c r="J162" s="236"/>
      <c r="K162" s="236"/>
      <c r="L162" s="236"/>
      <c r="M162" s="236"/>
      <c r="N162" s="236"/>
      <c r="O162" s="236"/>
      <c r="P162" s="237"/>
      <c r="Q162" s="237"/>
      <c r="R162" s="236"/>
      <c r="S162" s="236"/>
    </row>
    <row r="163" spans="2:19" ht="13.5" customHeight="1" x14ac:dyDescent="0.2">
      <c r="B163" s="236"/>
      <c r="C163" s="236"/>
      <c r="D163" s="236"/>
      <c r="E163" s="237"/>
      <c r="F163" s="236"/>
      <c r="G163" s="237"/>
      <c r="H163" s="237"/>
      <c r="I163" s="236"/>
      <c r="J163" s="236"/>
      <c r="K163" s="236"/>
      <c r="L163" s="236"/>
      <c r="M163" s="236"/>
      <c r="N163" s="236"/>
      <c r="O163" s="236"/>
      <c r="P163" s="237"/>
      <c r="Q163" s="237"/>
      <c r="R163" s="236"/>
      <c r="S163" s="236"/>
    </row>
    <row r="164" spans="2:19" ht="13.5" customHeight="1" x14ac:dyDescent="0.2">
      <c r="B164" s="236"/>
      <c r="C164" s="236"/>
      <c r="D164" s="236"/>
      <c r="E164" s="237"/>
      <c r="F164" s="236"/>
      <c r="G164" s="237"/>
      <c r="H164" s="237"/>
      <c r="I164" s="236"/>
      <c r="J164" s="236"/>
      <c r="K164" s="236"/>
      <c r="L164" s="236"/>
      <c r="M164" s="236"/>
      <c r="N164" s="236"/>
      <c r="O164" s="236"/>
      <c r="P164" s="237"/>
      <c r="Q164" s="237"/>
      <c r="R164" s="236"/>
      <c r="S164" s="236"/>
    </row>
    <row r="165" spans="2:19" ht="13.5" customHeight="1" x14ac:dyDescent="0.2">
      <c r="B165" s="236"/>
      <c r="C165" s="236"/>
      <c r="D165" s="236"/>
      <c r="E165" s="237"/>
      <c r="F165" s="236"/>
      <c r="G165" s="237"/>
      <c r="H165" s="237"/>
      <c r="I165" s="236"/>
      <c r="J165" s="236"/>
      <c r="K165" s="236"/>
      <c r="L165" s="236"/>
      <c r="M165" s="236"/>
      <c r="N165" s="236"/>
      <c r="O165" s="236"/>
      <c r="P165" s="237"/>
      <c r="Q165" s="237"/>
      <c r="R165" s="236"/>
      <c r="S165" s="236"/>
    </row>
    <row r="166" spans="2:19" ht="13.5" customHeight="1" x14ac:dyDescent="0.2">
      <c r="B166" s="236"/>
      <c r="C166" s="236"/>
      <c r="D166" s="236"/>
      <c r="E166" s="237"/>
      <c r="F166" s="236"/>
      <c r="G166" s="237"/>
      <c r="H166" s="237"/>
      <c r="I166" s="236"/>
      <c r="J166" s="236"/>
      <c r="K166" s="236"/>
      <c r="L166" s="236"/>
      <c r="M166" s="236"/>
      <c r="N166" s="236"/>
      <c r="O166" s="236"/>
      <c r="P166" s="237"/>
      <c r="Q166" s="237"/>
      <c r="R166" s="236"/>
      <c r="S166" s="236"/>
    </row>
    <row r="167" spans="2:19" ht="13.5" customHeight="1" x14ac:dyDescent="0.2">
      <c r="B167" s="236"/>
      <c r="C167" s="236"/>
      <c r="D167" s="236"/>
      <c r="E167" s="237"/>
      <c r="F167" s="236"/>
      <c r="G167" s="237"/>
      <c r="H167" s="237"/>
      <c r="I167" s="236"/>
      <c r="J167" s="236"/>
      <c r="K167" s="236"/>
      <c r="L167" s="236"/>
      <c r="M167" s="236"/>
      <c r="N167" s="236"/>
      <c r="O167" s="236"/>
      <c r="P167" s="237"/>
      <c r="Q167" s="237"/>
      <c r="R167" s="236"/>
      <c r="S167" s="236"/>
    </row>
    <row r="168" spans="2:19" ht="13.5" customHeight="1" x14ac:dyDescent="0.2">
      <c r="B168" s="236"/>
      <c r="C168" s="236"/>
      <c r="D168" s="236"/>
      <c r="E168" s="237"/>
      <c r="F168" s="236"/>
      <c r="G168" s="237"/>
      <c r="H168" s="237"/>
      <c r="I168" s="236"/>
      <c r="J168" s="236"/>
      <c r="K168" s="236"/>
      <c r="L168" s="236"/>
      <c r="M168" s="236"/>
      <c r="N168" s="236"/>
      <c r="O168" s="236"/>
      <c r="P168" s="237"/>
      <c r="Q168" s="237"/>
      <c r="R168" s="236"/>
      <c r="S168" s="236"/>
    </row>
    <row r="169" spans="2:19" ht="13.5" customHeight="1" x14ac:dyDescent="0.2">
      <c r="B169" s="236"/>
      <c r="C169" s="236"/>
      <c r="D169" s="236"/>
      <c r="E169" s="237"/>
      <c r="F169" s="236"/>
      <c r="G169" s="237"/>
      <c r="H169" s="237"/>
      <c r="I169" s="236"/>
      <c r="J169" s="236"/>
      <c r="K169" s="236"/>
      <c r="L169" s="236"/>
      <c r="M169" s="236"/>
      <c r="N169" s="236"/>
      <c r="O169" s="236"/>
      <c r="P169" s="237"/>
      <c r="Q169" s="237"/>
      <c r="R169" s="236"/>
      <c r="S169" s="236"/>
    </row>
    <row r="170" spans="2:19" ht="13.5" customHeight="1" x14ac:dyDescent="0.2">
      <c r="B170" s="236"/>
      <c r="C170" s="236"/>
      <c r="D170" s="236"/>
      <c r="E170" s="237"/>
      <c r="F170" s="236"/>
      <c r="G170" s="237"/>
      <c r="H170" s="237"/>
      <c r="I170" s="236"/>
      <c r="J170" s="236"/>
      <c r="K170" s="236"/>
      <c r="L170" s="236"/>
      <c r="M170" s="236"/>
      <c r="N170" s="236"/>
      <c r="O170" s="236"/>
      <c r="P170" s="237"/>
      <c r="Q170" s="237"/>
      <c r="R170" s="236"/>
      <c r="S170" s="236"/>
    </row>
    <row r="171" spans="2:19" ht="13.5" customHeight="1" x14ac:dyDescent="0.2">
      <c r="B171" s="236"/>
      <c r="C171" s="236"/>
      <c r="D171" s="236"/>
      <c r="E171" s="237"/>
      <c r="F171" s="236"/>
      <c r="G171" s="237"/>
      <c r="H171" s="237"/>
      <c r="I171" s="236"/>
      <c r="J171" s="236"/>
      <c r="K171" s="236"/>
      <c r="L171" s="236"/>
      <c r="M171" s="236"/>
      <c r="N171" s="236"/>
      <c r="O171" s="236"/>
      <c r="P171" s="237"/>
      <c r="Q171" s="237"/>
      <c r="R171" s="236"/>
      <c r="S171" s="236"/>
    </row>
    <row r="172" spans="2:19" ht="13.5" customHeight="1" x14ac:dyDescent="0.2">
      <c r="B172" s="236"/>
      <c r="C172" s="236"/>
      <c r="D172" s="236"/>
      <c r="E172" s="237"/>
      <c r="F172" s="236"/>
      <c r="G172" s="237"/>
      <c r="H172" s="237"/>
      <c r="I172" s="236"/>
      <c r="J172" s="236"/>
      <c r="K172" s="236"/>
      <c r="L172" s="236"/>
      <c r="M172" s="236"/>
      <c r="N172" s="236"/>
      <c r="O172" s="236"/>
      <c r="P172" s="237"/>
      <c r="Q172" s="237"/>
      <c r="R172" s="236"/>
      <c r="S172" s="236"/>
    </row>
    <row r="173" spans="2:19" ht="13.5" customHeight="1" x14ac:dyDescent="0.2">
      <c r="B173" s="236"/>
      <c r="C173" s="236"/>
      <c r="D173" s="236"/>
      <c r="E173" s="237"/>
      <c r="F173" s="236"/>
      <c r="G173" s="237"/>
      <c r="H173" s="237"/>
      <c r="I173" s="236"/>
      <c r="J173" s="236"/>
      <c r="K173" s="236"/>
      <c r="L173" s="236"/>
      <c r="M173" s="236"/>
      <c r="N173" s="236"/>
      <c r="O173" s="236"/>
      <c r="P173" s="237"/>
      <c r="Q173" s="237"/>
      <c r="R173" s="236"/>
      <c r="S173" s="236"/>
    </row>
    <row r="174" spans="2:19" ht="13.5" customHeight="1" x14ac:dyDescent="0.2">
      <c r="B174" s="236"/>
      <c r="C174" s="236"/>
      <c r="D174" s="236"/>
      <c r="E174" s="237"/>
      <c r="F174" s="236"/>
      <c r="G174" s="237"/>
      <c r="H174" s="237"/>
      <c r="I174" s="236"/>
      <c r="J174" s="236"/>
      <c r="K174" s="236"/>
      <c r="L174" s="236"/>
      <c r="M174" s="236"/>
      <c r="N174" s="236"/>
      <c r="O174" s="236"/>
      <c r="P174" s="237"/>
      <c r="Q174" s="237"/>
      <c r="R174" s="236"/>
      <c r="S174" s="236"/>
    </row>
    <row r="175" spans="2:19" ht="13.5" customHeight="1" x14ac:dyDescent="0.2">
      <c r="B175" s="236"/>
      <c r="C175" s="236"/>
      <c r="D175" s="236"/>
      <c r="E175" s="237"/>
      <c r="F175" s="236"/>
      <c r="G175" s="237"/>
      <c r="H175" s="237"/>
      <c r="I175" s="236"/>
      <c r="J175" s="236"/>
      <c r="K175" s="236"/>
      <c r="L175" s="236"/>
      <c r="M175" s="236"/>
      <c r="N175" s="236"/>
      <c r="O175" s="236"/>
      <c r="P175" s="237"/>
      <c r="Q175" s="237"/>
      <c r="R175" s="236"/>
      <c r="S175" s="236"/>
    </row>
    <row r="176" spans="2:19" ht="13.5" customHeight="1" x14ac:dyDescent="0.2">
      <c r="B176" s="236"/>
      <c r="C176" s="236"/>
      <c r="D176" s="236"/>
      <c r="E176" s="237"/>
      <c r="F176" s="236"/>
      <c r="G176" s="237"/>
      <c r="H176" s="237"/>
      <c r="I176" s="236"/>
      <c r="J176" s="236"/>
      <c r="K176" s="236"/>
      <c r="L176" s="236"/>
      <c r="M176" s="236"/>
      <c r="N176" s="236"/>
      <c r="O176" s="236"/>
      <c r="P176" s="237"/>
      <c r="Q176" s="237"/>
      <c r="R176" s="236"/>
      <c r="S176" s="236"/>
    </row>
    <row r="177" spans="2:19" ht="13.5" customHeight="1" x14ac:dyDescent="0.2">
      <c r="B177" s="236"/>
      <c r="C177" s="236"/>
      <c r="D177" s="236"/>
      <c r="E177" s="237"/>
      <c r="F177" s="236"/>
      <c r="G177" s="237"/>
      <c r="H177" s="237"/>
      <c r="I177" s="236"/>
      <c r="J177" s="236"/>
      <c r="K177" s="236"/>
      <c r="L177" s="236"/>
      <c r="M177" s="236"/>
      <c r="N177" s="236"/>
      <c r="O177" s="236"/>
      <c r="P177" s="237"/>
      <c r="Q177" s="237"/>
      <c r="R177" s="236"/>
      <c r="S177" s="236"/>
    </row>
    <row r="178" spans="2:19" ht="13.5" customHeight="1" x14ac:dyDescent="0.2">
      <c r="B178" s="236"/>
      <c r="C178" s="236"/>
      <c r="D178" s="236"/>
      <c r="E178" s="237"/>
      <c r="F178" s="236"/>
      <c r="G178" s="237"/>
      <c r="H178" s="237"/>
      <c r="I178" s="236"/>
      <c r="J178" s="236"/>
      <c r="K178" s="236"/>
      <c r="L178" s="236"/>
      <c r="M178" s="236"/>
      <c r="N178" s="236"/>
      <c r="O178" s="236"/>
      <c r="P178" s="237"/>
      <c r="Q178" s="237"/>
      <c r="R178" s="236"/>
      <c r="S178" s="236"/>
    </row>
    <row r="179" spans="2:19" ht="13.5" customHeight="1" x14ac:dyDescent="0.2">
      <c r="B179" s="236"/>
      <c r="C179" s="236"/>
      <c r="D179" s="236"/>
      <c r="E179" s="237"/>
      <c r="F179" s="236"/>
      <c r="G179" s="237"/>
      <c r="H179" s="237"/>
      <c r="I179" s="236"/>
      <c r="J179" s="236"/>
      <c r="K179" s="236"/>
      <c r="L179" s="236"/>
      <c r="M179" s="236"/>
      <c r="N179" s="236"/>
      <c r="O179" s="236"/>
      <c r="P179" s="237"/>
      <c r="Q179" s="237"/>
      <c r="R179" s="236"/>
      <c r="S179" s="236"/>
    </row>
    <row r="180" spans="2:19" ht="13.5" customHeight="1" x14ac:dyDescent="0.2">
      <c r="B180" s="236"/>
      <c r="C180" s="236"/>
      <c r="D180" s="236"/>
      <c r="E180" s="237"/>
      <c r="F180" s="236"/>
      <c r="G180" s="237"/>
      <c r="H180" s="237"/>
      <c r="I180" s="236"/>
      <c r="J180" s="236"/>
      <c r="K180" s="236"/>
      <c r="L180" s="236"/>
      <c r="M180" s="236"/>
      <c r="N180" s="236"/>
      <c r="O180" s="236"/>
      <c r="P180" s="237"/>
      <c r="Q180" s="237"/>
      <c r="R180" s="236"/>
      <c r="S180" s="236"/>
    </row>
    <row r="181" spans="2:19" ht="13.5" customHeight="1" x14ac:dyDescent="0.2">
      <c r="B181" s="236"/>
      <c r="C181" s="236"/>
      <c r="D181" s="236"/>
      <c r="E181" s="237"/>
      <c r="F181" s="236"/>
      <c r="G181" s="237"/>
      <c r="H181" s="237"/>
      <c r="I181" s="236"/>
      <c r="J181" s="236"/>
      <c r="K181" s="236"/>
      <c r="L181" s="236"/>
      <c r="M181" s="236"/>
      <c r="N181" s="236"/>
      <c r="O181" s="236"/>
      <c r="P181" s="237"/>
      <c r="Q181" s="237"/>
      <c r="R181" s="236"/>
      <c r="S181" s="236"/>
    </row>
    <row r="182" spans="2:19" ht="13.5" customHeight="1" x14ac:dyDescent="0.2">
      <c r="B182" s="236"/>
      <c r="C182" s="236"/>
      <c r="D182" s="236"/>
      <c r="E182" s="237"/>
      <c r="F182" s="236"/>
      <c r="G182" s="237"/>
      <c r="H182" s="237"/>
      <c r="I182" s="236"/>
      <c r="J182" s="236"/>
      <c r="K182" s="236"/>
      <c r="L182" s="236"/>
      <c r="M182" s="236"/>
      <c r="N182" s="236"/>
      <c r="O182" s="236"/>
      <c r="P182" s="237"/>
      <c r="Q182" s="237"/>
      <c r="R182" s="236"/>
      <c r="S182" s="236"/>
    </row>
    <row r="183" spans="2:19" ht="13.5" customHeight="1" x14ac:dyDescent="0.2">
      <c r="B183" s="236"/>
      <c r="C183" s="236"/>
      <c r="D183" s="236"/>
      <c r="E183" s="237"/>
      <c r="F183" s="236"/>
      <c r="G183" s="237"/>
      <c r="H183" s="237"/>
      <c r="I183" s="236"/>
      <c r="J183" s="236"/>
      <c r="K183" s="236"/>
      <c r="L183" s="236"/>
      <c r="M183" s="236"/>
      <c r="N183" s="236"/>
      <c r="O183" s="236"/>
      <c r="P183" s="237"/>
      <c r="Q183" s="237"/>
      <c r="R183" s="236"/>
      <c r="S183" s="236"/>
    </row>
    <row r="184" spans="2:19" ht="13.5" customHeight="1" x14ac:dyDescent="0.2">
      <c r="B184" s="236"/>
      <c r="C184" s="236"/>
      <c r="D184" s="236"/>
      <c r="E184" s="237"/>
      <c r="F184" s="236"/>
      <c r="G184" s="237"/>
      <c r="H184" s="237"/>
      <c r="I184" s="236"/>
      <c r="J184" s="236"/>
      <c r="K184" s="236"/>
      <c r="L184" s="236"/>
      <c r="M184" s="236"/>
      <c r="N184" s="236"/>
      <c r="O184" s="236"/>
      <c r="P184" s="237"/>
      <c r="Q184" s="237"/>
      <c r="R184" s="236"/>
      <c r="S184" s="236"/>
    </row>
    <row r="185" spans="2:19" ht="13.5" customHeight="1" x14ac:dyDescent="0.2">
      <c r="B185" s="236"/>
      <c r="C185" s="236"/>
      <c r="D185" s="236"/>
      <c r="E185" s="237"/>
      <c r="F185" s="236"/>
      <c r="G185" s="237"/>
      <c r="H185" s="237"/>
      <c r="I185" s="236"/>
      <c r="J185" s="236"/>
      <c r="K185" s="236"/>
      <c r="L185" s="236"/>
      <c r="M185" s="236"/>
      <c r="N185" s="236"/>
      <c r="O185" s="236"/>
      <c r="P185" s="237"/>
      <c r="Q185" s="237"/>
      <c r="R185" s="236"/>
      <c r="S185" s="236"/>
    </row>
    <row r="186" spans="2:19" ht="13.5" customHeight="1" x14ac:dyDescent="0.2">
      <c r="B186" s="236"/>
      <c r="C186" s="236"/>
      <c r="D186" s="236"/>
      <c r="E186" s="237"/>
      <c r="F186" s="236"/>
      <c r="G186" s="237"/>
      <c r="H186" s="237"/>
      <c r="I186" s="236"/>
      <c r="J186" s="236"/>
      <c r="K186" s="236"/>
      <c r="L186" s="236"/>
      <c r="M186" s="236"/>
      <c r="N186" s="236"/>
      <c r="O186" s="236"/>
      <c r="P186" s="237"/>
      <c r="Q186" s="237"/>
      <c r="R186" s="236"/>
      <c r="S186" s="236"/>
    </row>
    <row r="187" spans="2:19" ht="13.5" customHeight="1" x14ac:dyDescent="0.2">
      <c r="B187" s="236"/>
      <c r="C187" s="236"/>
      <c r="D187" s="236"/>
      <c r="E187" s="237"/>
      <c r="F187" s="236"/>
      <c r="G187" s="237"/>
      <c r="H187" s="237"/>
      <c r="I187" s="236"/>
      <c r="J187" s="236"/>
      <c r="K187" s="236"/>
      <c r="L187" s="236"/>
      <c r="M187" s="236"/>
      <c r="N187" s="236"/>
      <c r="O187" s="236"/>
      <c r="P187" s="237"/>
      <c r="Q187" s="237"/>
      <c r="R187" s="236"/>
      <c r="S187" s="236"/>
    </row>
    <row r="188" spans="2:19" ht="13.5" customHeight="1" x14ac:dyDescent="0.2">
      <c r="B188" s="236"/>
      <c r="C188" s="236"/>
      <c r="D188" s="236"/>
      <c r="E188" s="237"/>
      <c r="F188" s="236"/>
      <c r="G188" s="237"/>
      <c r="H188" s="237"/>
      <c r="I188" s="236"/>
      <c r="J188" s="236"/>
      <c r="K188" s="236"/>
      <c r="L188" s="236"/>
      <c r="M188" s="236"/>
      <c r="N188" s="236"/>
      <c r="O188" s="236"/>
      <c r="P188" s="237"/>
      <c r="Q188" s="237"/>
      <c r="R188" s="236"/>
      <c r="S188" s="236"/>
    </row>
    <row r="189" spans="2:19" ht="13.5" customHeight="1" x14ac:dyDescent="0.2">
      <c r="B189" s="236"/>
      <c r="C189" s="236"/>
      <c r="D189" s="236"/>
      <c r="E189" s="237"/>
      <c r="F189" s="236"/>
      <c r="G189" s="237"/>
      <c r="H189" s="237"/>
      <c r="I189" s="236"/>
      <c r="J189" s="236"/>
      <c r="K189" s="236"/>
      <c r="L189" s="236"/>
      <c r="M189" s="236"/>
      <c r="N189" s="236"/>
      <c r="O189" s="236"/>
      <c r="P189" s="237"/>
      <c r="Q189" s="237"/>
      <c r="R189" s="236"/>
      <c r="S189" s="236"/>
    </row>
    <row r="190" spans="2:19" ht="13.5" customHeight="1" x14ac:dyDescent="0.2">
      <c r="B190" s="236"/>
      <c r="C190" s="236"/>
      <c r="D190" s="236"/>
      <c r="E190" s="237"/>
      <c r="F190" s="236"/>
      <c r="G190" s="237"/>
      <c r="H190" s="237"/>
      <c r="I190" s="236"/>
      <c r="J190" s="236"/>
      <c r="K190" s="236"/>
      <c r="L190" s="236"/>
      <c r="M190" s="236"/>
      <c r="N190" s="236"/>
      <c r="O190" s="236"/>
      <c r="P190" s="237"/>
      <c r="Q190" s="237"/>
      <c r="R190" s="236"/>
      <c r="S190" s="236"/>
    </row>
    <row r="191" spans="2:19" ht="13.5" customHeight="1" x14ac:dyDescent="0.2">
      <c r="B191" s="236"/>
      <c r="C191" s="236"/>
      <c r="D191" s="236"/>
      <c r="E191" s="237"/>
      <c r="F191" s="236"/>
      <c r="G191" s="237"/>
      <c r="H191" s="237"/>
      <c r="I191" s="236"/>
      <c r="J191" s="236"/>
      <c r="K191" s="236"/>
      <c r="L191" s="236"/>
      <c r="M191" s="236"/>
      <c r="N191" s="236"/>
      <c r="O191" s="236"/>
      <c r="P191" s="237"/>
      <c r="Q191" s="237"/>
      <c r="R191" s="236"/>
      <c r="S191" s="236"/>
    </row>
    <row r="192" spans="2:19" ht="13.5" customHeight="1" x14ac:dyDescent="0.2">
      <c r="B192" s="236"/>
      <c r="C192" s="236"/>
      <c r="D192" s="236"/>
      <c r="E192" s="237"/>
      <c r="F192" s="236"/>
      <c r="G192" s="237"/>
      <c r="H192" s="237"/>
      <c r="I192" s="236"/>
      <c r="J192" s="236"/>
      <c r="K192" s="236"/>
      <c r="L192" s="236"/>
      <c r="M192" s="236"/>
      <c r="N192" s="236"/>
      <c r="O192" s="236"/>
      <c r="P192" s="237"/>
      <c r="Q192" s="237"/>
      <c r="R192" s="236"/>
      <c r="S192" s="236"/>
    </row>
    <row r="193" spans="2:19" ht="13.5" customHeight="1" x14ac:dyDescent="0.2">
      <c r="B193" s="236"/>
      <c r="C193" s="236"/>
      <c r="D193" s="236"/>
      <c r="E193" s="237"/>
      <c r="F193" s="236"/>
      <c r="G193" s="237"/>
      <c r="H193" s="237"/>
      <c r="I193" s="236"/>
      <c r="J193" s="236"/>
      <c r="K193" s="236"/>
      <c r="L193" s="236"/>
      <c r="M193" s="236"/>
      <c r="N193" s="236"/>
      <c r="O193" s="236"/>
      <c r="P193" s="237"/>
      <c r="Q193" s="237"/>
      <c r="R193" s="236"/>
      <c r="S193" s="236"/>
    </row>
    <row r="194" spans="2:19" ht="13.5" customHeight="1" x14ac:dyDescent="0.2">
      <c r="B194" s="236"/>
      <c r="C194" s="236"/>
      <c r="D194" s="236"/>
      <c r="E194" s="237"/>
      <c r="F194" s="236"/>
      <c r="G194" s="237"/>
      <c r="H194" s="237"/>
      <c r="I194" s="236"/>
      <c r="J194" s="236"/>
      <c r="K194" s="236"/>
      <c r="L194" s="236"/>
      <c r="M194" s="236"/>
      <c r="N194" s="236"/>
      <c r="O194" s="236"/>
      <c r="P194" s="237"/>
      <c r="Q194" s="237"/>
      <c r="R194" s="236"/>
      <c r="S194" s="236"/>
    </row>
    <row r="195" spans="2:19" ht="13.5" customHeight="1" x14ac:dyDescent="0.2">
      <c r="B195" s="236"/>
      <c r="C195" s="236"/>
      <c r="D195" s="236"/>
      <c r="E195" s="237"/>
      <c r="F195" s="236"/>
      <c r="G195" s="237"/>
      <c r="H195" s="237"/>
      <c r="I195" s="236"/>
      <c r="J195" s="236"/>
      <c r="K195" s="236"/>
      <c r="L195" s="236"/>
      <c r="M195" s="236"/>
      <c r="N195" s="236"/>
      <c r="O195" s="236"/>
      <c r="P195" s="237"/>
      <c r="Q195" s="237"/>
      <c r="R195" s="236"/>
      <c r="S195" s="236"/>
    </row>
    <row r="196" spans="2:19" ht="13.5" customHeight="1" x14ac:dyDescent="0.2">
      <c r="B196" s="236"/>
      <c r="C196" s="236"/>
      <c r="D196" s="236"/>
      <c r="E196" s="237"/>
      <c r="F196" s="236"/>
      <c r="G196" s="237"/>
      <c r="H196" s="237"/>
      <c r="I196" s="236"/>
      <c r="J196" s="236"/>
      <c r="K196" s="236"/>
      <c r="L196" s="236"/>
      <c r="M196" s="236"/>
      <c r="N196" s="236"/>
      <c r="O196" s="236"/>
      <c r="P196" s="237"/>
      <c r="Q196" s="237"/>
      <c r="R196" s="236"/>
      <c r="S196" s="236"/>
    </row>
    <row r="197" spans="2:19" ht="13.5" customHeight="1" x14ac:dyDescent="0.2">
      <c r="B197" s="236"/>
      <c r="C197" s="236"/>
      <c r="D197" s="236"/>
      <c r="E197" s="237"/>
      <c r="F197" s="236"/>
      <c r="G197" s="237"/>
      <c r="H197" s="237"/>
      <c r="I197" s="236"/>
      <c r="J197" s="236"/>
      <c r="K197" s="236"/>
      <c r="L197" s="236"/>
      <c r="M197" s="236"/>
      <c r="N197" s="236"/>
      <c r="O197" s="236"/>
      <c r="P197" s="237"/>
      <c r="Q197" s="237"/>
      <c r="R197" s="236"/>
      <c r="S197" s="236"/>
    </row>
    <row r="198" spans="2:19" ht="13.5" customHeight="1" x14ac:dyDescent="0.2">
      <c r="B198" s="236"/>
      <c r="C198" s="236"/>
      <c r="D198" s="236"/>
      <c r="E198" s="237"/>
      <c r="F198" s="236"/>
      <c r="G198" s="237"/>
      <c r="H198" s="237"/>
      <c r="I198" s="236"/>
      <c r="J198" s="236"/>
      <c r="K198" s="236"/>
      <c r="L198" s="236"/>
      <c r="M198" s="236"/>
      <c r="N198" s="236"/>
      <c r="O198" s="236"/>
      <c r="P198" s="237"/>
      <c r="Q198" s="237"/>
      <c r="R198" s="236"/>
      <c r="S198" s="236"/>
    </row>
    <row r="199" spans="2:19" ht="13.5" customHeight="1" x14ac:dyDescent="0.2">
      <c r="B199" s="236"/>
      <c r="C199" s="236"/>
      <c r="D199" s="236"/>
      <c r="E199" s="237"/>
      <c r="F199" s="236"/>
      <c r="G199" s="237"/>
      <c r="H199" s="237"/>
      <c r="I199" s="236"/>
      <c r="J199" s="236"/>
      <c r="K199" s="236"/>
      <c r="L199" s="236"/>
      <c r="M199" s="236"/>
      <c r="N199" s="236"/>
      <c r="O199" s="236"/>
      <c r="P199" s="237"/>
      <c r="Q199" s="237"/>
      <c r="R199" s="236"/>
      <c r="S199" s="236"/>
    </row>
    <row r="200" spans="2:19" ht="13.5" customHeight="1" x14ac:dyDescent="0.2">
      <c r="B200" s="236"/>
      <c r="C200" s="236"/>
      <c r="D200" s="236"/>
      <c r="E200" s="237"/>
      <c r="F200" s="236"/>
      <c r="G200" s="237"/>
      <c r="H200" s="237"/>
      <c r="I200" s="236"/>
      <c r="J200" s="236"/>
      <c r="K200" s="236"/>
      <c r="L200" s="236"/>
      <c r="M200" s="236"/>
      <c r="N200" s="236"/>
      <c r="O200" s="236"/>
      <c r="P200" s="237"/>
      <c r="Q200" s="237"/>
      <c r="R200" s="236"/>
      <c r="S200" s="236"/>
    </row>
    <row r="201" spans="2:19" ht="13.5" customHeight="1" x14ac:dyDescent="0.2">
      <c r="B201" s="236"/>
      <c r="C201" s="236"/>
      <c r="D201" s="236"/>
      <c r="E201" s="237"/>
      <c r="F201" s="236"/>
      <c r="G201" s="237"/>
      <c r="H201" s="237"/>
      <c r="I201" s="236"/>
      <c r="J201" s="236"/>
      <c r="K201" s="236"/>
      <c r="L201" s="236"/>
      <c r="M201" s="236"/>
      <c r="N201" s="236"/>
      <c r="O201" s="236"/>
      <c r="P201" s="237"/>
      <c r="Q201" s="237"/>
      <c r="R201" s="236"/>
      <c r="S201" s="236"/>
    </row>
    <row r="202" spans="2:19" ht="13.5" customHeight="1" x14ac:dyDescent="0.2">
      <c r="B202" s="236"/>
      <c r="C202" s="236"/>
      <c r="D202" s="236"/>
      <c r="E202" s="237"/>
      <c r="F202" s="236"/>
      <c r="G202" s="237"/>
      <c r="H202" s="237"/>
      <c r="I202" s="236"/>
      <c r="J202" s="236"/>
      <c r="K202" s="236"/>
      <c r="L202" s="236"/>
      <c r="M202" s="236"/>
      <c r="N202" s="236"/>
      <c r="O202" s="236"/>
      <c r="P202" s="237"/>
      <c r="Q202" s="237"/>
      <c r="R202" s="236"/>
      <c r="S202" s="236"/>
    </row>
    <row r="203" spans="2:19" ht="13.5" customHeight="1" x14ac:dyDescent="0.2">
      <c r="B203" s="236"/>
      <c r="C203" s="236"/>
      <c r="D203" s="236"/>
      <c r="E203" s="237"/>
      <c r="F203" s="236"/>
      <c r="G203" s="237"/>
      <c r="H203" s="237"/>
      <c r="I203" s="236"/>
      <c r="J203" s="236"/>
      <c r="K203" s="236"/>
      <c r="L203" s="236"/>
      <c r="M203" s="236"/>
      <c r="N203" s="236"/>
      <c r="O203" s="236"/>
      <c r="P203" s="237"/>
      <c r="Q203" s="237"/>
      <c r="R203" s="236"/>
      <c r="S203" s="236"/>
    </row>
    <row r="204" spans="2:19" ht="13.5" customHeight="1" x14ac:dyDescent="0.2">
      <c r="B204" s="236"/>
      <c r="C204" s="236"/>
      <c r="D204" s="236"/>
      <c r="E204" s="237"/>
      <c r="F204" s="236"/>
      <c r="G204" s="237"/>
      <c r="H204" s="237"/>
      <c r="I204" s="236"/>
      <c r="J204" s="236"/>
      <c r="K204" s="236"/>
      <c r="L204" s="236"/>
      <c r="M204" s="236"/>
      <c r="N204" s="236"/>
      <c r="O204" s="236"/>
      <c r="P204" s="237"/>
      <c r="Q204" s="237"/>
      <c r="R204" s="236"/>
      <c r="S204" s="236"/>
    </row>
    <row r="205" spans="2:19" ht="13.5" customHeight="1" x14ac:dyDescent="0.2">
      <c r="B205" s="236"/>
      <c r="C205" s="236"/>
      <c r="D205" s="236"/>
      <c r="E205" s="237"/>
      <c r="F205" s="236"/>
      <c r="G205" s="237"/>
      <c r="H205" s="237"/>
      <c r="I205" s="236"/>
      <c r="J205" s="236"/>
      <c r="K205" s="236"/>
      <c r="L205" s="236"/>
      <c r="M205" s="236"/>
      <c r="N205" s="236"/>
      <c r="O205" s="236"/>
      <c r="P205" s="237"/>
      <c r="Q205" s="237"/>
      <c r="R205" s="236"/>
      <c r="S205" s="236"/>
    </row>
    <row r="206" spans="2:19" ht="13.5" customHeight="1" x14ac:dyDescent="0.2">
      <c r="B206" s="236"/>
      <c r="C206" s="236"/>
      <c r="D206" s="236"/>
      <c r="E206" s="237"/>
      <c r="F206" s="236"/>
      <c r="G206" s="237"/>
      <c r="H206" s="237"/>
      <c r="I206" s="236"/>
      <c r="J206" s="236"/>
      <c r="K206" s="236"/>
      <c r="L206" s="236"/>
      <c r="M206" s="236"/>
      <c r="N206" s="236"/>
      <c r="O206" s="236"/>
      <c r="P206" s="237"/>
      <c r="Q206" s="237"/>
      <c r="R206" s="236"/>
      <c r="S206" s="236"/>
    </row>
    <row r="207" spans="2:19" ht="13.5" customHeight="1" x14ac:dyDescent="0.2">
      <c r="B207" s="236"/>
      <c r="C207" s="236"/>
      <c r="D207" s="236"/>
      <c r="E207" s="237"/>
      <c r="F207" s="236"/>
      <c r="G207" s="237"/>
      <c r="H207" s="237"/>
      <c r="I207" s="236"/>
      <c r="J207" s="236"/>
      <c r="K207" s="236"/>
      <c r="L207" s="236"/>
      <c r="M207" s="236"/>
      <c r="N207" s="236"/>
      <c r="O207" s="236"/>
      <c r="P207" s="237"/>
      <c r="Q207" s="237"/>
      <c r="R207" s="236"/>
      <c r="S207" s="236"/>
    </row>
    <row r="208" spans="2:19" ht="13.5" customHeight="1" x14ac:dyDescent="0.2">
      <c r="B208" s="236"/>
      <c r="C208" s="236"/>
      <c r="D208" s="236"/>
      <c r="E208" s="237"/>
      <c r="F208" s="236"/>
      <c r="G208" s="237"/>
      <c r="H208" s="237"/>
      <c r="I208" s="236"/>
      <c r="J208" s="236"/>
      <c r="K208" s="236"/>
      <c r="L208" s="236"/>
      <c r="M208" s="236"/>
      <c r="N208" s="236"/>
      <c r="O208" s="236"/>
      <c r="P208" s="237"/>
      <c r="Q208" s="237"/>
      <c r="R208" s="236"/>
      <c r="S208" s="236"/>
    </row>
    <row r="209" spans="2:19" ht="13.5" customHeight="1" x14ac:dyDescent="0.2">
      <c r="B209" s="236"/>
      <c r="C209" s="236"/>
      <c r="D209" s="236"/>
      <c r="E209" s="237"/>
      <c r="F209" s="236"/>
      <c r="G209" s="237"/>
      <c r="H209" s="237"/>
      <c r="I209" s="236"/>
      <c r="J209" s="236"/>
      <c r="K209" s="236"/>
      <c r="L209" s="236"/>
      <c r="M209" s="236"/>
      <c r="N209" s="236"/>
      <c r="O209" s="236"/>
      <c r="P209" s="237"/>
      <c r="Q209" s="237"/>
      <c r="R209" s="236"/>
      <c r="S209" s="236"/>
    </row>
    <row r="210" spans="2:19" ht="13.5" customHeight="1" x14ac:dyDescent="0.2">
      <c r="B210" s="236"/>
      <c r="C210" s="236"/>
      <c r="D210" s="236"/>
      <c r="E210" s="237"/>
      <c r="F210" s="236"/>
      <c r="G210" s="237"/>
      <c r="H210" s="237"/>
      <c r="I210" s="236"/>
      <c r="J210" s="236"/>
      <c r="K210" s="236"/>
      <c r="L210" s="236"/>
      <c r="M210" s="236"/>
      <c r="N210" s="236"/>
      <c r="O210" s="236"/>
      <c r="P210" s="237"/>
      <c r="Q210" s="237"/>
      <c r="R210" s="236"/>
      <c r="S210" s="236"/>
    </row>
  </sheetData>
  <sheetProtection algorithmName="SHA-512" hashValue="WPJb9x1//x3YKVY1Af626P4RwS9DOt9zx0gDCNNX2U1rOyZtdPaiwuzEy0aslsNmldcemK2Pn2PXJB+qtkttDA==" saltValue="5dnfQrA12lyXE5MAwdXZKw==" spinCount="100000" sheet="1" objects="1" scenarios="1"/>
  <phoneticPr fontId="0" type="noConversion"/>
  <dataValidations count="5">
    <dataValidation type="list" allowBlank="1" showInputMessage="1" showErrorMessage="1" sqref="F56">
      <formula1>"1,2,3"</formula1>
    </dataValidation>
    <dataValidation type="list" allowBlank="1" showInputMessage="1" showErrorMessage="1" sqref="E56">
      <formula1>"1,2,3,4,5,6,7,8"</formula1>
    </dataValidation>
    <dataValidation type="list" allowBlank="1" showInputMessage="1" showErrorMessage="1" sqref="E31">
      <formula1>"ja,nee"</formula1>
    </dataValidation>
    <dataValidation type="list" allowBlank="1" showInputMessage="1" showErrorMessage="1" sqref="G20 U81:U132">
      <formula1>$U$80:$U$132</formula1>
    </dataValidation>
    <dataValidation type="list" allowBlank="1" showInputMessage="1" showErrorMessage="1" sqref="V81">
      <formula1>$V$81:$V$132</formula1>
    </dataValidation>
  </dataValidations>
  <printOptions gridLines="1"/>
  <pageMargins left="0.74803149606299213" right="0.74803149606299213" top="0.98425196850393704" bottom="0.98425196850393704" header="0.51181102362204722" footer="0.51181102362204722"/>
  <pageSetup paperSize="9" scale="60" orientation="portrait" r:id="rId1"/>
  <headerFooter alignWithMargins="0">
    <oddHeader>&amp;L&amp;"Arial,Vet"&amp;A&amp;R&amp;"Arial,Vet"&amp;F</oddHeader>
    <oddFooter>&amp;L&amp;"Arial,Vet"PO-Raad&amp;R&amp;"Arial,Vet"&amp;P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53"/>
  <sheetViews>
    <sheetView zoomScale="85" zoomScaleNormal="85" zoomScaleSheetLayoutView="85" workbookViewId="0">
      <selection activeCell="B2" sqref="B2"/>
    </sheetView>
  </sheetViews>
  <sheetFormatPr defaultColWidth="9.140625" defaultRowHeight="13.5" customHeight="1" x14ac:dyDescent="0.2"/>
  <cols>
    <col min="1" max="1" width="3.5703125" style="30" customWidth="1"/>
    <col min="2" max="2" width="2.5703125" style="9" customWidth="1"/>
    <col min="3" max="3" width="1.5703125" style="9" customWidth="1"/>
    <col min="4" max="4" width="15.5703125" style="20" customWidth="1"/>
    <col min="5" max="5" width="9.5703125" style="9" customWidth="1"/>
    <col min="6" max="8" width="6.5703125" style="9" customWidth="1"/>
    <col min="9" max="9" width="8" style="9" customWidth="1"/>
    <col min="10" max="10" width="8.140625" style="9" customWidth="1"/>
    <col min="11" max="11" width="9.5703125" style="42" customWidth="1"/>
    <col min="12" max="12" width="11.28515625" style="42" customWidth="1"/>
    <col min="13" max="13" width="0.85546875" style="9" customWidth="1"/>
    <col min="14" max="16" width="8.5703125" style="9" customWidth="1"/>
    <col min="17" max="17" width="8.85546875" style="9" customWidth="1"/>
    <col min="18" max="20" width="8.5703125" style="9" customWidth="1"/>
    <col min="21" max="21" width="9.7109375" style="9" customWidth="1"/>
    <col min="22" max="22" width="10.85546875" style="193" customWidth="1"/>
    <col min="23" max="23" width="8.5703125" style="42" customWidth="1"/>
    <col min="24" max="24" width="13.85546875" style="9" customWidth="1"/>
    <col min="25" max="25" width="0.85546875" style="9" customWidth="1"/>
    <col min="26" max="26" width="10.28515625" style="193" customWidth="1"/>
    <col min="27" max="27" width="8.5703125" style="210" customWidth="1"/>
    <col min="28" max="28" width="0.85546875" style="9" customWidth="1"/>
    <col min="29" max="32" width="8.5703125" style="9" customWidth="1"/>
    <col min="33" max="33" width="10.28515625" style="9" customWidth="1"/>
    <col min="34" max="34" width="8.5703125" style="2" customWidth="1"/>
    <col min="35" max="35" width="0.85546875" style="9" customWidth="1"/>
    <col min="36" max="36" width="9.5703125" style="2" customWidth="1"/>
    <col min="37" max="37" width="8.5703125" style="2" customWidth="1"/>
    <col min="38" max="38" width="10.140625" style="28" customWidth="1"/>
    <col min="39" max="39" width="0.85546875" style="9" customWidth="1"/>
    <col min="40" max="40" width="9.5703125" style="9" customWidth="1"/>
    <col min="41" max="41" width="1.140625" style="9" customWidth="1"/>
    <col min="42" max="42" width="11.42578125" style="9" customWidth="1"/>
    <col min="43" max="43" width="13.7109375" style="9" bestFit="1" customWidth="1"/>
    <col min="44" max="44" width="0.85546875" style="9" customWidth="1"/>
    <col min="45" max="45" width="11.140625" style="42" customWidth="1"/>
    <col min="46" max="46" width="13.140625" style="42" customWidth="1"/>
    <col min="47" max="47" width="1.5703125" style="9" customWidth="1"/>
    <col min="48" max="48" width="2.5703125" style="9" customWidth="1"/>
    <col min="49" max="50" width="2.7109375" style="30" customWidth="1"/>
    <col min="51" max="55" width="10.7109375" style="36" customWidth="1"/>
    <col min="56" max="56" width="10.7109375" style="36" hidden="1" customWidth="1"/>
    <col min="57" max="59" width="10.7109375" style="36" customWidth="1"/>
    <col min="60" max="60" width="11" style="36" customWidth="1"/>
    <col min="61" max="65" width="10.7109375" style="36" customWidth="1"/>
    <col min="66" max="66" width="12" style="36" customWidth="1"/>
    <col min="67" max="67" width="11.42578125" style="36" customWidth="1"/>
    <col min="68" max="72" width="10.7109375" style="36" customWidth="1"/>
    <col min="73" max="75" width="10.7109375" style="37" customWidth="1"/>
    <col min="76" max="81" width="14.28515625" style="36" customWidth="1"/>
    <col min="82" max="82" width="14.85546875" style="30" customWidth="1"/>
    <col min="83" max="83" width="14.28515625" style="30" customWidth="1"/>
    <col min="84" max="16384" width="9.140625" style="9"/>
  </cols>
  <sheetData>
    <row r="1" spans="1:83" s="30" customFormat="1" ht="13.5" customHeight="1" x14ac:dyDescent="0.2">
      <c r="D1" s="33"/>
      <c r="K1" s="176"/>
      <c r="L1" s="176"/>
      <c r="V1" s="189"/>
      <c r="W1" s="176"/>
      <c r="Z1" s="189"/>
      <c r="AA1" s="198"/>
      <c r="AH1" s="34"/>
      <c r="AJ1" s="34"/>
      <c r="AK1" s="34"/>
      <c r="AL1" s="35"/>
      <c r="AS1" s="176"/>
      <c r="AT1" s="176"/>
      <c r="AY1" s="36"/>
      <c r="AZ1" s="36"/>
      <c r="BA1" s="36"/>
      <c r="BB1" s="36"/>
      <c r="BC1" s="36"/>
      <c r="BD1" s="36"/>
      <c r="BE1" s="36"/>
      <c r="BF1" s="36"/>
      <c r="BG1" s="36"/>
      <c r="BH1" s="36"/>
      <c r="BI1" s="36"/>
      <c r="BJ1" s="36"/>
      <c r="BK1" s="36"/>
      <c r="BL1" s="36"/>
      <c r="BM1" s="36"/>
      <c r="BN1" s="36"/>
      <c r="BO1" s="36"/>
      <c r="BP1" s="36"/>
      <c r="BQ1" s="36"/>
      <c r="BR1" s="36"/>
      <c r="BS1" s="36"/>
      <c r="BT1" s="36"/>
      <c r="BU1" s="37"/>
      <c r="BV1" s="37"/>
      <c r="BW1" s="37"/>
      <c r="BX1" s="36"/>
      <c r="BY1" s="36"/>
      <c r="BZ1" s="36"/>
      <c r="CA1" s="36"/>
      <c r="CB1" s="36"/>
      <c r="CC1" s="36"/>
    </row>
    <row r="2" spans="1:83" ht="12" customHeight="1" x14ac:dyDescent="0.2">
      <c r="B2" s="4"/>
      <c r="C2" s="5"/>
      <c r="D2" s="6"/>
      <c r="E2" s="5"/>
      <c r="F2" s="5"/>
      <c r="G2" s="5"/>
      <c r="H2" s="5"/>
      <c r="I2" s="5"/>
      <c r="J2" s="5"/>
      <c r="K2" s="177"/>
      <c r="L2" s="177"/>
      <c r="M2" s="5"/>
      <c r="N2" s="5"/>
      <c r="O2" s="5"/>
      <c r="P2" s="5"/>
      <c r="Q2" s="5"/>
      <c r="R2" s="5"/>
      <c r="S2" s="5"/>
      <c r="T2" s="382"/>
      <c r="U2" s="5"/>
      <c r="V2" s="190"/>
      <c r="W2" s="177"/>
      <c r="X2" s="5"/>
      <c r="Y2" s="5"/>
      <c r="Z2" s="190"/>
      <c r="AA2" s="199"/>
      <c r="AB2" s="5"/>
      <c r="AC2" s="5"/>
      <c r="AD2" s="5"/>
      <c r="AE2" s="5"/>
      <c r="AF2" s="5"/>
      <c r="AG2" s="5"/>
      <c r="AH2" s="8"/>
      <c r="AI2" s="5"/>
      <c r="AJ2" s="8"/>
      <c r="AK2" s="8"/>
      <c r="AL2" s="25"/>
      <c r="AM2" s="5"/>
      <c r="AN2" s="5"/>
      <c r="AO2" s="5"/>
      <c r="AP2" s="5"/>
      <c r="AQ2" s="5"/>
      <c r="AR2" s="5"/>
      <c r="AS2" s="177"/>
      <c r="AT2" s="177"/>
      <c r="AU2" s="5"/>
      <c r="AV2" s="7"/>
    </row>
    <row r="3" spans="1:83" ht="12" customHeight="1" x14ac:dyDescent="0.2">
      <c r="B3" s="10"/>
      <c r="C3" s="3"/>
      <c r="D3" s="1"/>
      <c r="E3" s="3"/>
      <c r="F3" s="3"/>
      <c r="G3" s="3"/>
      <c r="H3" s="3"/>
      <c r="I3" s="3"/>
      <c r="J3" s="3"/>
      <c r="K3" s="24"/>
      <c r="L3" s="24"/>
      <c r="M3" s="3"/>
      <c r="N3" s="3"/>
      <c r="O3" s="3"/>
      <c r="P3" s="3"/>
      <c r="Q3" s="3"/>
      <c r="R3" s="3"/>
      <c r="S3" s="3"/>
      <c r="T3" s="3"/>
      <c r="U3" s="3"/>
      <c r="V3" s="191"/>
      <c r="W3" s="24"/>
      <c r="X3" s="3"/>
      <c r="Y3" s="3"/>
      <c r="Z3" s="191"/>
      <c r="AA3" s="200"/>
      <c r="AB3" s="3"/>
      <c r="AC3" s="3"/>
      <c r="AD3" s="3"/>
      <c r="AE3" s="3"/>
      <c r="AF3" s="3"/>
      <c r="AG3" s="3"/>
      <c r="AH3" s="12"/>
      <c r="AI3" s="3"/>
      <c r="AJ3" s="12"/>
      <c r="AK3" s="12"/>
      <c r="AL3" s="26"/>
      <c r="AM3" s="3"/>
      <c r="AN3" s="3"/>
      <c r="AO3" s="3"/>
      <c r="AP3" s="3"/>
      <c r="AQ3" s="3"/>
      <c r="AR3" s="3"/>
      <c r="AS3" s="24"/>
      <c r="AT3" s="24"/>
      <c r="AU3" s="3"/>
      <c r="AV3" s="11"/>
    </row>
    <row r="4" spans="1:83" s="19" customFormat="1" ht="18.75" customHeight="1" x14ac:dyDescent="0.3">
      <c r="A4" s="31"/>
      <c r="B4" s="13"/>
      <c r="C4" s="211" t="str">
        <f>"WERKGEVERSLASTEN PO "&amp;tabellen!B1</f>
        <v>WERKGEVERSLASTEN PO 2020</v>
      </c>
      <c r="D4" s="14"/>
      <c r="E4" s="15"/>
      <c r="F4" s="15"/>
      <c r="G4" s="15"/>
      <c r="H4" s="15"/>
      <c r="I4" s="211" t="s">
        <v>228</v>
      </c>
      <c r="J4" s="15"/>
      <c r="K4" s="15"/>
      <c r="L4" s="15"/>
      <c r="M4" s="15"/>
      <c r="N4" s="212"/>
      <c r="O4" s="213">
        <f>AS11</f>
        <v>0.61033665737131093</v>
      </c>
      <c r="P4" s="15"/>
      <c r="Q4" s="15"/>
      <c r="R4" s="15"/>
      <c r="S4" s="15"/>
      <c r="T4" s="15"/>
      <c r="U4" s="15"/>
      <c r="V4" s="17"/>
      <c r="W4" s="15"/>
      <c r="X4" s="222"/>
      <c r="Y4" s="15"/>
      <c r="Z4" s="17"/>
      <c r="AA4" s="201"/>
      <c r="AB4" s="15"/>
      <c r="AC4" s="15"/>
      <c r="AD4" s="15"/>
      <c r="AE4" s="15"/>
      <c r="AF4" s="15"/>
      <c r="AG4" s="15"/>
      <c r="AH4" s="18"/>
      <c r="AI4" s="15"/>
      <c r="AJ4" s="18"/>
      <c r="AK4" s="18"/>
      <c r="AL4" s="27"/>
      <c r="AM4" s="15"/>
      <c r="AN4" s="15"/>
      <c r="AO4" s="15"/>
      <c r="AP4" s="15"/>
      <c r="AQ4" s="15"/>
      <c r="AR4" s="15"/>
      <c r="AS4" s="15"/>
      <c r="AT4" s="15"/>
      <c r="AU4" s="15"/>
      <c r="AV4" s="16"/>
      <c r="AW4" s="31"/>
      <c r="AX4" s="31"/>
      <c r="AY4" s="38"/>
      <c r="AZ4" s="38"/>
      <c r="BA4" s="38"/>
      <c r="BB4" s="38"/>
      <c r="BC4" s="38"/>
      <c r="BD4" s="38"/>
      <c r="BE4" s="38"/>
      <c r="BF4" s="38"/>
      <c r="BG4" s="38"/>
      <c r="BH4" s="38"/>
      <c r="BI4" s="38"/>
      <c r="BJ4" s="38"/>
      <c r="BK4" s="38"/>
      <c r="BL4" s="38"/>
      <c r="BM4" s="223"/>
      <c r="BN4" s="38"/>
      <c r="BO4" s="38"/>
      <c r="BP4" s="38"/>
      <c r="BQ4" s="38"/>
      <c r="BR4" s="38"/>
      <c r="BS4" s="38"/>
      <c r="BT4" s="38"/>
      <c r="BU4" s="39"/>
      <c r="BV4" s="39"/>
      <c r="BW4" s="39"/>
      <c r="BX4" s="38"/>
      <c r="BY4" s="38"/>
      <c r="BZ4" s="38"/>
      <c r="CA4" s="38"/>
      <c r="CB4" s="38"/>
      <c r="CC4" s="38"/>
      <c r="CD4" s="31"/>
      <c r="CE4" s="31"/>
    </row>
    <row r="5" spans="1:83" ht="13.5" customHeight="1" x14ac:dyDescent="0.25">
      <c r="B5" s="10"/>
      <c r="C5" s="21" t="str">
        <f>wgl!C5</f>
        <v xml:space="preserve"> vanaf 1 januari 2020</v>
      </c>
      <c r="D5" s="1"/>
      <c r="E5" s="3"/>
      <c r="F5" s="3"/>
      <c r="G5" s="3"/>
      <c r="H5" s="3"/>
      <c r="I5" s="3"/>
      <c r="J5" s="3"/>
      <c r="K5" s="24"/>
      <c r="L5" s="24"/>
      <c r="M5" s="3"/>
      <c r="N5" s="3"/>
      <c r="O5" s="3"/>
      <c r="P5" s="3"/>
      <c r="Q5" s="3"/>
      <c r="R5" s="3"/>
      <c r="S5" s="3"/>
      <c r="T5" s="3"/>
      <c r="U5" s="3"/>
      <c r="V5" s="381"/>
      <c r="W5" s="24"/>
      <c r="X5" s="3"/>
      <c r="Y5" s="3"/>
      <c r="Z5" s="191"/>
      <c r="AA5" s="200"/>
      <c r="AB5" s="3"/>
      <c r="AC5" s="3"/>
      <c r="AD5" s="3"/>
      <c r="AE5" s="3"/>
      <c r="AF5" s="3"/>
      <c r="AG5" s="3"/>
      <c r="AH5" s="12"/>
      <c r="AI5" s="3"/>
      <c r="AJ5" s="12"/>
      <c r="AK5" s="12"/>
      <c r="AL5" s="26"/>
      <c r="AM5" s="3"/>
      <c r="AN5" s="3"/>
      <c r="AO5" s="3"/>
      <c r="AP5" s="3"/>
      <c r="AQ5" s="3"/>
      <c r="AR5" s="3"/>
      <c r="AS5" s="24"/>
      <c r="AT5" s="24"/>
      <c r="AU5" s="3"/>
      <c r="AV5" s="11"/>
    </row>
    <row r="6" spans="1:83" s="124" customFormat="1" ht="12" customHeight="1" x14ac:dyDescent="0.2">
      <c r="A6" s="113"/>
      <c r="B6" s="114"/>
      <c r="C6" s="218"/>
      <c r="D6" s="115"/>
      <c r="E6" s="218"/>
      <c r="F6" s="218"/>
      <c r="G6" s="218"/>
      <c r="H6" s="218"/>
      <c r="I6" s="218"/>
      <c r="J6" s="218"/>
      <c r="K6" s="218"/>
      <c r="L6" s="218"/>
      <c r="M6" s="218"/>
      <c r="N6" s="218"/>
      <c r="O6" s="218"/>
      <c r="P6" s="218"/>
      <c r="Q6" s="218"/>
      <c r="R6" s="218"/>
      <c r="S6" s="218"/>
      <c r="T6" s="380"/>
      <c r="U6" s="380"/>
      <c r="V6" s="192" t="s">
        <v>336</v>
      </c>
      <c r="W6" s="218"/>
      <c r="X6" s="218"/>
      <c r="Y6" s="218"/>
      <c r="Z6" s="117"/>
      <c r="AA6" s="202"/>
      <c r="AB6" s="218"/>
      <c r="AC6" s="218"/>
      <c r="AD6" s="218"/>
      <c r="AE6" s="218"/>
      <c r="AF6" s="218"/>
      <c r="AG6" s="218"/>
      <c r="AH6" s="119"/>
      <c r="AI6" s="218"/>
      <c r="AJ6" s="119"/>
      <c r="AK6" s="119"/>
      <c r="AL6" s="120"/>
      <c r="AM6" s="218"/>
      <c r="AN6" s="218"/>
      <c r="AO6" s="218"/>
      <c r="AP6" s="218"/>
      <c r="AQ6" s="218"/>
      <c r="AR6" s="218"/>
      <c r="AS6" s="218"/>
      <c r="AT6" s="218"/>
      <c r="AU6" s="218"/>
      <c r="AV6" s="121"/>
      <c r="AW6" s="113"/>
      <c r="AX6" s="113"/>
      <c r="AY6" s="122"/>
      <c r="AZ6" s="122"/>
      <c r="BA6" s="122"/>
      <c r="BB6" s="122"/>
      <c r="BC6" s="122"/>
      <c r="BD6" s="122"/>
      <c r="BE6" s="122"/>
      <c r="BF6" s="122"/>
      <c r="BG6" s="122"/>
      <c r="BH6" s="122"/>
      <c r="BI6" s="122"/>
      <c r="BJ6" s="122"/>
      <c r="BK6" s="122"/>
      <c r="BL6" s="122"/>
      <c r="BM6" s="122"/>
      <c r="BN6" s="122"/>
      <c r="BO6" s="122"/>
      <c r="BP6" s="122"/>
      <c r="BQ6" s="122"/>
      <c r="BR6" s="122"/>
      <c r="BS6" s="122"/>
      <c r="BT6" s="122"/>
      <c r="BU6" s="123"/>
      <c r="BV6" s="123"/>
      <c r="BW6" s="123"/>
      <c r="BX6" s="122"/>
      <c r="BY6" s="122"/>
      <c r="BZ6" s="122"/>
      <c r="CA6" s="122"/>
      <c r="CB6" s="122"/>
      <c r="CC6" s="122"/>
      <c r="CD6" s="113"/>
      <c r="CE6" s="113"/>
    </row>
    <row r="7" spans="1:83" s="133" customFormat="1" ht="12" customHeight="1" x14ac:dyDescent="0.2">
      <c r="A7" s="125"/>
      <c r="B7" s="126"/>
      <c r="C7" s="127"/>
      <c r="D7" s="127"/>
      <c r="E7" s="127"/>
      <c r="F7" s="128"/>
      <c r="G7" s="127"/>
      <c r="H7" s="127"/>
      <c r="I7" s="127"/>
      <c r="J7" s="127"/>
      <c r="K7" s="127"/>
      <c r="L7" s="127"/>
      <c r="M7" s="127"/>
      <c r="N7" s="218"/>
      <c r="O7" s="127"/>
      <c r="P7" s="128"/>
      <c r="Q7"/>
      <c r="R7" s="127"/>
      <c r="S7" s="127"/>
      <c r="T7" s="127"/>
      <c r="U7" s="127"/>
      <c r="V7" s="416">
        <v>110111</v>
      </c>
      <c r="W7" s="127"/>
      <c r="X7" s="130"/>
      <c r="Y7" s="127"/>
      <c r="Z7" s="196"/>
      <c r="AA7" s="203"/>
      <c r="AB7" s="127"/>
      <c r="AC7" s="127"/>
      <c r="AD7" s="127"/>
      <c r="AE7" s="127"/>
      <c r="AF7" s="118"/>
      <c r="AG7" s="118"/>
      <c r="AH7" s="119"/>
      <c r="AI7" s="127"/>
      <c r="AJ7" s="119"/>
      <c r="AK7" s="119"/>
      <c r="AL7" s="129"/>
      <c r="AM7" s="127"/>
      <c r="AN7" s="127"/>
      <c r="AO7" s="127"/>
      <c r="AP7" s="130"/>
      <c r="AQ7" s="130"/>
      <c r="AR7" s="127"/>
      <c r="AS7" s="127"/>
      <c r="AT7" s="127"/>
      <c r="AU7" s="127"/>
      <c r="AV7" s="131"/>
      <c r="AW7" s="125"/>
      <c r="AX7" s="125"/>
      <c r="AY7" s="122"/>
      <c r="AZ7" s="122"/>
      <c r="BA7" s="122"/>
      <c r="BB7" s="122"/>
      <c r="BC7" s="122"/>
      <c r="BD7" s="122"/>
      <c r="BE7" s="122"/>
      <c r="BF7" s="122"/>
      <c r="BG7" s="122"/>
      <c r="BH7" s="122"/>
      <c r="BI7" s="122"/>
      <c r="BJ7" s="122"/>
      <c r="BK7" s="122"/>
      <c r="BL7" s="122"/>
      <c r="BM7" s="122"/>
      <c r="BN7" s="122"/>
      <c r="BO7" s="122"/>
      <c r="BP7" s="122"/>
      <c r="BQ7" s="122"/>
      <c r="BR7" s="122"/>
      <c r="BS7" s="122"/>
      <c r="BT7" s="122"/>
      <c r="BU7" s="132"/>
      <c r="BV7" s="132"/>
      <c r="BW7" s="123"/>
      <c r="BX7" s="122"/>
      <c r="BY7" s="122"/>
      <c r="BZ7" s="122"/>
      <c r="CA7" s="122"/>
      <c r="CB7" s="122"/>
      <c r="CC7" s="122"/>
      <c r="CD7" s="125"/>
      <c r="CE7" s="125"/>
    </row>
    <row r="8" spans="1:83" s="124" customFormat="1" ht="12" customHeight="1" x14ac:dyDescent="0.2">
      <c r="A8" s="113"/>
      <c r="B8" s="114"/>
      <c r="C8" s="218"/>
      <c r="D8" s="115" t="s">
        <v>176</v>
      </c>
      <c r="E8" s="218" t="s">
        <v>173</v>
      </c>
      <c r="F8" s="428" t="s">
        <v>117</v>
      </c>
      <c r="G8" s="428"/>
      <c r="H8" s="218" t="s">
        <v>88</v>
      </c>
      <c r="I8" s="218" t="s">
        <v>177</v>
      </c>
      <c r="J8" s="218" t="s">
        <v>33</v>
      </c>
      <c r="K8" s="218" t="s">
        <v>115</v>
      </c>
      <c r="L8" s="116" t="s">
        <v>211</v>
      </c>
      <c r="M8" s="218"/>
      <c r="N8" s="218" t="s">
        <v>120</v>
      </c>
      <c r="O8" s="218" t="s">
        <v>122</v>
      </c>
      <c r="P8" s="218" t="s">
        <v>118</v>
      </c>
      <c r="Q8" s="218" t="s">
        <v>106</v>
      </c>
      <c r="R8" s="218" t="s">
        <v>122</v>
      </c>
      <c r="S8" s="218" t="s">
        <v>174</v>
      </c>
      <c r="T8" s="380" t="s">
        <v>297</v>
      </c>
      <c r="U8" s="218" t="s">
        <v>319</v>
      </c>
      <c r="V8" s="117" t="s">
        <v>112</v>
      </c>
      <c r="W8" s="197">
        <v>8.0000000000000002E-3</v>
      </c>
      <c r="X8" s="194" t="s">
        <v>207</v>
      </c>
      <c r="Y8" s="218"/>
      <c r="Z8" s="117" t="s">
        <v>98</v>
      </c>
      <c r="AA8" s="204" t="s">
        <v>110</v>
      </c>
      <c r="AB8" s="218"/>
      <c r="AC8" s="218" t="s">
        <v>26</v>
      </c>
      <c r="AD8" s="218" t="s">
        <v>75</v>
      </c>
      <c r="AE8" s="134" t="s">
        <v>181</v>
      </c>
      <c r="AF8" s="135" t="s">
        <v>73</v>
      </c>
      <c r="AG8" s="136" t="s">
        <v>126</v>
      </c>
      <c r="AH8" s="137" t="s">
        <v>32</v>
      </c>
      <c r="AI8" s="218"/>
      <c r="AJ8" s="138" t="s">
        <v>33</v>
      </c>
      <c r="AK8" s="137" t="s">
        <v>34</v>
      </c>
      <c r="AL8" s="429" t="s">
        <v>256</v>
      </c>
      <c r="AM8" s="218"/>
      <c r="AN8" s="431" t="s">
        <v>257</v>
      </c>
      <c r="AO8" s="218"/>
      <c r="AP8" s="427" t="s">
        <v>182</v>
      </c>
      <c r="AQ8" s="427"/>
      <c r="AR8" s="218"/>
      <c r="AS8" s="116" t="s">
        <v>204</v>
      </c>
      <c r="AT8" s="116" t="s">
        <v>204</v>
      </c>
      <c r="AU8" s="218"/>
      <c r="AV8" s="121"/>
      <c r="AW8" s="113"/>
      <c r="AX8" s="113"/>
      <c r="AY8" s="122" t="s">
        <v>183</v>
      </c>
      <c r="AZ8" s="122" t="s">
        <v>183</v>
      </c>
      <c r="BA8" s="122" t="s">
        <v>183</v>
      </c>
      <c r="BB8" s="122" t="s">
        <v>183</v>
      </c>
      <c r="BC8" s="122" t="s">
        <v>124</v>
      </c>
      <c r="BD8" s="122" t="s">
        <v>99</v>
      </c>
      <c r="BE8" s="122" t="s">
        <v>183</v>
      </c>
      <c r="BF8" s="122" t="s">
        <v>183</v>
      </c>
      <c r="BG8" s="122" t="s">
        <v>183</v>
      </c>
      <c r="BH8" s="122" t="s">
        <v>183</v>
      </c>
      <c r="BI8" s="123" t="s">
        <v>26</v>
      </c>
      <c r="BJ8" s="123" t="s">
        <v>75</v>
      </c>
      <c r="BK8" s="123" t="s">
        <v>185</v>
      </c>
      <c r="BL8" s="123" t="s">
        <v>186</v>
      </c>
      <c r="BM8" s="123" t="s">
        <v>187</v>
      </c>
      <c r="BN8" s="123" t="s">
        <v>188</v>
      </c>
      <c r="BO8" s="123" t="s">
        <v>107</v>
      </c>
      <c r="BP8" s="123"/>
      <c r="BQ8" s="123"/>
      <c r="BR8" s="122"/>
      <c r="BS8" s="122" t="s">
        <v>335</v>
      </c>
      <c r="BT8" s="122"/>
      <c r="BU8" s="122"/>
      <c r="BV8" s="122"/>
      <c r="BW8" s="122"/>
      <c r="BX8" s="122"/>
      <c r="BY8" s="122"/>
      <c r="BZ8" s="122"/>
      <c r="CA8" s="122"/>
      <c r="CB8" s="122"/>
      <c r="CC8" s="122"/>
      <c r="CD8" s="113"/>
      <c r="CE8" s="125"/>
    </row>
    <row r="9" spans="1:83" s="124" customFormat="1" ht="12" customHeight="1" x14ac:dyDescent="0.2">
      <c r="A9" s="113"/>
      <c r="B9" s="114"/>
      <c r="C9" s="218"/>
      <c r="D9" s="115"/>
      <c r="E9" s="218"/>
      <c r="F9" s="417" t="s">
        <v>15</v>
      </c>
      <c r="G9" s="417" t="s">
        <v>16</v>
      </c>
      <c r="H9" s="218"/>
      <c r="I9" s="218" t="s">
        <v>40</v>
      </c>
      <c r="J9" s="218"/>
      <c r="K9" s="218" t="s">
        <v>116</v>
      </c>
      <c r="L9" s="117" t="s">
        <v>210</v>
      </c>
      <c r="M9" s="218"/>
      <c r="N9" s="218" t="s">
        <v>121</v>
      </c>
      <c r="O9" s="218" t="s">
        <v>121</v>
      </c>
      <c r="P9" s="218" t="s">
        <v>119</v>
      </c>
      <c r="Q9" s="218" t="s">
        <v>318</v>
      </c>
      <c r="R9" s="218" t="s">
        <v>123</v>
      </c>
      <c r="S9" s="218" t="s">
        <v>175</v>
      </c>
      <c r="T9" s="380" t="s">
        <v>298</v>
      </c>
      <c r="U9" s="219" t="s">
        <v>320</v>
      </c>
      <c r="V9" s="117" t="s">
        <v>113</v>
      </c>
      <c r="W9" s="218" t="s">
        <v>111</v>
      </c>
      <c r="X9" s="195" t="s">
        <v>205</v>
      </c>
      <c r="Y9" s="218"/>
      <c r="Z9" s="117" t="s">
        <v>31</v>
      </c>
      <c r="AA9" s="204" t="s">
        <v>111</v>
      </c>
      <c r="AB9" s="218"/>
      <c r="AC9" s="218"/>
      <c r="AD9" s="218"/>
      <c r="AE9" s="134" t="s">
        <v>180</v>
      </c>
      <c r="AF9" s="134" t="s">
        <v>361</v>
      </c>
      <c r="AG9" s="134" t="s">
        <v>27</v>
      </c>
      <c r="AH9" s="120"/>
      <c r="AI9" s="218"/>
      <c r="AJ9" s="137"/>
      <c r="AK9" s="137"/>
      <c r="AL9" s="429"/>
      <c r="AM9" s="218"/>
      <c r="AN9" s="431"/>
      <c r="AO9" s="218"/>
      <c r="AP9" s="139" t="s">
        <v>31</v>
      </c>
      <c r="AQ9" s="139" t="s">
        <v>114</v>
      </c>
      <c r="AR9" s="218"/>
      <c r="AS9" s="116" t="s">
        <v>208</v>
      </c>
      <c r="AT9" s="116" t="s">
        <v>209</v>
      </c>
      <c r="AU9" s="218"/>
      <c r="AV9" s="121"/>
      <c r="AW9" s="113"/>
      <c r="AX9" s="113"/>
      <c r="AY9" s="140">
        <f ca="1">NOW()</f>
        <v>43879.576672800926</v>
      </c>
      <c r="AZ9" s="122" t="s">
        <v>103</v>
      </c>
      <c r="BA9" s="122" t="s">
        <v>103</v>
      </c>
      <c r="BB9" s="122" t="s">
        <v>105</v>
      </c>
      <c r="BC9" s="141" t="s">
        <v>15</v>
      </c>
      <c r="BD9" s="122" t="s">
        <v>104</v>
      </c>
      <c r="BE9" s="122" t="s">
        <v>102</v>
      </c>
      <c r="BF9" s="122" t="s">
        <v>101</v>
      </c>
      <c r="BG9" s="132" t="s">
        <v>100</v>
      </c>
      <c r="BH9" s="122" t="s">
        <v>184</v>
      </c>
      <c r="BI9" s="122"/>
      <c r="BJ9" s="122"/>
      <c r="BK9" s="132" t="s">
        <v>181</v>
      </c>
      <c r="BL9" s="122" t="s">
        <v>109</v>
      </c>
      <c r="BM9" s="122" t="s">
        <v>55</v>
      </c>
      <c r="BN9" s="122" t="s">
        <v>27</v>
      </c>
      <c r="BO9" s="122" t="s">
        <v>108</v>
      </c>
      <c r="BP9" s="122"/>
      <c r="BQ9" s="122"/>
      <c r="BR9" s="122"/>
      <c r="BS9" s="122" t="s">
        <v>103</v>
      </c>
      <c r="BT9" s="122" t="s">
        <v>136</v>
      </c>
      <c r="BU9" s="122"/>
      <c r="BV9" s="122"/>
      <c r="BW9" s="122"/>
      <c r="BX9" s="122"/>
      <c r="BY9" s="122"/>
      <c r="BZ9" s="122"/>
      <c r="CA9" s="122"/>
      <c r="CB9" s="122"/>
      <c r="CC9" s="122"/>
      <c r="CD9" s="113"/>
      <c r="CE9" s="113"/>
    </row>
    <row r="10" spans="1:83" s="124" customFormat="1" ht="12" customHeight="1" x14ac:dyDescent="0.2">
      <c r="A10" s="113"/>
      <c r="B10" s="114"/>
      <c r="C10" s="218"/>
      <c r="D10" s="115"/>
      <c r="E10" s="218"/>
      <c r="F10" s="218"/>
      <c r="G10" s="218"/>
      <c r="H10" s="218"/>
      <c r="I10" s="218"/>
      <c r="J10" s="218"/>
      <c r="K10" s="218"/>
      <c r="L10" s="218"/>
      <c r="M10" s="218"/>
      <c r="N10" s="218"/>
      <c r="O10" s="218"/>
      <c r="P10" s="218"/>
      <c r="Q10" s="218"/>
      <c r="R10" s="218"/>
      <c r="S10" s="218"/>
      <c r="T10" s="380"/>
      <c r="U10" s="218"/>
      <c r="V10" s="117"/>
      <c r="W10" s="218"/>
      <c r="X10" s="116"/>
      <c r="Y10" s="218"/>
      <c r="Z10" s="117"/>
      <c r="AA10" s="205"/>
      <c r="AB10" s="218"/>
      <c r="AC10" s="218"/>
      <c r="AD10" s="218"/>
      <c r="AE10" s="218"/>
      <c r="AF10" s="218"/>
      <c r="AG10" s="218"/>
      <c r="AH10" s="119"/>
      <c r="AI10" s="218"/>
      <c r="AJ10" s="142"/>
      <c r="AK10" s="142"/>
      <c r="AL10" s="430"/>
      <c r="AM10" s="218"/>
      <c r="AN10" s="432"/>
      <c r="AO10" s="218"/>
      <c r="AP10" s="116"/>
      <c r="AQ10" s="116"/>
      <c r="AR10" s="218"/>
      <c r="AS10" s="218"/>
      <c r="AT10" s="218"/>
      <c r="AU10" s="218"/>
      <c r="AV10" s="121"/>
      <c r="AW10" s="113"/>
      <c r="AX10" s="113"/>
      <c r="AY10" s="140"/>
      <c r="AZ10" s="122"/>
      <c r="BA10" s="122"/>
      <c r="BB10" s="122" t="s">
        <v>169</v>
      </c>
      <c r="BC10" s="122"/>
      <c r="BD10" s="122"/>
      <c r="BE10" s="122"/>
      <c r="BF10" s="122"/>
      <c r="BG10" s="122"/>
      <c r="BH10" s="122"/>
      <c r="BI10" s="122"/>
      <c r="BJ10" s="122"/>
      <c r="BK10" s="122"/>
      <c r="BL10" s="122"/>
      <c r="BM10" s="122"/>
      <c r="BN10" s="122"/>
      <c r="BO10" s="122"/>
      <c r="BP10" s="122"/>
      <c r="BQ10" s="122"/>
      <c r="BR10" s="122"/>
      <c r="BS10" s="122"/>
      <c r="BT10" s="122"/>
      <c r="BU10" s="122"/>
      <c r="BV10" s="122"/>
      <c r="BW10" s="140"/>
      <c r="BX10" s="122"/>
      <c r="BY10" s="122"/>
      <c r="BZ10" s="122"/>
      <c r="CA10" s="122"/>
      <c r="CB10" s="122"/>
      <c r="CC10" s="122"/>
      <c r="CD10" s="113"/>
      <c r="CE10" s="113"/>
    </row>
    <row r="11" spans="1:83" s="124" customFormat="1" ht="12" customHeight="1" x14ac:dyDescent="0.2">
      <c r="A11" s="113"/>
      <c r="B11" s="114"/>
      <c r="C11" s="143"/>
      <c r="D11" s="144"/>
      <c r="E11" s="143"/>
      <c r="F11" s="143"/>
      <c r="G11" s="143"/>
      <c r="H11" s="143"/>
      <c r="I11" s="143"/>
      <c r="J11" s="143"/>
      <c r="K11" s="143"/>
      <c r="L11" s="154">
        <f>SUM(L12:L86)</f>
        <v>3976</v>
      </c>
      <c r="M11" s="143"/>
      <c r="N11" s="143"/>
      <c r="O11" s="143"/>
      <c r="P11" s="143"/>
      <c r="Q11" s="143"/>
      <c r="R11" s="143"/>
      <c r="S11" s="143"/>
      <c r="T11" s="143"/>
      <c r="U11" s="143"/>
      <c r="V11" s="145"/>
      <c r="W11" s="143"/>
      <c r="X11" s="154">
        <f>SUM(X12:X86)</f>
        <v>57304</v>
      </c>
      <c r="Y11" s="143"/>
      <c r="Z11" s="145"/>
      <c r="AA11" s="206"/>
      <c r="AB11" s="143"/>
      <c r="AC11" s="143"/>
      <c r="AD11" s="143"/>
      <c r="AE11" s="143"/>
      <c r="AF11" s="143"/>
      <c r="AG11" s="143"/>
      <c r="AH11" s="146"/>
      <c r="AI11" s="143"/>
      <c r="AJ11" s="147"/>
      <c r="AK11" s="147"/>
      <c r="AL11" s="148"/>
      <c r="AM11" s="143"/>
      <c r="AN11" s="143"/>
      <c r="AO11" s="143"/>
      <c r="AP11" s="154">
        <f>SUM(AP12:AP86)</f>
        <v>6402.6985497083324</v>
      </c>
      <c r="AQ11" s="154">
        <f>SUM(AQ12:AQ86)</f>
        <v>76832.382596499985</v>
      </c>
      <c r="AR11" s="143"/>
      <c r="AS11" s="156">
        <f>AP11/L11-1</f>
        <v>0.61033665737131093</v>
      </c>
      <c r="AT11" s="156">
        <f>(AP11/(X11/12))-1</f>
        <v>0.34078567982165286</v>
      </c>
      <c r="AU11" s="143"/>
      <c r="AV11" s="121"/>
      <c r="AW11" s="113"/>
      <c r="AX11" s="113"/>
      <c r="AY11" s="140"/>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13"/>
      <c r="CE11" s="113"/>
    </row>
    <row r="12" spans="1:83" s="124" customFormat="1" ht="12" customHeight="1" x14ac:dyDescent="0.2">
      <c r="A12" s="113"/>
      <c r="B12" s="114"/>
      <c r="C12" s="143"/>
      <c r="D12" s="149" t="s">
        <v>176</v>
      </c>
      <c r="E12" s="150">
        <v>25573</v>
      </c>
      <c r="F12" s="151" t="s">
        <v>165</v>
      </c>
      <c r="G12" s="151">
        <v>12</v>
      </c>
      <c r="H12" s="152">
        <v>1</v>
      </c>
      <c r="I12" s="151" t="s">
        <v>206</v>
      </c>
      <c r="J12" s="153">
        <v>3</v>
      </c>
      <c r="K12" s="173">
        <f>IF(F12="",0,(VLOOKUP('wgl tot'!F12,saltab2020,'wgl tot'!G12+1,FALSE)))</f>
        <v>3976</v>
      </c>
      <c r="L12" s="155">
        <f t="shared" ref="L12:L50" si="0">K12*H12</f>
        <v>3976</v>
      </c>
      <c r="M12" s="143"/>
      <c r="N12" s="173">
        <f>ROUND(IF(('wgl tot'!L12+'wgl tot'!P12)*BE12&lt;'wgl tot'!H12*tabellen!$D$44,'wgl tot'!H12*tabellen!$D$44,('wgl tot'!L12+'wgl tot'!P12)*BE12),2)</f>
        <v>318.08</v>
      </c>
      <c r="O12" s="173">
        <f>ROUND(+('wgl tot'!L12+'wgl tot'!P12)*BF12,2)</f>
        <v>250.49</v>
      </c>
      <c r="P12" s="173">
        <f>ROUND(IF(I12="j",VLOOKUP(BC12,uitlooptoeslag,2,FALSE))*IF('wgl tot'!H12&gt;1,1,'wgl tot'!H12),2)</f>
        <v>0</v>
      </c>
      <c r="Q12" s="173">
        <f>ROUND(IF(BH12="j",tabellen!$D$55*IF('wgl tot'!H12&gt;1,1,'wgl tot'!H12),0),2)</f>
        <v>0</v>
      </c>
      <c r="R12" s="173">
        <f>VLOOKUP(BG12,eindejaarsuitkering_OOP,2,TRUE)*'wgl tot'!H12/12</f>
        <v>0</v>
      </c>
      <c r="S12" s="173">
        <f>ROUND(H12*tabellen!$D$51,2)</f>
        <v>200</v>
      </c>
      <c r="T12" s="173">
        <f>ROUND(H12*tabellen!C$39,2)</f>
        <v>875</v>
      </c>
      <c r="U12" s="173">
        <f>33%*L12</f>
        <v>1312.0800000000002</v>
      </c>
      <c r="V12" s="174">
        <f t="shared" ref="V12:V43" si="1">ROUND(((SUM(L12:R12)*12)+S12),0)</f>
        <v>54735</v>
      </c>
      <c r="W12" s="173">
        <f>('wgl tot'!L12+'wgl tot'!P12)*tabellen!$C$37*12</f>
        <v>381.69600000000003</v>
      </c>
      <c r="X12" s="155">
        <f t="shared" ref="X12:X43" si="2">ROUND((SUM(L12:R12)*12+T12+U12+S12+W12),0)</f>
        <v>57304</v>
      </c>
      <c r="Y12" s="143"/>
      <c r="Z12" s="174">
        <f>X12/12</f>
        <v>4775.333333333333</v>
      </c>
      <c r="AA12" s="207">
        <f>+'wgl tot'!W12/12</f>
        <v>31.808000000000003</v>
      </c>
      <c r="AB12" s="143"/>
      <c r="AC12" s="173">
        <f>IF(F12="",0,(IF('wgl tot'!V12/'wgl tot'!H12&lt;tabellen!$E$6,0,('wgl tot'!V12-tabellen!$E$6*'wgl tot'!H12)/12)*tabellen!$C$6))</f>
        <v>588.77087500000005</v>
      </c>
      <c r="AD12" s="173">
        <f>IF(F12="",0,(IF('wgl tot'!V12/'wgl tot'!H12&lt;tabellen!$E$7,0,(+'wgl tot'!V12-tabellen!$E$7*'wgl tot'!H12)/12)*tabellen!$C$7))</f>
        <v>17.500875000000001</v>
      </c>
      <c r="AE12" s="173">
        <f>'wgl tot'!V12/12*tabellen!$C$8</f>
        <v>118.5925</v>
      </c>
      <c r="AF12" s="173">
        <f>IF(H12=0,0,IF(BM12&gt;tabellen!$G$9/12,tabellen!$G$9/12,BM12)*(tabellen!$C$9+tabellen!$C$10))</f>
        <v>382.46306880833328</v>
      </c>
      <c r="AG12" s="173">
        <f>IF(F12="",0,('wgl tot'!BN12))</f>
        <v>302.54000000000002</v>
      </c>
      <c r="AH12" s="175">
        <f>IF(F12="",0,(IF('wgl tot'!BM12&gt;tabellen!$G$12*'wgl tot'!H12/12,tabellen!$G$12*'wgl tot'!H12/12,'wgl tot'!BM12)*tabellen!$C$12))</f>
        <v>30.705417566666661</v>
      </c>
      <c r="AI12" s="143"/>
      <c r="AJ12" s="175">
        <f>IF(F12="",0,(L12+N12)*IF(J12=1,tabellen!$C$13,IF(J12=2,tabellen!$C$14,IF(J12=3,tabellen!$C$15,IF(J12=5,tabellen!$C$17,IF(J12=6,tabellen!$C$18,IF(J12=7,tabellen!$C$19,IF(J12=8,tabellen!$C$20,tabellen!$C$16))))))))</f>
        <v>6.4411199999999997</v>
      </c>
      <c r="AK12" s="175">
        <f>IF(F12="",0,((L12+N12)*tabellen!$C$21))</f>
        <v>180.35136</v>
      </c>
      <c r="AL12" s="224">
        <v>0</v>
      </c>
      <c r="AM12" s="143"/>
      <c r="AN12" s="224">
        <v>0</v>
      </c>
      <c r="AO12" s="143"/>
      <c r="AP12" s="155">
        <f t="shared" ref="AP12:AP23" si="3">SUM(Z12:AN12)-AA12</f>
        <v>6402.6985497083324</v>
      </c>
      <c r="AQ12" s="155">
        <f>AP12*12</f>
        <v>76832.382596499985</v>
      </c>
      <c r="AR12" s="143"/>
      <c r="AS12" s="179">
        <f t="shared" ref="AS12:AS43" si="4">IF(AP12=0,"",(AP12/L12-1))</f>
        <v>0.61033665737131093</v>
      </c>
      <c r="AT12" s="179">
        <f t="shared" ref="AT12:AT43" si="5">IF(AP12=0,"",(AP12/(X12/12))-1)</f>
        <v>0.34078567982165286</v>
      </c>
      <c r="AU12" s="143"/>
      <c r="AV12" s="121"/>
      <c r="AW12" s="113"/>
      <c r="AX12" s="113"/>
      <c r="AY12" s="157">
        <f ca="1">YEAR('wgl tot'!$AY$9)-YEAR('wgl tot'!E12)</f>
        <v>50</v>
      </c>
      <c r="AZ12" s="157">
        <f ca="1">MONTH('wgl tot'!$AY$9)-MONTH('wgl tot'!E12)</f>
        <v>1</v>
      </c>
      <c r="BA12" s="157">
        <f ca="1">DAY('wgl tot'!$AY$9)-DAY('wgl tot'!E12)</f>
        <v>13</v>
      </c>
      <c r="BB12" s="122">
        <f>IF(AND('wgl tot'!F12&gt;0,'wgl tot'!F12&lt;17),0,100)</f>
        <v>100</v>
      </c>
      <c r="BC12" s="122" t="str">
        <f t="shared" ref="BC12:BC43" si="6">F12</f>
        <v>L11</v>
      </c>
      <c r="BD12" s="140">
        <v>42583</v>
      </c>
      <c r="BE12" s="158">
        <f>tabellen!D42</f>
        <v>0.08</v>
      </c>
      <c r="BF12" s="159">
        <f>+tabellen!$D$45</f>
        <v>6.3E-2</v>
      </c>
      <c r="BG12" s="157">
        <f>IF('wgl tot'!BB12=100,0,'wgl tot'!F12)</f>
        <v>0</v>
      </c>
      <c r="BH12" s="159" t="str">
        <f>IF(OR('wgl tot'!F12="DA",'wgl tot'!F12="DB",'wgl tot'!F12="DBuit",'wgl tot'!F12="DC",'wgl tot'!F12="DCuit",MID('wgl tot'!F12,1,5)="meerh"),"j","n")</f>
        <v>n</v>
      </c>
      <c r="BI12" s="161">
        <f>IF('wgl tot'!V12/'wgl tot'!H12&lt;tabellen!$E$6,0,(+'wgl tot'!V12-tabellen!$E$6*'wgl tot'!H12)/12*tabellen!$D$6)</f>
        <v>252.330375</v>
      </c>
      <c r="BJ12" s="161">
        <f>IF('wgl tot'!V12/'wgl tot'!H12&lt;tabellen!$E$7,0,(+'wgl tot'!V12-tabellen!$E$7*'wgl tot'!H12)/12*tabellen!$D$7)</f>
        <v>7.500375</v>
      </c>
      <c r="BK12" s="161">
        <f>'wgl tot'!V12/12*tabellen!$D$8</f>
        <v>0</v>
      </c>
      <c r="BL12" s="162">
        <f t="shared" ref="BL12:BL24" si="7">SUM(BI12:BK12)</f>
        <v>259.83075000000002</v>
      </c>
      <c r="BM12" s="163">
        <f>+X12/12-'wgl tot'!BL12</f>
        <v>4515.502583333333</v>
      </c>
      <c r="BN12" s="163">
        <f>ROUND(IF('wgl tot'!BM12&gt;tabellen!$H$11,tabellen!$H$11,'wgl tot'!BM12)*tabellen!$C$11,2)</f>
        <v>302.54000000000002</v>
      </c>
      <c r="BO12" s="163">
        <f>+'wgl tot'!BM12+'wgl tot'!BN12</f>
        <v>4818.0425833333329</v>
      </c>
      <c r="BP12" s="164">
        <f t="shared" ref="BP12:BP43" si="8">YEAR(E12)</f>
        <v>1970</v>
      </c>
      <c r="BQ12" s="164">
        <f t="shared" ref="BQ12:BQ43" si="9">MONTH(E12)</f>
        <v>1</v>
      </c>
      <c r="BR12" s="157">
        <f t="shared" ref="BR12:BR43" si="10">DAY(E12)</f>
        <v>5</v>
      </c>
      <c r="BS12" s="140">
        <f>DATE(BP12+66,BQ12+4,BR12)</f>
        <v>49800</v>
      </c>
      <c r="BT12" s="140">
        <f ca="1">NOW()</f>
        <v>43879.576672800926</v>
      </c>
      <c r="BU12" s="122"/>
      <c r="BV12" s="140"/>
      <c r="BW12" s="122"/>
      <c r="BX12" s="160"/>
      <c r="BY12" s="160"/>
      <c r="BZ12" s="160"/>
      <c r="CA12" s="160"/>
      <c r="CB12" s="160"/>
      <c r="CC12" s="160"/>
      <c r="CD12" s="113"/>
      <c r="CE12" s="113"/>
    </row>
    <row r="13" spans="1:83" s="124" customFormat="1" ht="12" customHeight="1" x14ac:dyDescent="0.2">
      <c r="A13" s="113"/>
      <c r="B13" s="114"/>
      <c r="C13" s="143"/>
      <c r="D13" s="149"/>
      <c r="E13" s="150"/>
      <c r="F13" s="151"/>
      <c r="G13" s="151"/>
      <c r="H13" s="152"/>
      <c r="I13" s="151"/>
      <c r="J13" s="153"/>
      <c r="K13" s="173">
        <f>IF(F13="",0,(VLOOKUP('wgl tot'!F13,saltab2020,'wgl tot'!G13+1,FALSE)))</f>
        <v>0</v>
      </c>
      <c r="L13" s="155">
        <f t="shared" ref="L13:L23" si="11">K13*H13</f>
        <v>0</v>
      </c>
      <c r="M13" s="143"/>
      <c r="N13" s="173">
        <f>ROUND(IF(('wgl tot'!L13+'wgl tot'!P13)*BE13&lt;'wgl tot'!H13*tabellen!$D$44,'wgl tot'!H13*tabellen!$D$44,('wgl tot'!L13+'wgl tot'!P13)*BE13),2)</f>
        <v>0</v>
      </c>
      <c r="O13" s="173">
        <f>ROUND(+('wgl tot'!L13+'wgl tot'!P13)*BF13,2)</f>
        <v>0</v>
      </c>
      <c r="P13" s="173">
        <f>ROUND(IF(I13="j",VLOOKUP(BC13,uitlooptoeslag,2,FALSE))*IF('wgl tot'!H13&gt;1,1,'wgl tot'!H13),2)</f>
        <v>0</v>
      </c>
      <c r="Q13" s="173">
        <f>ROUND(IF(BH13="j",tabellen!$D$55*IF('wgl tot'!H13&gt;1,1,'wgl tot'!H13),0),2)</f>
        <v>0</v>
      </c>
      <c r="R13" s="173">
        <f>VLOOKUP(BG13,eindejaarsuitkering_OOP,2,TRUE)*'wgl tot'!H13/12</f>
        <v>0</v>
      </c>
      <c r="S13" s="173">
        <f>ROUND(H13*tabellen!$D$51,2)</f>
        <v>0</v>
      </c>
      <c r="T13" s="173">
        <f>ROUND(H13*tabellen!C$39,2)</f>
        <v>0</v>
      </c>
      <c r="U13" s="173">
        <f t="shared" ref="U13:U76" si="12">33%*L13</f>
        <v>0</v>
      </c>
      <c r="V13" s="174">
        <f t="shared" si="1"/>
        <v>0</v>
      </c>
      <c r="W13" s="173">
        <f>('wgl tot'!L13+'wgl tot'!P13)*tabellen!$C$37*12</f>
        <v>0</v>
      </c>
      <c r="X13" s="155">
        <f t="shared" si="2"/>
        <v>0</v>
      </c>
      <c r="Y13" s="143"/>
      <c r="Z13" s="174">
        <f t="shared" ref="Z13:Z23" si="13">X13/12</f>
        <v>0</v>
      </c>
      <c r="AA13" s="207">
        <f>+'wgl tot'!W13/12</f>
        <v>0</v>
      </c>
      <c r="AB13" s="143"/>
      <c r="AC13" s="173">
        <f>IF(F13="",0,(IF('wgl tot'!V13/'wgl tot'!H13&lt;tabellen!$E$6,0,('wgl tot'!V13-tabellen!$E$6*'wgl tot'!H13)/12)*tabellen!$C$6))</f>
        <v>0</v>
      </c>
      <c r="AD13" s="173">
        <f>IF(F13="",0,(IF('wgl tot'!V13/'wgl tot'!H13&lt;tabellen!$E$7,0,(+'wgl tot'!V13-tabellen!$E$7*'wgl tot'!H13)/12)*tabellen!$C$7))</f>
        <v>0</v>
      </c>
      <c r="AE13" s="173">
        <f>'wgl tot'!V13/12*tabellen!$C$8</f>
        <v>0</v>
      </c>
      <c r="AF13" s="173">
        <f>IF(H13=0,0,IF(BM13&gt;tabellen!$G$9/12,tabellen!$G$9/12,BM13)*(tabellen!$C$9+tabellen!$C$10))</f>
        <v>0</v>
      </c>
      <c r="AG13" s="173">
        <f>IF(F13="",0,('wgl tot'!BN13))</f>
        <v>0</v>
      </c>
      <c r="AH13" s="175">
        <f>IF(F13="",0,(IF('wgl tot'!BM13&gt;tabellen!$G$12*'wgl tot'!H13/12,tabellen!$G$12*'wgl tot'!H13/12,'wgl tot'!BM13)*tabellen!$C$12))</f>
        <v>0</v>
      </c>
      <c r="AI13" s="143"/>
      <c r="AJ13" s="175">
        <f>IF(F13="",0,(L13+N13)*IF(J13=1,tabellen!$C$13,IF(J13=2,tabellen!$C$14,IF(J13=3,tabellen!$C$15,IF(J13=5,tabellen!$C$17,IF(J13=6,tabellen!$C$18,IF(J13=7,tabellen!$C$19,IF(J13=8,tabellen!$C$20,tabellen!$C$16))))))))</f>
        <v>0</v>
      </c>
      <c r="AK13" s="175">
        <f>IF(F13="",0,((L13+N13)*tabellen!$C$21))</f>
        <v>0</v>
      </c>
      <c r="AL13" s="224">
        <v>0</v>
      </c>
      <c r="AM13" s="143"/>
      <c r="AN13" s="224">
        <v>0</v>
      </c>
      <c r="AO13" s="143"/>
      <c r="AP13" s="155">
        <f t="shared" si="3"/>
        <v>0</v>
      </c>
      <c r="AQ13" s="155">
        <f t="shared" ref="AQ13:AQ23" si="14">AP13*12</f>
        <v>0</v>
      </c>
      <c r="AR13" s="143"/>
      <c r="AS13" s="179" t="str">
        <f t="shared" si="4"/>
        <v/>
      </c>
      <c r="AT13" s="179" t="str">
        <f t="shared" ref="AT13:AT23" si="15">IF(AP13=0,"",(AP13/(X13/12))-1)</f>
        <v/>
      </c>
      <c r="AU13" s="143"/>
      <c r="AV13" s="121"/>
      <c r="AW13" s="113"/>
      <c r="AX13" s="113"/>
      <c r="AY13" s="157">
        <f ca="1">YEAR('wgl tot'!$AY$9)-YEAR('wgl tot'!E13)</f>
        <v>120</v>
      </c>
      <c r="AZ13" s="157">
        <f ca="1">MONTH('wgl tot'!$AY$9)-MONTH('wgl tot'!E13)</f>
        <v>1</v>
      </c>
      <c r="BA13" s="157">
        <f ca="1">DAY('wgl tot'!$AY$9)-DAY('wgl tot'!E13)</f>
        <v>18</v>
      </c>
      <c r="BB13" s="122">
        <f>IF(AND('wgl tot'!F13&gt;0,'wgl tot'!F13&lt;17),0,100)</f>
        <v>100</v>
      </c>
      <c r="BC13" s="122">
        <f t="shared" si="6"/>
        <v>0</v>
      </c>
      <c r="BD13" s="140">
        <v>42583</v>
      </c>
      <c r="BE13" s="158">
        <f>$BE$12</f>
        <v>0.08</v>
      </c>
      <c r="BF13" s="159">
        <f>+tabellen!$D$45</f>
        <v>6.3E-2</v>
      </c>
      <c r="BG13" s="157">
        <f>IF('wgl tot'!BB13=100,0,'wgl tot'!F13)</f>
        <v>0</v>
      </c>
      <c r="BH13" s="159" t="str">
        <f>IF(OR('wgl tot'!F13="DA",'wgl tot'!F13="DB",'wgl tot'!F13="DBuit",'wgl tot'!F13="DC",'wgl tot'!F13="DCuit",MID('wgl tot'!F13,1,5)="meerh"),"j","n")</f>
        <v>n</v>
      </c>
      <c r="BI13" s="161" t="e">
        <f>IF('wgl tot'!V13/'wgl tot'!H13&lt;tabellen!$E$6,0,(+'wgl tot'!V13-tabellen!$E$6*'wgl tot'!H13)/12*tabellen!$D$6)</f>
        <v>#DIV/0!</v>
      </c>
      <c r="BJ13" s="161" t="e">
        <f>IF('wgl tot'!V13/'wgl tot'!H13&lt;tabellen!$E$7,0,(+'wgl tot'!V13-tabellen!$E$7*'wgl tot'!H13)/12*tabellen!$D$7)</f>
        <v>#DIV/0!</v>
      </c>
      <c r="BK13" s="161">
        <f>'wgl tot'!V13/12*tabellen!$D$8</f>
        <v>0</v>
      </c>
      <c r="BL13" s="162" t="e">
        <f t="shared" si="7"/>
        <v>#DIV/0!</v>
      </c>
      <c r="BM13" s="163" t="e">
        <f>+X13/12-'wgl tot'!BL13</f>
        <v>#DIV/0!</v>
      </c>
      <c r="BN13" s="163" t="e">
        <f>ROUND(IF('wgl tot'!BM13&gt;tabellen!$H$11,tabellen!$H$11,'wgl tot'!BM13)*tabellen!$C$11,2)</f>
        <v>#DIV/0!</v>
      </c>
      <c r="BO13" s="163" t="e">
        <f>+'wgl tot'!BM13+'wgl tot'!BN13</f>
        <v>#DIV/0!</v>
      </c>
      <c r="BP13" s="164">
        <f t="shared" si="8"/>
        <v>1900</v>
      </c>
      <c r="BQ13" s="164">
        <f t="shared" si="9"/>
        <v>1</v>
      </c>
      <c r="BR13" s="157">
        <f t="shared" si="10"/>
        <v>0</v>
      </c>
      <c r="BS13" s="140">
        <f t="shared" ref="BS13:BS76" si="16">DATE(BP13+66,BQ13+4,BR13)</f>
        <v>24227</v>
      </c>
      <c r="BT13" s="140">
        <f t="shared" ref="BT13:BT86" ca="1" si="17">NOW()</f>
        <v>43879.576672800926</v>
      </c>
      <c r="BU13" s="122"/>
      <c r="BV13" s="140"/>
      <c r="BW13" s="122"/>
      <c r="BX13" s="160"/>
      <c r="BY13" s="160"/>
      <c r="BZ13" s="160"/>
      <c r="CA13" s="160"/>
      <c r="CB13" s="160"/>
      <c r="CC13" s="160"/>
      <c r="CD13" s="113"/>
      <c r="CE13" s="113"/>
    </row>
    <row r="14" spans="1:83" s="124" customFormat="1" ht="12" customHeight="1" x14ac:dyDescent="0.2">
      <c r="A14" s="113"/>
      <c r="B14" s="114"/>
      <c r="C14" s="143"/>
      <c r="D14" s="149"/>
      <c r="E14" s="150"/>
      <c r="F14" s="151"/>
      <c r="G14" s="151"/>
      <c r="H14" s="152"/>
      <c r="I14" s="151"/>
      <c r="J14" s="153"/>
      <c r="K14" s="173">
        <f>IF(F14="",0,(VLOOKUP('wgl tot'!F14,saltab2020,'wgl tot'!G14+1,FALSE)))</f>
        <v>0</v>
      </c>
      <c r="L14" s="155">
        <f t="shared" si="11"/>
        <v>0</v>
      </c>
      <c r="M14" s="143"/>
      <c r="N14" s="173">
        <f>ROUND(IF(('wgl tot'!L14+'wgl tot'!P14)*BE14&lt;'wgl tot'!H14*tabellen!$D$44,'wgl tot'!H14*tabellen!$D$44,('wgl tot'!L14+'wgl tot'!P14)*BE14),2)</f>
        <v>0</v>
      </c>
      <c r="O14" s="173">
        <f>ROUND(+('wgl tot'!L14+'wgl tot'!P14)*BF14,2)</f>
        <v>0</v>
      </c>
      <c r="P14" s="173">
        <f>ROUND(IF(I14="j",VLOOKUP(BC14,uitlooptoeslag,2,FALSE))*IF('wgl tot'!H14&gt;1,1,'wgl tot'!H14),2)</f>
        <v>0</v>
      </c>
      <c r="Q14" s="173">
        <f>ROUND(IF(BH14="j",tabellen!$D$55*IF('wgl tot'!H14&gt;1,1,'wgl tot'!H14),0),2)</f>
        <v>0</v>
      </c>
      <c r="R14" s="173">
        <f>VLOOKUP(BG14,eindejaarsuitkering_OOP,2,TRUE)*'wgl tot'!H14/12</f>
        <v>0</v>
      </c>
      <c r="S14" s="173">
        <f>ROUND(H14*tabellen!$D$51,2)</f>
        <v>0</v>
      </c>
      <c r="T14" s="173">
        <f>ROUND(H14*tabellen!C$39,2)</f>
        <v>0</v>
      </c>
      <c r="U14" s="173">
        <f t="shared" si="12"/>
        <v>0</v>
      </c>
      <c r="V14" s="174">
        <f t="shared" si="1"/>
        <v>0</v>
      </c>
      <c r="W14" s="173">
        <f>('wgl tot'!L14+'wgl tot'!P14)*tabellen!$C$37*12</f>
        <v>0</v>
      </c>
      <c r="X14" s="155">
        <f t="shared" si="2"/>
        <v>0</v>
      </c>
      <c r="Y14" s="143"/>
      <c r="Z14" s="174">
        <f t="shared" si="13"/>
        <v>0</v>
      </c>
      <c r="AA14" s="207">
        <f>+'wgl tot'!W14/12</f>
        <v>0</v>
      </c>
      <c r="AB14" s="143"/>
      <c r="AC14" s="173">
        <f>IF(F14="",0,(IF('wgl tot'!V14/'wgl tot'!H14&lt;tabellen!$E$6,0,('wgl tot'!V14-tabellen!$E$6*'wgl tot'!H14)/12)*tabellen!$C$6))</f>
        <v>0</v>
      </c>
      <c r="AD14" s="173">
        <f>IF(F14="",0,(IF('wgl tot'!V14/'wgl tot'!H14&lt;tabellen!$E$7,0,(+'wgl tot'!V14-tabellen!$E$7*'wgl tot'!H14)/12)*tabellen!$C$7))</f>
        <v>0</v>
      </c>
      <c r="AE14" s="173">
        <f>'wgl tot'!V14/12*tabellen!$C$8</f>
        <v>0</v>
      </c>
      <c r="AF14" s="173">
        <f>IF(H14=0,0,IF(BM14&gt;tabellen!$G$9/12,tabellen!$G$9/12,BM14)*(tabellen!$C$9+tabellen!$C$10))</f>
        <v>0</v>
      </c>
      <c r="AG14" s="173">
        <f>IF(F14="",0,('wgl tot'!BN14))</f>
        <v>0</v>
      </c>
      <c r="AH14" s="175">
        <f>IF(F14="",0,(IF('wgl tot'!BM14&gt;tabellen!$G$12*'wgl tot'!H14/12,tabellen!$G$12*'wgl tot'!H14/12,'wgl tot'!BM14)*tabellen!$C$12))</f>
        <v>0</v>
      </c>
      <c r="AI14" s="143"/>
      <c r="AJ14" s="175">
        <f>IF(F14="",0,(L14+N14)*IF(J14=1,tabellen!$C$13,IF(J14=2,tabellen!$C$14,IF(J14=3,tabellen!$C$15,IF(J14=5,tabellen!$C$17,IF(J14=6,tabellen!$C$18,IF(J14=7,tabellen!$C$19,IF(J14=8,tabellen!$C$20,tabellen!$C$16))))))))</f>
        <v>0</v>
      </c>
      <c r="AK14" s="175">
        <f>IF(F14="",0,((L14+N14)*tabellen!$C$21))</f>
        <v>0</v>
      </c>
      <c r="AL14" s="224">
        <v>0</v>
      </c>
      <c r="AM14" s="143"/>
      <c r="AN14" s="224">
        <v>0</v>
      </c>
      <c r="AO14" s="143"/>
      <c r="AP14" s="155">
        <f t="shared" si="3"/>
        <v>0</v>
      </c>
      <c r="AQ14" s="155">
        <f t="shared" si="14"/>
        <v>0</v>
      </c>
      <c r="AR14" s="143"/>
      <c r="AS14" s="179" t="str">
        <f t="shared" si="4"/>
        <v/>
      </c>
      <c r="AT14" s="179" t="str">
        <f t="shared" si="15"/>
        <v/>
      </c>
      <c r="AU14" s="143"/>
      <c r="AV14" s="121"/>
      <c r="AW14" s="113"/>
      <c r="AX14" s="113"/>
      <c r="AY14" s="157">
        <f ca="1">YEAR('wgl tot'!$AY$9)-YEAR('wgl tot'!E14)</f>
        <v>120</v>
      </c>
      <c r="AZ14" s="157">
        <f ca="1">MONTH('wgl tot'!$AY$9)-MONTH('wgl tot'!E14)</f>
        <v>1</v>
      </c>
      <c r="BA14" s="157">
        <f ca="1">DAY('wgl tot'!$AY$9)-DAY('wgl tot'!E14)</f>
        <v>18</v>
      </c>
      <c r="BB14" s="122">
        <f>IF(AND('wgl tot'!F14&gt;0,'wgl tot'!F14&lt;17),0,100)</f>
        <v>100</v>
      </c>
      <c r="BC14" s="122">
        <f t="shared" si="6"/>
        <v>0</v>
      </c>
      <c r="BD14" s="140">
        <v>42583</v>
      </c>
      <c r="BE14" s="158">
        <f t="shared" ref="BE14:BE86" si="18">$BE$12</f>
        <v>0.08</v>
      </c>
      <c r="BF14" s="159">
        <f>+tabellen!$D$45</f>
        <v>6.3E-2</v>
      </c>
      <c r="BG14" s="157">
        <f>IF('wgl tot'!BB14=100,0,'wgl tot'!F14)</f>
        <v>0</v>
      </c>
      <c r="BH14" s="159" t="str">
        <f>IF(OR('wgl tot'!F14="DA",'wgl tot'!F14="DB",'wgl tot'!F14="DBuit",'wgl tot'!F14="DC",'wgl tot'!F14="DCuit",MID('wgl tot'!F14,1,5)="meerh"),"j","n")</f>
        <v>n</v>
      </c>
      <c r="BI14" s="161" t="e">
        <f>IF('wgl tot'!V14/'wgl tot'!H14&lt;tabellen!$E$6,0,(+'wgl tot'!V14-tabellen!$E$6*'wgl tot'!H14)/12*tabellen!$D$6)</f>
        <v>#DIV/0!</v>
      </c>
      <c r="BJ14" s="161" t="e">
        <f>IF('wgl tot'!V14/'wgl tot'!H14&lt;tabellen!$E$7,0,(+'wgl tot'!V14-tabellen!$E$7*'wgl tot'!H14)/12*tabellen!$D$7)</f>
        <v>#DIV/0!</v>
      </c>
      <c r="BK14" s="161">
        <f>'wgl tot'!V14/12*tabellen!$D$8</f>
        <v>0</v>
      </c>
      <c r="BL14" s="162" t="e">
        <f>SUM(BI14:BK14)</f>
        <v>#DIV/0!</v>
      </c>
      <c r="BM14" s="163" t="e">
        <f>+(X14)/12-'wgl tot'!BL14</f>
        <v>#DIV/0!</v>
      </c>
      <c r="BN14" s="163" t="e">
        <f>ROUND(IF('wgl tot'!BM14&gt;tabellen!$H$11,tabellen!$H$11,'wgl tot'!BM14)*tabellen!$C$11,2)</f>
        <v>#DIV/0!</v>
      </c>
      <c r="BO14" s="163" t="e">
        <f>+'wgl tot'!BM14+'wgl tot'!BN14</f>
        <v>#DIV/0!</v>
      </c>
      <c r="BP14" s="164">
        <f t="shared" si="8"/>
        <v>1900</v>
      </c>
      <c r="BQ14" s="164">
        <f t="shared" si="9"/>
        <v>1</v>
      </c>
      <c r="BR14" s="157">
        <f t="shared" si="10"/>
        <v>0</v>
      </c>
      <c r="BS14" s="140">
        <f t="shared" si="16"/>
        <v>24227</v>
      </c>
      <c r="BT14" s="140">
        <f t="shared" ca="1" si="17"/>
        <v>43879.576672800926</v>
      </c>
      <c r="BU14" s="122"/>
      <c r="BV14" s="140"/>
      <c r="BW14" s="122"/>
      <c r="BX14" s="160"/>
      <c r="BY14" s="160"/>
      <c r="BZ14" s="160"/>
      <c r="CA14" s="160"/>
      <c r="CB14" s="160"/>
      <c r="CC14" s="160"/>
      <c r="CD14" s="113"/>
      <c r="CE14" s="113"/>
    </row>
    <row r="15" spans="1:83" s="124" customFormat="1" ht="12" customHeight="1" x14ac:dyDescent="0.2">
      <c r="A15" s="113"/>
      <c r="B15" s="114"/>
      <c r="C15" s="143"/>
      <c r="D15" s="149"/>
      <c r="E15" s="150"/>
      <c r="F15" s="151"/>
      <c r="G15" s="151"/>
      <c r="H15" s="152"/>
      <c r="I15" s="151"/>
      <c r="J15" s="153"/>
      <c r="K15" s="173">
        <f>IF(F15="",0,(VLOOKUP('wgl tot'!F15,saltab2020,'wgl tot'!G15+1,FALSE)))</f>
        <v>0</v>
      </c>
      <c r="L15" s="155">
        <f t="shared" si="11"/>
        <v>0</v>
      </c>
      <c r="M15" s="143"/>
      <c r="N15" s="173">
        <f>ROUND(IF(('wgl tot'!L15+'wgl tot'!P15)*BE15&lt;'wgl tot'!H15*tabellen!$D$44,'wgl tot'!H15*tabellen!$D$44,('wgl tot'!L15+'wgl tot'!P15)*BE15),2)</f>
        <v>0</v>
      </c>
      <c r="O15" s="173">
        <f>ROUND(+('wgl tot'!L15+'wgl tot'!P15)*BF15,2)</f>
        <v>0</v>
      </c>
      <c r="P15" s="173">
        <f>ROUND(IF(I15="j",VLOOKUP(BC15,uitlooptoeslag,2,FALSE))*IF('wgl tot'!H15&gt;1,1,'wgl tot'!H15),2)</f>
        <v>0</v>
      </c>
      <c r="Q15" s="173">
        <f>ROUND(IF(BH15="j",tabellen!$D$55*IF('wgl tot'!H15&gt;1,1,'wgl tot'!H15),0),2)</f>
        <v>0</v>
      </c>
      <c r="R15" s="173">
        <f>VLOOKUP(BG15,eindejaarsuitkering_OOP,2,TRUE)*'wgl tot'!H15/12</f>
        <v>0</v>
      </c>
      <c r="S15" s="173">
        <f>ROUND(H15*tabellen!$D$51,2)</f>
        <v>0</v>
      </c>
      <c r="T15" s="173">
        <f>ROUND(H15*tabellen!C$39,2)</f>
        <v>0</v>
      </c>
      <c r="U15" s="173">
        <f t="shared" si="12"/>
        <v>0</v>
      </c>
      <c r="V15" s="174">
        <f t="shared" si="1"/>
        <v>0</v>
      </c>
      <c r="W15" s="173">
        <f>('wgl tot'!L15+'wgl tot'!P15)*tabellen!$C$37*12</f>
        <v>0</v>
      </c>
      <c r="X15" s="155">
        <f t="shared" si="2"/>
        <v>0</v>
      </c>
      <c r="Y15" s="143"/>
      <c r="Z15" s="174">
        <f t="shared" si="13"/>
        <v>0</v>
      </c>
      <c r="AA15" s="207">
        <f>+'wgl tot'!W15/12</f>
        <v>0</v>
      </c>
      <c r="AB15" s="143"/>
      <c r="AC15" s="173">
        <f>IF(F15="",0,(IF('wgl tot'!V15/'wgl tot'!H15&lt;tabellen!$E$6,0,('wgl tot'!V15-tabellen!$E$6*'wgl tot'!H15)/12)*tabellen!$C$6))</f>
        <v>0</v>
      </c>
      <c r="AD15" s="173">
        <f>IF(F15="",0,(IF('wgl tot'!V15/'wgl tot'!H15&lt;tabellen!$E$7,0,(+'wgl tot'!V15-tabellen!$E$7*'wgl tot'!H15)/12)*tabellen!$C$7))</f>
        <v>0</v>
      </c>
      <c r="AE15" s="173">
        <f>'wgl tot'!V15/12*tabellen!$C$8</f>
        <v>0</v>
      </c>
      <c r="AF15" s="173">
        <f>IF(H15=0,0,IF(BM15&gt;tabellen!$G$9/12,tabellen!$G$9/12,BM15)*(tabellen!$C$9+tabellen!$C$10))</f>
        <v>0</v>
      </c>
      <c r="AG15" s="173">
        <f>IF(F15="",0,('wgl tot'!BN15))</f>
        <v>0</v>
      </c>
      <c r="AH15" s="175">
        <f>IF(F15="",0,(IF('wgl tot'!BM15&gt;tabellen!$G$12*'wgl tot'!H15/12,tabellen!$G$12*'wgl tot'!H15/12,'wgl tot'!BM15)*tabellen!$C$12))</f>
        <v>0</v>
      </c>
      <c r="AI15" s="143"/>
      <c r="AJ15" s="175">
        <f>IF(F15="",0,(L15+N15)*IF(J15=1,tabellen!$C$13,IF(J15=2,tabellen!$C$14,IF(J15=3,tabellen!$C$15,IF(J15=5,tabellen!$C$17,IF(J15=6,tabellen!$C$18,IF(J15=7,tabellen!$C$19,IF(J15=8,tabellen!$C$20,tabellen!$C$16))))))))</f>
        <v>0</v>
      </c>
      <c r="AK15" s="175">
        <f>IF(F15="",0,((L15+N15)*tabellen!$C$21))</f>
        <v>0</v>
      </c>
      <c r="AL15" s="224">
        <v>0</v>
      </c>
      <c r="AM15" s="143"/>
      <c r="AN15" s="224">
        <v>0</v>
      </c>
      <c r="AO15" s="143"/>
      <c r="AP15" s="155">
        <f t="shared" si="3"/>
        <v>0</v>
      </c>
      <c r="AQ15" s="155">
        <f t="shared" si="14"/>
        <v>0</v>
      </c>
      <c r="AR15" s="143"/>
      <c r="AS15" s="179" t="str">
        <f t="shared" si="4"/>
        <v/>
      </c>
      <c r="AT15" s="179" t="str">
        <f t="shared" si="15"/>
        <v/>
      </c>
      <c r="AU15" s="143"/>
      <c r="AV15" s="121"/>
      <c r="AW15" s="113"/>
      <c r="AX15" s="113"/>
      <c r="AY15" s="157">
        <f ca="1">YEAR('wgl tot'!$AY$9)-YEAR('wgl tot'!E15)</f>
        <v>120</v>
      </c>
      <c r="AZ15" s="157">
        <f ca="1">MONTH('wgl tot'!$AY$9)-MONTH('wgl tot'!E15)</f>
        <v>1</v>
      </c>
      <c r="BA15" s="157">
        <f ca="1">DAY('wgl tot'!$AY$9)-DAY('wgl tot'!E15)</f>
        <v>18</v>
      </c>
      <c r="BB15" s="122">
        <f>IF(AND('wgl tot'!F15&gt;0,'wgl tot'!F15&lt;17),0,100)</f>
        <v>100</v>
      </c>
      <c r="BC15" s="122">
        <f t="shared" si="6"/>
        <v>0</v>
      </c>
      <c r="BD15" s="140">
        <v>42583</v>
      </c>
      <c r="BE15" s="158">
        <f t="shared" si="18"/>
        <v>0.08</v>
      </c>
      <c r="BF15" s="159">
        <f>+tabellen!$D$45</f>
        <v>6.3E-2</v>
      </c>
      <c r="BG15" s="157">
        <f>IF('wgl tot'!BB15=100,0,'wgl tot'!F15)</f>
        <v>0</v>
      </c>
      <c r="BH15" s="159" t="str">
        <f>IF(OR('wgl tot'!F15="DA",'wgl tot'!F15="DB",'wgl tot'!F15="DBuit",'wgl tot'!F15="DC",'wgl tot'!F15="DCuit",MID('wgl tot'!F15,1,5)="meerh"),"j","n")</f>
        <v>n</v>
      </c>
      <c r="BI15" s="161" t="e">
        <f>IF('wgl tot'!V15/'wgl tot'!H15&lt;tabellen!$E$6,0,(+'wgl tot'!V15-tabellen!$E$6*'wgl tot'!H15)/12*tabellen!$D$6)</f>
        <v>#DIV/0!</v>
      </c>
      <c r="BJ15" s="161" t="e">
        <f>IF('wgl tot'!V15/'wgl tot'!H15&lt;tabellen!$E$7,0,(+'wgl tot'!V15-tabellen!$E$7*'wgl tot'!H15)/12*tabellen!$D$7)</f>
        <v>#DIV/0!</v>
      </c>
      <c r="BK15" s="161">
        <f>'wgl tot'!V15/12*tabellen!$D$8</f>
        <v>0</v>
      </c>
      <c r="BL15" s="162" t="e">
        <f t="shared" si="7"/>
        <v>#DIV/0!</v>
      </c>
      <c r="BM15" s="163" t="e">
        <f>+X15/12-'wgl tot'!BL15</f>
        <v>#DIV/0!</v>
      </c>
      <c r="BN15" s="163" t="e">
        <f>ROUND(IF('wgl tot'!BM15&gt;tabellen!$H$11,tabellen!$H$11,'wgl tot'!BM15)*tabellen!$C$11,2)</f>
        <v>#DIV/0!</v>
      </c>
      <c r="BO15" s="163" t="e">
        <f>+'wgl tot'!BM15+'wgl tot'!BN15</f>
        <v>#DIV/0!</v>
      </c>
      <c r="BP15" s="164">
        <f t="shared" si="8"/>
        <v>1900</v>
      </c>
      <c r="BQ15" s="164">
        <f t="shared" si="9"/>
        <v>1</v>
      </c>
      <c r="BR15" s="157">
        <f t="shared" si="10"/>
        <v>0</v>
      </c>
      <c r="BS15" s="140">
        <f t="shared" si="16"/>
        <v>24227</v>
      </c>
      <c r="BT15" s="140">
        <f t="shared" ca="1" si="17"/>
        <v>43879.576672800926</v>
      </c>
      <c r="BU15" s="122"/>
      <c r="BV15" s="140"/>
      <c r="BW15" s="122"/>
      <c r="BX15" s="160"/>
      <c r="BY15" s="160"/>
      <c r="BZ15" s="160"/>
      <c r="CA15" s="160"/>
      <c r="CB15" s="160"/>
      <c r="CC15" s="160"/>
      <c r="CD15" s="113"/>
      <c r="CE15" s="113"/>
    </row>
    <row r="16" spans="1:83" s="124" customFormat="1" ht="12" customHeight="1" x14ac:dyDescent="0.2">
      <c r="A16" s="113"/>
      <c r="B16" s="114"/>
      <c r="C16" s="143"/>
      <c r="D16" s="149"/>
      <c r="E16" s="150"/>
      <c r="F16" s="151"/>
      <c r="G16" s="151"/>
      <c r="H16" s="152"/>
      <c r="I16" s="151"/>
      <c r="J16" s="153"/>
      <c r="K16" s="173">
        <f>IF(F16="",0,(VLOOKUP('wgl tot'!F16,saltab2020,'wgl tot'!G16+1,FALSE)))</f>
        <v>0</v>
      </c>
      <c r="L16" s="155">
        <f t="shared" si="11"/>
        <v>0</v>
      </c>
      <c r="M16" s="143"/>
      <c r="N16" s="173">
        <f>ROUND(IF(('wgl tot'!L16+'wgl tot'!P16)*BE16&lt;'wgl tot'!H16*tabellen!$D$44,'wgl tot'!H16*tabellen!$D$44,('wgl tot'!L16+'wgl tot'!P16)*BE16),2)</f>
        <v>0</v>
      </c>
      <c r="O16" s="173">
        <f>ROUND(+('wgl tot'!L16+'wgl tot'!P16)*BF16,2)</f>
        <v>0</v>
      </c>
      <c r="P16" s="173">
        <f>ROUND(IF(I16="j",VLOOKUP(BC16,uitlooptoeslag,2,FALSE))*IF('wgl tot'!H16&gt;1,1,'wgl tot'!H16),2)</f>
        <v>0</v>
      </c>
      <c r="Q16" s="173">
        <f>ROUND(IF(BH16="j",tabellen!$D$55*IF('wgl tot'!H16&gt;1,1,'wgl tot'!H16),0),2)</f>
        <v>0</v>
      </c>
      <c r="R16" s="173">
        <f>VLOOKUP(BG16,eindejaarsuitkering_OOP,2,TRUE)*'wgl tot'!H16/12</f>
        <v>0</v>
      </c>
      <c r="S16" s="173">
        <f>ROUND(H16*tabellen!$D$51,2)</f>
        <v>0</v>
      </c>
      <c r="T16" s="173">
        <f>ROUND(H16*tabellen!C$39,2)</f>
        <v>0</v>
      </c>
      <c r="U16" s="173">
        <f t="shared" si="12"/>
        <v>0</v>
      </c>
      <c r="V16" s="174">
        <f t="shared" si="1"/>
        <v>0</v>
      </c>
      <c r="W16" s="173">
        <f>('wgl tot'!L16+'wgl tot'!P16)*tabellen!$C$37*12</f>
        <v>0</v>
      </c>
      <c r="X16" s="155">
        <f t="shared" si="2"/>
        <v>0</v>
      </c>
      <c r="Y16" s="143"/>
      <c r="Z16" s="174">
        <f t="shared" si="13"/>
        <v>0</v>
      </c>
      <c r="AA16" s="207">
        <f>+'wgl tot'!W16/12</f>
        <v>0</v>
      </c>
      <c r="AB16" s="143"/>
      <c r="AC16" s="173">
        <f>IF(F16="",0,(IF('wgl tot'!V16/'wgl tot'!H16&lt;tabellen!$E$6,0,('wgl tot'!V16-tabellen!$E$6*'wgl tot'!H16)/12)*tabellen!$C$6))</f>
        <v>0</v>
      </c>
      <c r="AD16" s="173">
        <f>IF(F16="",0,(IF('wgl tot'!V16/'wgl tot'!H16&lt;tabellen!$E$7,0,(+'wgl tot'!V16-tabellen!$E$7*'wgl tot'!H16)/12)*tabellen!$C$7))</f>
        <v>0</v>
      </c>
      <c r="AE16" s="173">
        <f>'wgl tot'!V16/12*tabellen!$C$8</f>
        <v>0</v>
      </c>
      <c r="AF16" s="173">
        <f>IF(H16=0,0,IF(BM16&gt;tabellen!$G$9/12,tabellen!$G$9/12,BM16)*(tabellen!$C$9+tabellen!$C$10))</f>
        <v>0</v>
      </c>
      <c r="AG16" s="173">
        <f>IF(F16="",0,('wgl tot'!BN16))</f>
        <v>0</v>
      </c>
      <c r="AH16" s="175">
        <f>IF(F16="",0,(IF('wgl tot'!BM16&gt;tabellen!$G$12*'wgl tot'!H16/12,tabellen!$G$12*'wgl tot'!H16/12,'wgl tot'!BM16)*tabellen!$C$12))</f>
        <v>0</v>
      </c>
      <c r="AI16" s="143"/>
      <c r="AJ16" s="175">
        <f>IF(F16="",0,(L16+N16)*IF(J16=1,tabellen!$C$13,IF(J16=2,tabellen!$C$14,IF(J16=3,tabellen!$C$15,IF(J16=5,tabellen!$C$17,IF(J16=6,tabellen!$C$18,IF(J16=7,tabellen!$C$19,IF(J16=8,tabellen!$C$20,tabellen!$C$16))))))))</f>
        <v>0</v>
      </c>
      <c r="AK16" s="175">
        <f>IF(F16="",0,((L16+N16)*tabellen!$C$21))</f>
        <v>0</v>
      </c>
      <c r="AL16" s="224">
        <v>0</v>
      </c>
      <c r="AM16" s="143"/>
      <c r="AN16" s="224">
        <v>0</v>
      </c>
      <c r="AO16" s="143"/>
      <c r="AP16" s="155">
        <f t="shared" si="3"/>
        <v>0</v>
      </c>
      <c r="AQ16" s="155">
        <f t="shared" si="14"/>
        <v>0</v>
      </c>
      <c r="AR16" s="143"/>
      <c r="AS16" s="179" t="str">
        <f t="shared" si="4"/>
        <v/>
      </c>
      <c r="AT16" s="179" t="str">
        <f t="shared" si="15"/>
        <v/>
      </c>
      <c r="AU16" s="143"/>
      <c r="AV16" s="121"/>
      <c r="AW16" s="113"/>
      <c r="AX16" s="113"/>
      <c r="AY16" s="157">
        <f ca="1">YEAR('wgl tot'!$AY$9)-YEAR('wgl tot'!E16)</f>
        <v>120</v>
      </c>
      <c r="AZ16" s="157">
        <f ca="1">MONTH('wgl tot'!$AY$9)-MONTH('wgl tot'!E16)</f>
        <v>1</v>
      </c>
      <c r="BA16" s="157">
        <f ca="1">DAY('wgl tot'!$AY$9)-DAY('wgl tot'!E16)</f>
        <v>18</v>
      </c>
      <c r="BB16" s="122">
        <f>IF(AND('wgl tot'!F16&gt;0,'wgl tot'!F16&lt;17),0,100)</f>
        <v>100</v>
      </c>
      <c r="BC16" s="122">
        <f t="shared" si="6"/>
        <v>0</v>
      </c>
      <c r="BD16" s="140">
        <v>42583</v>
      </c>
      <c r="BE16" s="158">
        <f t="shared" si="18"/>
        <v>0.08</v>
      </c>
      <c r="BF16" s="159">
        <f>+tabellen!$D$45</f>
        <v>6.3E-2</v>
      </c>
      <c r="BG16" s="157">
        <f>IF('wgl tot'!BB16=100,0,'wgl tot'!F16)</f>
        <v>0</v>
      </c>
      <c r="BH16" s="159" t="str">
        <f>IF(OR('wgl tot'!F16="DA",'wgl tot'!F16="DB",'wgl tot'!F16="DBuit",'wgl tot'!F16="DC",'wgl tot'!F16="DCuit",MID('wgl tot'!F16,1,5)="meerh"),"j","n")</f>
        <v>n</v>
      </c>
      <c r="BI16" s="161" t="e">
        <f>IF('wgl tot'!V16/'wgl tot'!H16&lt;tabellen!$E$6,0,(+'wgl tot'!V16-tabellen!$E$6*'wgl tot'!H16)/12*tabellen!$D$6)</f>
        <v>#DIV/0!</v>
      </c>
      <c r="BJ16" s="161" t="e">
        <f>IF('wgl tot'!V16/'wgl tot'!H16&lt;tabellen!$E$7,0,(+'wgl tot'!V16-tabellen!$E$7*'wgl tot'!H16)/12*tabellen!$D$7)</f>
        <v>#DIV/0!</v>
      </c>
      <c r="BK16" s="161">
        <f>'wgl tot'!V16/12*tabellen!$D$8</f>
        <v>0</v>
      </c>
      <c r="BL16" s="162" t="e">
        <f t="shared" si="7"/>
        <v>#DIV/0!</v>
      </c>
      <c r="BM16" s="163" t="e">
        <f>+X16/12-'wgl tot'!BL16</f>
        <v>#DIV/0!</v>
      </c>
      <c r="BN16" s="163" t="e">
        <f>ROUND(IF('wgl tot'!BM16&gt;tabellen!$H$11,tabellen!$H$11,'wgl tot'!BM16)*tabellen!$C$11,2)</f>
        <v>#DIV/0!</v>
      </c>
      <c r="BO16" s="163" t="e">
        <f>+'wgl tot'!BM16+'wgl tot'!BN16</f>
        <v>#DIV/0!</v>
      </c>
      <c r="BP16" s="164">
        <f t="shared" si="8"/>
        <v>1900</v>
      </c>
      <c r="BQ16" s="164">
        <f t="shared" si="9"/>
        <v>1</v>
      </c>
      <c r="BR16" s="157">
        <f t="shared" si="10"/>
        <v>0</v>
      </c>
      <c r="BS16" s="140">
        <f t="shared" si="16"/>
        <v>24227</v>
      </c>
      <c r="BT16" s="140">
        <f t="shared" ca="1" si="17"/>
        <v>43879.576672800926</v>
      </c>
      <c r="BU16" s="122"/>
      <c r="BV16" s="140"/>
      <c r="BW16" s="122"/>
      <c r="BX16" s="160"/>
      <c r="BY16" s="160"/>
      <c r="BZ16" s="160"/>
      <c r="CA16" s="160"/>
      <c r="CB16" s="160"/>
      <c r="CC16" s="160"/>
      <c r="CD16" s="113"/>
      <c r="CE16" s="113"/>
    </row>
    <row r="17" spans="1:83" s="124" customFormat="1" ht="12" customHeight="1" x14ac:dyDescent="0.2">
      <c r="A17" s="113"/>
      <c r="B17" s="114"/>
      <c r="C17" s="143"/>
      <c r="D17" s="149"/>
      <c r="E17" s="150"/>
      <c r="F17" s="151"/>
      <c r="G17" s="151"/>
      <c r="H17" s="152"/>
      <c r="I17" s="151"/>
      <c r="J17" s="153"/>
      <c r="K17" s="173">
        <f>IF(F17="",0,(VLOOKUP('wgl tot'!F17,saltab2020,'wgl tot'!G17+1,FALSE)))</f>
        <v>0</v>
      </c>
      <c r="L17" s="155">
        <f t="shared" si="11"/>
        <v>0</v>
      </c>
      <c r="M17" s="143"/>
      <c r="N17" s="173">
        <f>ROUND(IF(('wgl tot'!L17+'wgl tot'!P17)*BE17&lt;'wgl tot'!H17*tabellen!$D$44,'wgl tot'!H17*tabellen!$D$44,('wgl tot'!L17+'wgl tot'!P17)*BE17),2)</f>
        <v>0</v>
      </c>
      <c r="O17" s="173">
        <f>ROUND(+('wgl tot'!L17+'wgl tot'!P17)*BF17,2)</f>
        <v>0</v>
      </c>
      <c r="P17" s="173">
        <f>ROUND(IF(I17="j",VLOOKUP(BC17,uitlooptoeslag,2,FALSE))*IF('wgl tot'!H17&gt;1,1,'wgl tot'!H17),2)</f>
        <v>0</v>
      </c>
      <c r="Q17" s="173">
        <f>ROUND(IF(BH17="j",tabellen!$D$55*IF('wgl tot'!H17&gt;1,1,'wgl tot'!H17),0),2)</f>
        <v>0</v>
      </c>
      <c r="R17" s="173">
        <f>VLOOKUP(BG17,eindejaarsuitkering_OOP,2,TRUE)*'wgl tot'!H17/12</f>
        <v>0</v>
      </c>
      <c r="S17" s="173">
        <f>ROUND(H17*tabellen!$D$51,2)</f>
        <v>0</v>
      </c>
      <c r="T17" s="173">
        <f>ROUND(H17*tabellen!C$39,2)</f>
        <v>0</v>
      </c>
      <c r="U17" s="173">
        <f t="shared" si="12"/>
        <v>0</v>
      </c>
      <c r="V17" s="174">
        <f t="shared" si="1"/>
        <v>0</v>
      </c>
      <c r="W17" s="173">
        <f>('wgl tot'!L17+'wgl tot'!P17)*tabellen!$C$37*12</f>
        <v>0</v>
      </c>
      <c r="X17" s="155">
        <f t="shared" si="2"/>
        <v>0</v>
      </c>
      <c r="Y17" s="143"/>
      <c r="Z17" s="174">
        <f t="shared" si="13"/>
        <v>0</v>
      </c>
      <c r="AA17" s="207">
        <f>+'wgl tot'!W17/12</f>
        <v>0</v>
      </c>
      <c r="AB17" s="143"/>
      <c r="AC17" s="173">
        <f>IF(F17="",0,(IF('wgl tot'!V17/'wgl tot'!H17&lt;tabellen!$E$6,0,('wgl tot'!V17-tabellen!$E$6*'wgl tot'!H17)/12)*tabellen!$C$6))</f>
        <v>0</v>
      </c>
      <c r="AD17" s="173">
        <f>IF(F17="",0,(IF('wgl tot'!V17/'wgl tot'!H17&lt;tabellen!$E$7,0,(+'wgl tot'!V17-tabellen!$E$7*'wgl tot'!H17)/12)*tabellen!$C$7))</f>
        <v>0</v>
      </c>
      <c r="AE17" s="173">
        <f>'wgl tot'!V17/12*tabellen!$C$8</f>
        <v>0</v>
      </c>
      <c r="AF17" s="173">
        <f>IF(H17=0,0,IF(BM17&gt;tabellen!$G$9/12,tabellen!$G$9/12,BM17)*(tabellen!$C$9+tabellen!$C$10))</f>
        <v>0</v>
      </c>
      <c r="AG17" s="173">
        <f>IF(F17="",0,('wgl tot'!BN17))</f>
        <v>0</v>
      </c>
      <c r="AH17" s="175">
        <f>IF(F17="",0,(IF('wgl tot'!BM17&gt;tabellen!$G$12*'wgl tot'!H17/12,tabellen!$G$12*'wgl tot'!H17/12,'wgl tot'!BM17)*tabellen!$C$12))</f>
        <v>0</v>
      </c>
      <c r="AI17" s="143"/>
      <c r="AJ17" s="175">
        <f>IF(F17="",0,(L17+N17)*IF(J17=1,tabellen!$C$13,IF(J17=2,tabellen!$C$14,IF(J17=3,tabellen!$C$15,IF(J17=5,tabellen!$C$17,IF(J17=6,tabellen!$C$18,IF(J17=7,tabellen!$C$19,IF(J17=8,tabellen!$C$20,tabellen!$C$16))))))))</f>
        <v>0</v>
      </c>
      <c r="AK17" s="175">
        <f>IF(F17="",0,((L17+N17)*tabellen!$C$21))</f>
        <v>0</v>
      </c>
      <c r="AL17" s="224">
        <v>0</v>
      </c>
      <c r="AM17" s="143"/>
      <c r="AN17" s="224">
        <v>0</v>
      </c>
      <c r="AO17" s="143"/>
      <c r="AP17" s="155">
        <f t="shared" si="3"/>
        <v>0</v>
      </c>
      <c r="AQ17" s="155">
        <f t="shared" si="14"/>
        <v>0</v>
      </c>
      <c r="AR17" s="143"/>
      <c r="AS17" s="179" t="str">
        <f t="shared" si="4"/>
        <v/>
      </c>
      <c r="AT17" s="179" t="str">
        <f t="shared" si="15"/>
        <v/>
      </c>
      <c r="AU17" s="143"/>
      <c r="AV17" s="121"/>
      <c r="AW17" s="113"/>
      <c r="AX17" s="113"/>
      <c r="AY17" s="157">
        <f ca="1">YEAR('wgl tot'!$AY$9)-YEAR('wgl tot'!E17)</f>
        <v>120</v>
      </c>
      <c r="AZ17" s="157">
        <f ca="1">MONTH('wgl tot'!$AY$9)-MONTH('wgl tot'!E17)</f>
        <v>1</v>
      </c>
      <c r="BA17" s="157">
        <f ca="1">DAY('wgl tot'!$AY$9)-DAY('wgl tot'!E17)</f>
        <v>18</v>
      </c>
      <c r="BB17" s="122">
        <f>IF(AND('wgl tot'!F17&gt;0,'wgl tot'!F17&lt;17),0,100)</f>
        <v>100</v>
      </c>
      <c r="BC17" s="122">
        <f t="shared" si="6"/>
        <v>0</v>
      </c>
      <c r="BD17" s="140">
        <v>42583</v>
      </c>
      <c r="BE17" s="158">
        <f t="shared" si="18"/>
        <v>0.08</v>
      </c>
      <c r="BF17" s="159">
        <f>+tabellen!$D$45</f>
        <v>6.3E-2</v>
      </c>
      <c r="BG17" s="157">
        <f>IF('wgl tot'!BB17=100,0,'wgl tot'!F17)</f>
        <v>0</v>
      </c>
      <c r="BH17" s="159" t="str">
        <f>IF(OR('wgl tot'!F17="DA",'wgl tot'!F17="DB",'wgl tot'!F17="DBuit",'wgl tot'!F17="DC",'wgl tot'!F17="DCuit",MID('wgl tot'!F17,1,5)="meerh"),"j","n")</f>
        <v>n</v>
      </c>
      <c r="BI17" s="161" t="e">
        <f>IF('wgl tot'!V17/'wgl tot'!H17&lt;tabellen!$E$6,0,(+'wgl tot'!V17-tabellen!$E$6*'wgl tot'!H17)/12*tabellen!$D$6)</f>
        <v>#DIV/0!</v>
      </c>
      <c r="BJ17" s="161" t="e">
        <f>IF('wgl tot'!V17/'wgl tot'!H17&lt;tabellen!$E$7,0,(+'wgl tot'!V17-tabellen!$E$7*'wgl tot'!H17)/12*tabellen!$D$7)</f>
        <v>#DIV/0!</v>
      </c>
      <c r="BK17" s="161">
        <f>'wgl tot'!V17/12*tabellen!$D$8</f>
        <v>0</v>
      </c>
      <c r="BL17" s="162" t="e">
        <f t="shared" si="7"/>
        <v>#DIV/0!</v>
      </c>
      <c r="BM17" s="163" t="e">
        <f>+X17/12-'wgl tot'!BL17</f>
        <v>#DIV/0!</v>
      </c>
      <c r="BN17" s="163" t="e">
        <f>ROUND(IF('wgl tot'!BM17&gt;tabellen!$H$11,tabellen!$H$11,'wgl tot'!BM17)*tabellen!$C$11,2)</f>
        <v>#DIV/0!</v>
      </c>
      <c r="BO17" s="163" t="e">
        <f>+'wgl tot'!BM17+'wgl tot'!BN17</f>
        <v>#DIV/0!</v>
      </c>
      <c r="BP17" s="164">
        <f t="shared" si="8"/>
        <v>1900</v>
      </c>
      <c r="BQ17" s="164">
        <f t="shared" si="9"/>
        <v>1</v>
      </c>
      <c r="BR17" s="157">
        <f t="shared" si="10"/>
        <v>0</v>
      </c>
      <c r="BS17" s="140">
        <f t="shared" si="16"/>
        <v>24227</v>
      </c>
      <c r="BT17" s="140">
        <f t="shared" ca="1" si="17"/>
        <v>43879.576672800926</v>
      </c>
      <c r="BU17" s="122"/>
      <c r="BV17" s="140"/>
      <c r="BW17" s="122"/>
      <c r="BX17" s="160"/>
      <c r="BY17" s="160"/>
      <c r="BZ17" s="160"/>
      <c r="CA17" s="160"/>
      <c r="CB17" s="160"/>
      <c r="CC17" s="160"/>
      <c r="CD17" s="113"/>
      <c r="CE17" s="113"/>
    </row>
    <row r="18" spans="1:83" s="124" customFormat="1" ht="12" customHeight="1" x14ac:dyDescent="0.2">
      <c r="A18" s="113"/>
      <c r="B18" s="114"/>
      <c r="C18" s="143"/>
      <c r="D18" s="149"/>
      <c r="E18" s="150"/>
      <c r="F18" s="151"/>
      <c r="G18" s="151"/>
      <c r="H18" s="152"/>
      <c r="I18" s="151"/>
      <c r="J18" s="153"/>
      <c r="K18" s="173">
        <f>IF(F18="",0,(VLOOKUP('wgl tot'!F18,saltab2020,'wgl tot'!G18+1,FALSE)))</f>
        <v>0</v>
      </c>
      <c r="L18" s="155">
        <f t="shared" si="11"/>
        <v>0</v>
      </c>
      <c r="M18" s="143"/>
      <c r="N18" s="173">
        <f>ROUND(IF(('wgl tot'!L18+'wgl tot'!P18)*BE18&lt;'wgl tot'!H18*tabellen!$D$44,'wgl tot'!H18*tabellen!$D$44,('wgl tot'!L18+'wgl tot'!P18)*BE18),2)</f>
        <v>0</v>
      </c>
      <c r="O18" s="173">
        <f>ROUND(+('wgl tot'!L18+'wgl tot'!P18)*BF18,2)</f>
        <v>0</v>
      </c>
      <c r="P18" s="173">
        <f>ROUND(IF(I18="j",VLOOKUP(BC18,uitlooptoeslag,2,FALSE))*IF('wgl tot'!H18&gt;1,1,'wgl tot'!H18),2)</f>
        <v>0</v>
      </c>
      <c r="Q18" s="173">
        <f>ROUND(IF(BH18="j",tabellen!$D$55*IF('wgl tot'!H18&gt;1,1,'wgl tot'!H18),0),2)</f>
        <v>0</v>
      </c>
      <c r="R18" s="173">
        <f>VLOOKUP(BG18,eindejaarsuitkering_OOP,2,TRUE)*'wgl tot'!H18/12</f>
        <v>0</v>
      </c>
      <c r="S18" s="173">
        <f>ROUND(H18*tabellen!$D$51,2)</f>
        <v>0</v>
      </c>
      <c r="T18" s="173">
        <f>ROUND(H18*tabellen!C$39,2)</f>
        <v>0</v>
      </c>
      <c r="U18" s="173">
        <f t="shared" si="12"/>
        <v>0</v>
      </c>
      <c r="V18" s="174">
        <f t="shared" si="1"/>
        <v>0</v>
      </c>
      <c r="W18" s="173">
        <f>('wgl tot'!L18+'wgl tot'!P18)*tabellen!$C$37*12</f>
        <v>0</v>
      </c>
      <c r="X18" s="155">
        <f t="shared" si="2"/>
        <v>0</v>
      </c>
      <c r="Y18" s="143"/>
      <c r="Z18" s="174">
        <f t="shared" si="13"/>
        <v>0</v>
      </c>
      <c r="AA18" s="207">
        <f>+'wgl tot'!W18/12</f>
        <v>0</v>
      </c>
      <c r="AB18" s="143"/>
      <c r="AC18" s="173">
        <f>IF(F18="",0,(IF('wgl tot'!V18/'wgl tot'!H18&lt;tabellen!$E$6,0,('wgl tot'!V18-tabellen!$E$6*'wgl tot'!H18)/12)*tabellen!$C$6))</f>
        <v>0</v>
      </c>
      <c r="AD18" s="173">
        <f>IF(F18="",0,(IF('wgl tot'!V18/'wgl tot'!H18&lt;tabellen!$E$7,0,(+'wgl tot'!V18-tabellen!$E$7*'wgl tot'!H18)/12)*tabellen!$C$7))</f>
        <v>0</v>
      </c>
      <c r="AE18" s="173">
        <f>'wgl tot'!V18/12*tabellen!$C$8</f>
        <v>0</v>
      </c>
      <c r="AF18" s="173">
        <f>IF(H18=0,0,IF(BM18&gt;tabellen!$G$9/12,tabellen!$G$9/12,BM18)*(tabellen!$C$9+tabellen!$C$10))</f>
        <v>0</v>
      </c>
      <c r="AG18" s="173">
        <f>IF(F18="",0,('wgl tot'!BN18))</f>
        <v>0</v>
      </c>
      <c r="AH18" s="175">
        <f>IF(F18="",0,(IF('wgl tot'!BM18&gt;tabellen!$G$12*'wgl tot'!H18/12,tabellen!$G$12*'wgl tot'!H18/12,'wgl tot'!BM18)*tabellen!$C$12))</f>
        <v>0</v>
      </c>
      <c r="AI18" s="143"/>
      <c r="AJ18" s="175">
        <f>IF(F18="",0,(L18+N18)*IF(J18=1,tabellen!$C$13,IF(J18=2,tabellen!$C$14,IF(J18=3,tabellen!$C$15,IF(J18=5,tabellen!$C$17,IF(J18=6,tabellen!$C$18,IF(J18=7,tabellen!$C$19,IF(J18=8,tabellen!$C$20,tabellen!$C$16))))))))</f>
        <v>0</v>
      </c>
      <c r="AK18" s="175">
        <f>IF(F18="",0,((L18+N18)*tabellen!$C$21))</f>
        <v>0</v>
      </c>
      <c r="AL18" s="224">
        <v>0</v>
      </c>
      <c r="AM18" s="143"/>
      <c r="AN18" s="224">
        <v>0</v>
      </c>
      <c r="AO18" s="143"/>
      <c r="AP18" s="155">
        <f t="shared" si="3"/>
        <v>0</v>
      </c>
      <c r="AQ18" s="155">
        <f t="shared" si="14"/>
        <v>0</v>
      </c>
      <c r="AR18" s="143"/>
      <c r="AS18" s="179" t="str">
        <f t="shared" si="4"/>
        <v/>
      </c>
      <c r="AT18" s="179" t="str">
        <f t="shared" si="15"/>
        <v/>
      </c>
      <c r="AU18" s="143"/>
      <c r="AV18" s="121"/>
      <c r="AW18" s="113"/>
      <c r="AX18" s="113"/>
      <c r="AY18" s="157">
        <f ca="1">YEAR('wgl tot'!$AY$9)-YEAR('wgl tot'!E18)</f>
        <v>120</v>
      </c>
      <c r="AZ18" s="157">
        <f ca="1">MONTH('wgl tot'!$AY$9)-MONTH('wgl tot'!E18)</f>
        <v>1</v>
      </c>
      <c r="BA18" s="157">
        <f ca="1">DAY('wgl tot'!$AY$9)-DAY('wgl tot'!E18)</f>
        <v>18</v>
      </c>
      <c r="BB18" s="122">
        <f>IF(AND('wgl tot'!F18&gt;0,'wgl tot'!F18&lt;17),0,100)</f>
        <v>100</v>
      </c>
      <c r="BC18" s="122">
        <f t="shared" si="6"/>
        <v>0</v>
      </c>
      <c r="BD18" s="140">
        <v>42583</v>
      </c>
      <c r="BE18" s="158">
        <f t="shared" si="18"/>
        <v>0.08</v>
      </c>
      <c r="BF18" s="159">
        <f>+tabellen!$D$45</f>
        <v>6.3E-2</v>
      </c>
      <c r="BG18" s="157">
        <f>IF('wgl tot'!BB18=100,0,'wgl tot'!F18)</f>
        <v>0</v>
      </c>
      <c r="BH18" s="159" t="str">
        <f>IF(OR('wgl tot'!F18="DA",'wgl tot'!F18="DB",'wgl tot'!F18="DBuit",'wgl tot'!F18="DC",'wgl tot'!F18="DCuit",MID('wgl tot'!F18,1,5)="meerh"),"j","n")</f>
        <v>n</v>
      </c>
      <c r="BI18" s="161" t="e">
        <f>IF('wgl tot'!V18/'wgl tot'!H18&lt;tabellen!$E$6,0,(+'wgl tot'!V18-tabellen!$E$6*'wgl tot'!H18)/12*tabellen!$D$6)</f>
        <v>#DIV/0!</v>
      </c>
      <c r="BJ18" s="161" t="e">
        <f>IF('wgl tot'!V18/'wgl tot'!H18&lt;tabellen!$E$7,0,(+'wgl tot'!V18-tabellen!$E$7*'wgl tot'!H18)/12*tabellen!$D$7)</f>
        <v>#DIV/0!</v>
      </c>
      <c r="BK18" s="161">
        <f>'wgl tot'!V18/12*tabellen!$D$8</f>
        <v>0</v>
      </c>
      <c r="BL18" s="162" t="e">
        <f t="shared" si="7"/>
        <v>#DIV/0!</v>
      </c>
      <c r="BM18" s="163" t="e">
        <f>+X18/12-'wgl tot'!BL18</f>
        <v>#DIV/0!</v>
      </c>
      <c r="BN18" s="163" t="e">
        <f>ROUND(IF('wgl tot'!BM18&gt;tabellen!$H$11,tabellen!$H$11,'wgl tot'!BM18)*tabellen!$C$11,2)</f>
        <v>#DIV/0!</v>
      </c>
      <c r="BO18" s="163" t="e">
        <f>+'wgl tot'!BM18+'wgl tot'!BN18</f>
        <v>#DIV/0!</v>
      </c>
      <c r="BP18" s="164">
        <f t="shared" si="8"/>
        <v>1900</v>
      </c>
      <c r="BQ18" s="164">
        <f t="shared" si="9"/>
        <v>1</v>
      </c>
      <c r="BR18" s="157">
        <f t="shared" si="10"/>
        <v>0</v>
      </c>
      <c r="BS18" s="140">
        <f t="shared" si="16"/>
        <v>24227</v>
      </c>
      <c r="BT18" s="140">
        <f t="shared" ca="1" si="17"/>
        <v>43879.576672800926</v>
      </c>
      <c r="BU18" s="122"/>
      <c r="BV18" s="140"/>
      <c r="BW18" s="122"/>
      <c r="BX18" s="160"/>
      <c r="BY18" s="160"/>
      <c r="BZ18" s="160"/>
      <c r="CA18" s="160"/>
      <c r="CB18" s="160"/>
      <c r="CC18" s="160"/>
      <c r="CD18" s="113"/>
      <c r="CE18" s="113"/>
    </row>
    <row r="19" spans="1:83" s="124" customFormat="1" ht="12" customHeight="1" x14ac:dyDescent="0.2">
      <c r="A19" s="113"/>
      <c r="B19" s="114"/>
      <c r="C19" s="143"/>
      <c r="D19" s="149"/>
      <c r="E19" s="150"/>
      <c r="F19" s="151"/>
      <c r="G19" s="151"/>
      <c r="H19" s="152"/>
      <c r="I19" s="151"/>
      <c r="J19" s="153"/>
      <c r="K19" s="173">
        <f>IF(F19="",0,(VLOOKUP('wgl tot'!F19,saltab2020,'wgl tot'!G19+1,FALSE)))</f>
        <v>0</v>
      </c>
      <c r="L19" s="155">
        <f t="shared" si="11"/>
        <v>0</v>
      </c>
      <c r="M19" s="143"/>
      <c r="N19" s="173">
        <f>ROUND(IF(('wgl tot'!L19+'wgl tot'!P19)*BE19&lt;'wgl tot'!H19*tabellen!$D$44,'wgl tot'!H19*tabellen!$D$44,('wgl tot'!L19+'wgl tot'!P19)*BE19),2)</f>
        <v>0</v>
      </c>
      <c r="O19" s="173">
        <f>ROUND(+('wgl tot'!L19+'wgl tot'!P19)*BF19,2)</f>
        <v>0</v>
      </c>
      <c r="P19" s="173">
        <f>ROUND(IF(I19="j",VLOOKUP(BC19,uitlooptoeslag,2,FALSE))*IF('wgl tot'!H19&gt;1,1,'wgl tot'!H19),2)</f>
        <v>0</v>
      </c>
      <c r="Q19" s="173">
        <f>ROUND(IF(BH19="j",tabellen!$D$55*IF('wgl tot'!H19&gt;1,1,'wgl tot'!H19),0),2)</f>
        <v>0</v>
      </c>
      <c r="R19" s="173">
        <f>VLOOKUP(BG19,eindejaarsuitkering_OOP,2,TRUE)*'wgl tot'!H19/12</f>
        <v>0</v>
      </c>
      <c r="S19" s="173">
        <f>ROUND(H19*tabellen!$D$51,2)</f>
        <v>0</v>
      </c>
      <c r="T19" s="173">
        <f>ROUND(H19*tabellen!C$39,2)</f>
        <v>0</v>
      </c>
      <c r="U19" s="173">
        <f t="shared" si="12"/>
        <v>0</v>
      </c>
      <c r="V19" s="174">
        <f t="shared" si="1"/>
        <v>0</v>
      </c>
      <c r="W19" s="173">
        <f>('wgl tot'!L19+'wgl tot'!P19)*tabellen!$C$37*12</f>
        <v>0</v>
      </c>
      <c r="X19" s="155">
        <f t="shared" si="2"/>
        <v>0</v>
      </c>
      <c r="Y19" s="143"/>
      <c r="Z19" s="174">
        <f t="shared" si="13"/>
        <v>0</v>
      </c>
      <c r="AA19" s="207">
        <f>+'wgl tot'!W19/12</f>
        <v>0</v>
      </c>
      <c r="AB19" s="143"/>
      <c r="AC19" s="173">
        <f>IF(F19="",0,(IF('wgl tot'!V19/'wgl tot'!H19&lt;tabellen!$E$6,0,('wgl tot'!V19-tabellen!$E$6*'wgl tot'!H19)/12)*tabellen!$C$6))</f>
        <v>0</v>
      </c>
      <c r="AD19" s="173">
        <f>IF(F19="",0,(IF('wgl tot'!V19/'wgl tot'!H19&lt;tabellen!$E$7,0,(+'wgl tot'!V19-tabellen!$E$7*'wgl tot'!H19)/12)*tabellen!$C$7))</f>
        <v>0</v>
      </c>
      <c r="AE19" s="173">
        <f>'wgl tot'!V19/12*tabellen!$C$8</f>
        <v>0</v>
      </c>
      <c r="AF19" s="173">
        <f>IF(H19=0,0,IF(BM19&gt;tabellen!$G$9/12,tabellen!$G$9/12,BM19)*(tabellen!$C$9+tabellen!$C$10))</f>
        <v>0</v>
      </c>
      <c r="AG19" s="173">
        <f>IF(F19="",0,('wgl tot'!BN19))</f>
        <v>0</v>
      </c>
      <c r="AH19" s="175">
        <f>IF(F19="",0,(IF('wgl tot'!BM19&gt;tabellen!$G$12*'wgl tot'!H19/12,tabellen!$G$12*'wgl tot'!H19/12,'wgl tot'!BM19)*tabellen!$C$12))</f>
        <v>0</v>
      </c>
      <c r="AI19" s="143"/>
      <c r="AJ19" s="175">
        <f>IF(F19="",0,(L19+N19)*IF(J19=1,tabellen!$C$13,IF(J19=2,tabellen!$C$14,IF(J19=3,tabellen!$C$15,IF(J19=5,tabellen!$C$17,IF(J19=6,tabellen!$C$18,IF(J19=7,tabellen!$C$19,IF(J19=8,tabellen!$C$20,tabellen!$C$16))))))))</f>
        <v>0</v>
      </c>
      <c r="AK19" s="175">
        <f>IF(F19="",0,((L19+N19)*tabellen!$C$21))</f>
        <v>0</v>
      </c>
      <c r="AL19" s="224">
        <v>0</v>
      </c>
      <c r="AM19" s="143"/>
      <c r="AN19" s="224">
        <v>0</v>
      </c>
      <c r="AO19" s="143"/>
      <c r="AP19" s="155">
        <f t="shared" si="3"/>
        <v>0</v>
      </c>
      <c r="AQ19" s="155">
        <f t="shared" si="14"/>
        <v>0</v>
      </c>
      <c r="AR19" s="143"/>
      <c r="AS19" s="179" t="str">
        <f t="shared" si="4"/>
        <v/>
      </c>
      <c r="AT19" s="179" t="str">
        <f t="shared" si="15"/>
        <v/>
      </c>
      <c r="AU19" s="143"/>
      <c r="AV19" s="121"/>
      <c r="AW19" s="113"/>
      <c r="AX19" s="113"/>
      <c r="AY19" s="157">
        <f ca="1">YEAR('wgl tot'!$AY$9)-YEAR('wgl tot'!E19)</f>
        <v>120</v>
      </c>
      <c r="AZ19" s="157">
        <f ca="1">MONTH('wgl tot'!$AY$9)-MONTH('wgl tot'!E19)</f>
        <v>1</v>
      </c>
      <c r="BA19" s="157">
        <f ca="1">DAY('wgl tot'!$AY$9)-DAY('wgl tot'!E19)</f>
        <v>18</v>
      </c>
      <c r="BB19" s="122">
        <f>IF(AND('wgl tot'!F19&gt;0,'wgl tot'!F19&lt;17),0,100)</f>
        <v>100</v>
      </c>
      <c r="BC19" s="122">
        <f t="shared" si="6"/>
        <v>0</v>
      </c>
      <c r="BD19" s="140">
        <v>42583</v>
      </c>
      <c r="BE19" s="158">
        <f t="shared" si="18"/>
        <v>0.08</v>
      </c>
      <c r="BF19" s="159">
        <f>+tabellen!$D$45</f>
        <v>6.3E-2</v>
      </c>
      <c r="BG19" s="157">
        <f>IF('wgl tot'!BB19=100,0,'wgl tot'!F19)</f>
        <v>0</v>
      </c>
      <c r="BH19" s="159" t="str">
        <f>IF(OR('wgl tot'!F19="DA",'wgl tot'!F19="DB",'wgl tot'!F19="DBuit",'wgl tot'!F19="DC",'wgl tot'!F19="DCuit",MID('wgl tot'!F19,1,5)="meerh"),"j","n")</f>
        <v>n</v>
      </c>
      <c r="BI19" s="161" t="e">
        <f>IF('wgl tot'!V19/'wgl tot'!H19&lt;tabellen!$E$6,0,(+'wgl tot'!V19-tabellen!$E$6*'wgl tot'!H19)/12*tabellen!$D$6)</f>
        <v>#DIV/0!</v>
      </c>
      <c r="BJ19" s="161" t="e">
        <f>IF('wgl tot'!V19/'wgl tot'!H19&lt;tabellen!$E$7,0,(+'wgl tot'!V19-tabellen!$E$7*'wgl tot'!H19)/12*tabellen!$D$7)</f>
        <v>#DIV/0!</v>
      </c>
      <c r="BK19" s="161">
        <f>'wgl tot'!V19/12*tabellen!$D$8</f>
        <v>0</v>
      </c>
      <c r="BL19" s="162" t="e">
        <f t="shared" si="7"/>
        <v>#DIV/0!</v>
      </c>
      <c r="BM19" s="163" t="e">
        <f>+X19/12-'wgl tot'!BL19</f>
        <v>#DIV/0!</v>
      </c>
      <c r="BN19" s="163" t="e">
        <f>ROUND(IF('wgl tot'!BM19&gt;tabellen!$H$11,tabellen!$H$11,'wgl tot'!BM19)*tabellen!$C$11,2)</f>
        <v>#DIV/0!</v>
      </c>
      <c r="BO19" s="163" t="e">
        <f>+'wgl tot'!BM19+'wgl tot'!BN19</f>
        <v>#DIV/0!</v>
      </c>
      <c r="BP19" s="164">
        <f t="shared" si="8"/>
        <v>1900</v>
      </c>
      <c r="BQ19" s="164">
        <f t="shared" si="9"/>
        <v>1</v>
      </c>
      <c r="BR19" s="157">
        <f t="shared" si="10"/>
        <v>0</v>
      </c>
      <c r="BS19" s="140">
        <f t="shared" si="16"/>
        <v>24227</v>
      </c>
      <c r="BT19" s="140">
        <f t="shared" ca="1" si="17"/>
        <v>43879.576672800926</v>
      </c>
      <c r="BU19" s="122"/>
      <c r="BV19" s="140"/>
      <c r="BW19" s="122"/>
      <c r="BX19" s="160"/>
      <c r="BY19" s="160"/>
      <c r="BZ19" s="160"/>
      <c r="CA19" s="160"/>
      <c r="CB19" s="160"/>
      <c r="CC19" s="160"/>
      <c r="CD19" s="113"/>
      <c r="CE19" s="113"/>
    </row>
    <row r="20" spans="1:83" s="124" customFormat="1" ht="12" customHeight="1" x14ac:dyDescent="0.2">
      <c r="A20" s="113"/>
      <c r="B20" s="114"/>
      <c r="C20" s="143"/>
      <c r="D20" s="149"/>
      <c r="E20" s="150"/>
      <c r="F20" s="151"/>
      <c r="G20" s="151"/>
      <c r="H20" s="152"/>
      <c r="I20" s="151"/>
      <c r="J20" s="153"/>
      <c r="K20" s="173">
        <f>IF(F20="",0,(VLOOKUP('wgl tot'!F20,saltab2020,'wgl tot'!G20+1,FALSE)))</f>
        <v>0</v>
      </c>
      <c r="L20" s="155">
        <f t="shared" si="11"/>
        <v>0</v>
      </c>
      <c r="M20" s="143"/>
      <c r="N20" s="173">
        <f>ROUND(IF(('wgl tot'!L20+'wgl tot'!P20)*BE20&lt;'wgl tot'!H20*tabellen!$D$44,'wgl tot'!H20*tabellen!$D$44,('wgl tot'!L20+'wgl tot'!P20)*BE20),2)</f>
        <v>0</v>
      </c>
      <c r="O20" s="173">
        <f>ROUND(+('wgl tot'!L20+'wgl tot'!P20)*BF20,2)</f>
        <v>0</v>
      </c>
      <c r="P20" s="173">
        <f>ROUND(IF(I20="j",VLOOKUP(BC20,uitlooptoeslag,2,FALSE))*IF('wgl tot'!H20&gt;1,1,'wgl tot'!H20),2)</f>
        <v>0</v>
      </c>
      <c r="Q20" s="173">
        <f>ROUND(IF(BH20="j",tabellen!$D$55*IF('wgl tot'!H20&gt;1,1,'wgl tot'!H20),0),2)</f>
        <v>0</v>
      </c>
      <c r="R20" s="173">
        <f>VLOOKUP(BG20,eindejaarsuitkering_OOP,2,TRUE)*'wgl tot'!H20/12</f>
        <v>0</v>
      </c>
      <c r="S20" s="173">
        <f>ROUND(H20*tabellen!$D$51,2)</f>
        <v>0</v>
      </c>
      <c r="T20" s="173">
        <f>ROUND(H20*tabellen!C$39,2)</f>
        <v>0</v>
      </c>
      <c r="U20" s="173">
        <f t="shared" si="12"/>
        <v>0</v>
      </c>
      <c r="V20" s="174">
        <f t="shared" si="1"/>
        <v>0</v>
      </c>
      <c r="W20" s="173">
        <f>('wgl tot'!L20+'wgl tot'!P20)*tabellen!$C$37*12</f>
        <v>0</v>
      </c>
      <c r="X20" s="155">
        <f t="shared" si="2"/>
        <v>0</v>
      </c>
      <c r="Y20" s="143"/>
      <c r="Z20" s="174">
        <f t="shared" si="13"/>
        <v>0</v>
      </c>
      <c r="AA20" s="207">
        <f>+'wgl tot'!W20/12</f>
        <v>0</v>
      </c>
      <c r="AB20" s="143"/>
      <c r="AC20" s="173">
        <f>IF(F20="",0,(IF('wgl tot'!V20/'wgl tot'!H20&lt;tabellen!$E$6,0,('wgl tot'!V20-tabellen!$E$6*'wgl tot'!H20)/12)*tabellen!$C$6))</f>
        <v>0</v>
      </c>
      <c r="AD20" s="173">
        <f>IF(F20="",0,(IF('wgl tot'!V20/'wgl tot'!H20&lt;tabellen!$E$7,0,(+'wgl tot'!V20-tabellen!$E$7*'wgl tot'!H20)/12)*tabellen!$C$7))</f>
        <v>0</v>
      </c>
      <c r="AE20" s="173">
        <f>'wgl tot'!V20/12*tabellen!$C$8</f>
        <v>0</v>
      </c>
      <c r="AF20" s="173">
        <f>IF(H20=0,0,IF(BM20&gt;tabellen!$G$9/12,tabellen!$G$9/12,BM20)*(tabellen!$C$9+tabellen!$C$10))</f>
        <v>0</v>
      </c>
      <c r="AG20" s="173">
        <f>IF(F20="",0,('wgl tot'!BN20))</f>
        <v>0</v>
      </c>
      <c r="AH20" s="175">
        <f>IF(F20="",0,(IF('wgl tot'!BM20&gt;tabellen!$G$12*'wgl tot'!H20/12,tabellen!$G$12*'wgl tot'!H20/12,'wgl tot'!BM20)*tabellen!$C$12))</f>
        <v>0</v>
      </c>
      <c r="AI20" s="143"/>
      <c r="AJ20" s="175">
        <f>IF(F20="",0,(L20+N20)*IF(J20=1,tabellen!$C$13,IF(J20=2,tabellen!$C$14,IF(J20=3,tabellen!$C$15,IF(J20=5,tabellen!$C$17,IF(J20=6,tabellen!$C$18,IF(J20=7,tabellen!$C$19,IF(J20=8,tabellen!$C$20,tabellen!$C$16))))))))</f>
        <v>0</v>
      </c>
      <c r="AK20" s="175">
        <f>IF(F20="",0,((L20+N20)*tabellen!$C$21))</f>
        <v>0</v>
      </c>
      <c r="AL20" s="224">
        <v>0</v>
      </c>
      <c r="AM20" s="143"/>
      <c r="AN20" s="224">
        <v>0</v>
      </c>
      <c r="AO20" s="143"/>
      <c r="AP20" s="155">
        <f t="shared" si="3"/>
        <v>0</v>
      </c>
      <c r="AQ20" s="155">
        <f t="shared" si="14"/>
        <v>0</v>
      </c>
      <c r="AR20" s="143"/>
      <c r="AS20" s="179" t="str">
        <f t="shared" si="4"/>
        <v/>
      </c>
      <c r="AT20" s="179" t="str">
        <f t="shared" si="15"/>
        <v/>
      </c>
      <c r="AU20" s="143"/>
      <c r="AV20" s="121"/>
      <c r="AW20" s="113"/>
      <c r="AX20" s="113"/>
      <c r="AY20" s="157">
        <f ca="1">YEAR('wgl tot'!$AY$9)-YEAR('wgl tot'!E20)</f>
        <v>120</v>
      </c>
      <c r="AZ20" s="157">
        <f ca="1">MONTH('wgl tot'!$AY$9)-MONTH('wgl tot'!E20)</f>
        <v>1</v>
      </c>
      <c r="BA20" s="157">
        <f ca="1">DAY('wgl tot'!$AY$9)-DAY('wgl tot'!E20)</f>
        <v>18</v>
      </c>
      <c r="BB20" s="122">
        <f>IF(AND('wgl tot'!F20&gt;0,'wgl tot'!F20&lt;17),0,100)</f>
        <v>100</v>
      </c>
      <c r="BC20" s="122">
        <f t="shared" si="6"/>
        <v>0</v>
      </c>
      <c r="BD20" s="140">
        <v>42583</v>
      </c>
      <c r="BE20" s="158">
        <f t="shared" si="18"/>
        <v>0.08</v>
      </c>
      <c r="BF20" s="159">
        <f>+tabellen!$D$45</f>
        <v>6.3E-2</v>
      </c>
      <c r="BG20" s="157">
        <f>IF('wgl tot'!BB20=100,0,'wgl tot'!F20)</f>
        <v>0</v>
      </c>
      <c r="BH20" s="159" t="str">
        <f>IF(OR('wgl tot'!F20="DA",'wgl tot'!F20="DB",'wgl tot'!F20="DBuit",'wgl tot'!F20="DC",'wgl tot'!F20="DCuit",MID('wgl tot'!F20,1,5)="meerh"),"j","n")</f>
        <v>n</v>
      </c>
      <c r="BI20" s="161" t="e">
        <f>IF('wgl tot'!V20/'wgl tot'!H20&lt;tabellen!$E$6,0,(+'wgl tot'!V20-tabellen!$E$6*'wgl tot'!H20)/12*tabellen!$D$6)</f>
        <v>#DIV/0!</v>
      </c>
      <c r="BJ20" s="161" t="e">
        <f>IF('wgl tot'!V20/'wgl tot'!H20&lt;tabellen!$E$7,0,(+'wgl tot'!V20-tabellen!$E$7*'wgl tot'!H20)/12*tabellen!$D$7)</f>
        <v>#DIV/0!</v>
      </c>
      <c r="BK20" s="161">
        <f>'wgl tot'!V20/12*tabellen!$D$8</f>
        <v>0</v>
      </c>
      <c r="BL20" s="162" t="e">
        <f t="shared" si="7"/>
        <v>#DIV/0!</v>
      </c>
      <c r="BM20" s="163" t="e">
        <f>+X20/12-'wgl tot'!BL20</f>
        <v>#DIV/0!</v>
      </c>
      <c r="BN20" s="163" t="e">
        <f>ROUND(IF('wgl tot'!BM20&gt;tabellen!$H$11,tabellen!$H$11,'wgl tot'!BM20)*tabellen!$C$11,2)</f>
        <v>#DIV/0!</v>
      </c>
      <c r="BO20" s="163" t="e">
        <f>+'wgl tot'!BM20+'wgl tot'!BN20</f>
        <v>#DIV/0!</v>
      </c>
      <c r="BP20" s="164">
        <f t="shared" si="8"/>
        <v>1900</v>
      </c>
      <c r="BQ20" s="164">
        <f t="shared" si="9"/>
        <v>1</v>
      </c>
      <c r="BR20" s="157">
        <f t="shared" si="10"/>
        <v>0</v>
      </c>
      <c r="BS20" s="140">
        <f t="shared" si="16"/>
        <v>24227</v>
      </c>
      <c r="BT20" s="140">
        <f t="shared" ca="1" si="17"/>
        <v>43879.576672800926</v>
      </c>
      <c r="BU20" s="122"/>
      <c r="BV20" s="140"/>
      <c r="BW20" s="122"/>
      <c r="BX20" s="160"/>
      <c r="BY20" s="160"/>
      <c r="BZ20" s="160"/>
      <c r="CA20" s="160"/>
      <c r="CB20" s="160"/>
      <c r="CC20" s="160"/>
      <c r="CD20" s="113"/>
      <c r="CE20" s="113"/>
    </row>
    <row r="21" spans="1:83" s="124" customFormat="1" ht="12" customHeight="1" x14ac:dyDescent="0.2">
      <c r="A21" s="113"/>
      <c r="B21" s="114"/>
      <c r="C21" s="143"/>
      <c r="D21" s="149"/>
      <c r="E21" s="150"/>
      <c r="F21" s="151"/>
      <c r="G21" s="151"/>
      <c r="H21" s="152"/>
      <c r="I21" s="151"/>
      <c r="J21" s="153"/>
      <c r="K21" s="173">
        <f>IF(F21="",0,(VLOOKUP('wgl tot'!F21,saltab2020,'wgl tot'!G21+1,FALSE)))</f>
        <v>0</v>
      </c>
      <c r="L21" s="155">
        <f t="shared" si="11"/>
        <v>0</v>
      </c>
      <c r="M21" s="143"/>
      <c r="N21" s="173">
        <f>ROUND(IF(('wgl tot'!L21+'wgl tot'!P21)*BE21&lt;'wgl tot'!H21*tabellen!$D$44,'wgl tot'!H21*tabellen!$D$44,('wgl tot'!L21+'wgl tot'!P21)*BE21),2)</f>
        <v>0</v>
      </c>
      <c r="O21" s="173">
        <f>ROUND(+('wgl tot'!L21+'wgl tot'!P21)*BF21,2)</f>
        <v>0</v>
      </c>
      <c r="P21" s="173">
        <f>ROUND(IF(I21="j",VLOOKUP(BC21,uitlooptoeslag,2,FALSE))*IF('wgl tot'!H21&gt;1,1,'wgl tot'!H21),2)</f>
        <v>0</v>
      </c>
      <c r="Q21" s="173">
        <f>ROUND(IF(BH21="j",tabellen!$D$55*IF('wgl tot'!H21&gt;1,1,'wgl tot'!H21),0),2)</f>
        <v>0</v>
      </c>
      <c r="R21" s="173">
        <f>VLOOKUP(BG21,eindejaarsuitkering_OOP,2,TRUE)*'wgl tot'!H21/12</f>
        <v>0</v>
      </c>
      <c r="S21" s="173">
        <f>ROUND(H21*tabellen!$D$51,2)</f>
        <v>0</v>
      </c>
      <c r="T21" s="173">
        <f>ROUND(H21*tabellen!C$39,2)</f>
        <v>0</v>
      </c>
      <c r="U21" s="173">
        <f t="shared" si="12"/>
        <v>0</v>
      </c>
      <c r="V21" s="174">
        <f t="shared" si="1"/>
        <v>0</v>
      </c>
      <c r="W21" s="173">
        <f>('wgl tot'!L21+'wgl tot'!P21)*tabellen!$C$37*12</f>
        <v>0</v>
      </c>
      <c r="X21" s="155">
        <f t="shared" si="2"/>
        <v>0</v>
      </c>
      <c r="Y21" s="143"/>
      <c r="Z21" s="174">
        <f t="shared" si="13"/>
        <v>0</v>
      </c>
      <c r="AA21" s="207">
        <f>+'wgl tot'!W21/12</f>
        <v>0</v>
      </c>
      <c r="AB21" s="143"/>
      <c r="AC21" s="173">
        <f>IF(F21="",0,(IF('wgl tot'!V21/'wgl tot'!H21&lt;tabellen!$E$6,0,('wgl tot'!V21-tabellen!$E$6*'wgl tot'!H21)/12)*tabellen!$C$6))</f>
        <v>0</v>
      </c>
      <c r="AD21" s="173">
        <f>IF(F21="",0,(IF('wgl tot'!V21/'wgl tot'!H21&lt;tabellen!$E$7,0,(+'wgl tot'!V21-tabellen!$E$7*'wgl tot'!H21)/12)*tabellen!$C$7))</f>
        <v>0</v>
      </c>
      <c r="AE21" s="173">
        <f>'wgl tot'!V21/12*tabellen!$C$8</f>
        <v>0</v>
      </c>
      <c r="AF21" s="173">
        <f>IF(H21=0,0,IF(BM21&gt;tabellen!$G$9/12,tabellen!$G$9/12,BM21)*(tabellen!$C$9+tabellen!$C$10))</f>
        <v>0</v>
      </c>
      <c r="AG21" s="173">
        <f>IF(F21="",0,('wgl tot'!BN21))</f>
        <v>0</v>
      </c>
      <c r="AH21" s="175">
        <f>IF(F21="",0,(IF('wgl tot'!BM21&gt;tabellen!$G$12*'wgl tot'!H21/12,tabellen!$G$12*'wgl tot'!H21/12,'wgl tot'!BM21)*tabellen!$C$12))</f>
        <v>0</v>
      </c>
      <c r="AI21" s="143"/>
      <c r="AJ21" s="175">
        <f>IF(F21="",0,(L21+N21)*IF(J21=1,tabellen!$C$13,IF(J21=2,tabellen!$C$14,IF(J21=3,tabellen!$C$15,IF(J21=5,tabellen!$C$17,IF(J21=6,tabellen!$C$18,IF(J21=7,tabellen!$C$19,IF(J21=8,tabellen!$C$20,tabellen!$C$16))))))))</f>
        <v>0</v>
      </c>
      <c r="AK21" s="175">
        <f>IF(F21="",0,((L21+N21)*tabellen!$C$21))</f>
        <v>0</v>
      </c>
      <c r="AL21" s="224">
        <v>0</v>
      </c>
      <c r="AM21" s="143"/>
      <c r="AN21" s="224">
        <v>0</v>
      </c>
      <c r="AO21" s="143"/>
      <c r="AP21" s="155">
        <f t="shared" si="3"/>
        <v>0</v>
      </c>
      <c r="AQ21" s="155">
        <f t="shared" si="14"/>
        <v>0</v>
      </c>
      <c r="AR21" s="143"/>
      <c r="AS21" s="179" t="str">
        <f t="shared" si="4"/>
        <v/>
      </c>
      <c r="AT21" s="179" t="str">
        <f t="shared" si="15"/>
        <v/>
      </c>
      <c r="AU21" s="143"/>
      <c r="AV21" s="121"/>
      <c r="AW21" s="113"/>
      <c r="AX21" s="113"/>
      <c r="AY21" s="157">
        <f ca="1">YEAR('wgl tot'!$AY$9)-YEAR('wgl tot'!E21)</f>
        <v>120</v>
      </c>
      <c r="AZ21" s="157">
        <f ca="1">MONTH('wgl tot'!$AY$9)-MONTH('wgl tot'!E21)</f>
        <v>1</v>
      </c>
      <c r="BA21" s="157">
        <f ca="1">DAY('wgl tot'!$AY$9)-DAY('wgl tot'!E21)</f>
        <v>18</v>
      </c>
      <c r="BB21" s="122">
        <f>IF(AND('wgl tot'!F21&gt;0,'wgl tot'!F21&lt;17),0,100)</f>
        <v>100</v>
      </c>
      <c r="BC21" s="122">
        <f t="shared" si="6"/>
        <v>0</v>
      </c>
      <c r="BD21" s="140">
        <v>42583</v>
      </c>
      <c r="BE21" s="158">
        <f t="shared" si="18"/>
        <v>0.08</v>
      </c>
      <c r="BF21" s="159">
        <f>+tabellen!$D$45</f>
        <v>6.3E-2</v>
      </c>
      <c r="BG21" s="157">
        <f>IF('wgl tot'!BB21=100,0,'wgl tot'!F21)</f>
        <v>0</v>
      </c>
      <c r="BH21" s="159" t="str">
        <f>IF(OR('wgl tot'!F21="DA",'wgl tot'!F21="DB",'wgl tot'!F21="DBuit",'wgl tot'!F21="DC",'wgl tot'!F21="DCuit",MID('wgl tot'!F21,1,5)="meerh"),"j","n")</f>
        <v>n</v>
      </c>
      <c r="BI21" s="161" t="e">
        <f>IF('wgl tot'!V21/'wgl tot'!H21&lt;tabellen!$E$6,0,(+'wgl tot'!V21-tabellen!$E$6*'wgl tot'!H21)/12*tabellen!$D$6)</f>
        <v>#DIV/0!</v>
      </c>
      <c r="BJ21" s="161" t="e">
        <f>IF('wgl tot'!V21/'wgl tot'!H21&lt;tabellen!$E$7,0,(+'wgl tot'!V21-tabellen!$E$7*'wgl tot'!H21)/12*tabellen!$D$7)</f>
        <v>#DIV/0!</v>
      </c>
      <c r="BK21" s="161">
        <f>'wgl tot'!V21/12*tabellen!$D$8</f>
        <v>0</v>
      </c>
      <c r="BL21" s="162" t="e">
        <f t="shared" si="7"/>
        <v>#DIV/0!</v>
      </c>
      <c r="BM21" s="163" t="e">
        <f>+X21/12-'wgl tot'!BL21</f>
        <v>#DIV/0!</v>
      </c>
      <c r="BN21" s="163" t="e">
        <f>ROUND(IF('wgl tot'!BM21&gt;tabellen!$H$11,tabellen!$H$11,'wgl tot'!BM21)*tabellen!$C$11,2)</f>
        <v>#DIV/0!</v>
      </c>
      <c r="BO21" s="163" t="e">
        <f>+'wgl tot'!BM21+'wgl tot'!BN21</f>
        <v>#DIV/0!</v>
      </c>
      <c r="BP21" s="164">
        <f t="shared" si="8"/>
        <v>1900</v>
      </c>
      <c r="BQ21" s="164">
        <f t="shared" si="9"/>
        <v>1</v>
      </c>
      <c r="BR21" s="157">
        <f t="shared" si="10"/>
        <v>0</v>
      </c>
      <c r="BS21" s="140">
        <f t="shared" si="16"/>
        <v>24227</v>
      </c>
      <c r="BT21" s="140">
        <f t="shared" ca="1" si="17"/>
        <v>43879.576672800926</v>
      </c>
      <c r="BU21" s="122"/>
      <c r="BV21" s="140"/>
      <c r="BW21" s="122"/>
      <c r="BX21" s="160"/>
      <c r="BY21" s="160"/>
      <c r="BZ21" s="160"/>
      <c r="CA21" s="160"/>
      <c r="CB21" s="160"/>
      <c r="CC21" s="160"/>
      <c r="CD21" s="113"/>
      <c r="CE21" s="113"/>
    </row>
    <row r="22" spans="1:83" s="124" customFormat="1" ht="12" customHeight="1" x14ac:dyDescent="0.2">
      <c r="A22" s="113"/>
      <c r="B22" s="114"/>
      <c r="C22" s="143"/>
      <c r="D22" s="149"/>
      <c r="E22" s="150"/>
      <c r="F22" s="151"/>
      <c r="G22" s="151"/>
      <c r="H22" s="152"/>
      <c r="I22" s="151"/>
      <c r="J22" s="153"/>
      <c r="K22" s="173">
        <f>IF(F22="",0,(VLOOKUP('wgl tot'!F22,saltab2020,'wgl tot'!G22+1,FALSE)))</f>
        <v>0</v>
      </c>
      <c r="L22" s="155">
        <f t="shared" si="11"/>
        <v>0</v>
      </c>
      <c r="M22" s="143"/>
      <c r="N22" s="173">
        <f>ROUND(IF(('wgl tot'!L22+'wgl tot'!P22)*BE22&lt;'wgl tot'!H22*tabellen!$D$44,'wgl tot'!H22*tabellen!$D$44,('wgl tot'!L22+'wgl tot'!P22)*BE22),2)</f>
        <v>0</v>
      </c>
      <c r="O22" s="173">
        <f>ROUND(+('wgl tot'!L22+'wgl tot'!P22)*BF22,2)</f>
        <v>0</v>
      </c>
      <c r="P22" s="173">
        <f>ROUND(IF(I22="j",VLOOKUP(BC22,uitlooptoeslag,2,FALSE))*IF('wgl tot'!H22&gt;1,1,'wgl tot'!H22),2)</f>
        <v>0</v>
      </c>
      <c r="Q22" s="173">
        <f>ROUND(IF(BH22="j",tabellen!$D$55*IF('wgl tot'!H22&gt;1,1,'wgl tot'!H22),0),2)</f>
        <v>0</v>
      </c>
      <c r="R22" s="173">
        <f>VLOOKUP(BG22,eindejaarsuitkering_OOP,2,TRUE)*'wgl tot'!H22/12</f>
        <v>0</v>
      </c>
      <c r="S22" s="173">
        <f>ROUND(H22*tabellen!$D$51,2)</f>
        <v>0</v>
      </c>
      <c r="T22" s="173">
        <f>ROUND(H22*tabellen!C$39,2)</f>
        <v>0</v>
      </c>
      <c r="U22" s="173">
        <f t="shared" si="12"/>
        <v>0</v>
      </c>
      <c r="V22" s="174">
        <f t="shared" si="1"/>
        <v>0</v>
      </c>
      <c r="W22" s="173">
        <f>('wgl tot'!L22+'wgl tot'!P22)*tabellen!$C$37*12</f>
        <v>0</v>
      </c>
      <c r="X22" s="155">
        <f t="shared" si="2"/>
        <v>0</v>
      </c>
      <c r="Y22" s="143"/>
      <c r="Z22" s="174">
        <f t="shared" si="13"/>
        <v>0</v>
      </c>
      <c r="AA22" s="207">
        <f>+'wgl tot'!W22/12</f>
        <v>0</v>
      </c>
      <c r="AB22" s="143"/>
      <c r="AC22" s="173">
        <f>IF(F22="",0,(IF('wgl tot'!V22/'wgl tot'!H22&lt;tabellen!$E$6,0,('wgl tot'!V22-tabellen!$E$6*'wgl tot'!H22)/12)*tabellen!$C$6))</f>
        <v>0</v>
      </c>
      <c r="AD22" s="173">
        <f>IF(F22="",0,(IF('wgl tot'!V22/'wgl tot'!H22&lt;tabellen!$E$7,0,(+'wgl tot'!V22-tabellen!$E$7*'wgl tot'!H22)/12)*tabellen!$C$7))</f>
        <v>0</v>
      </c>
      <c r="AE22" s="173">
        <f>'wgl tot'!V22/12*tabellen!$C$8</f>
        <v>0</v>
      </c>
      <c r="AF22" s="173">
        <f>IF(H22=0,0,IF(BM22&gt;tabellen!$G$9/12,tabellen!$G$9/12,BM22)*(tabellen!$C$9+tabellen!$C$10))</f>
        <v>0</v>
      </c>
      <c r="AG22" s="173">
        <f>IF(F22="",0,('wgl tot'!BN22))</f>
        <v>0</v>
      </c>
      <c r="AH22" s="175">
        <f>IF(F22="",0,(IF('wgl tot'!BM22&gt;tabellen!$G$12*'wgl tot'!H22/12,tabellen!$G$12*'wgl tot'!H22/12,'wgl tot'!BM22)*tabellen!$C$12))</f>
        <v>0</v>
      </c>
      <c r="AI22" s="143"/>
      <c r="AJ22" s="175">
        <f>IF(F22="",0,(L22+N22)*IF(J22=1,tabellen!$C$13,IF(J22=2,tabellen!$C$14,IF(J22=3,tabellen!$C$15,IF(J22=5,tabellen!$C$17,IF(J22=6,tabellen!$C$18,IF(J22=7,tabellen!$C$19,IF(J22=8,tabellen!$C$20,tabellen!$C$16))))))))</f>
        <v>0</v>
      </c>
      <c r="AK22" s="175">
        <f>IF(F22="",0,((L22+N22)*tabellen!$C$21))</f>
        <v>0</v>
      </c>
      <c r="AL22" s="224">
        <v>0</v>
      </c>
      <c r="AM22" s="143"/>
      <c r="AN22" s="224">
        <v>0</v>
      </c>
      <c r="AO22" s="143"/>
      <c r="AP22" s="155">
        <f t="shared" si="3"/>
        <v>0</v>
      </c>
      <c r="AQ22" s="155">
        <f t="shared" si="14"/>
        <v>0</v>
      </c>
      <c r="AR22" s="143"/>
      <c r="AS22" s="179" t="str">
        <f t="shared" si="4"/>
        <v/>
      </c>
      <c r="AT22" s="179" t="str">
        <f t="shared" si="15"/>
        <v/>
      </c>
      <c r="AU22" s="143"/>
      <c r="AV22" s="121"/>
      <c r="AW22" s="113"/>
      <c r="AX22" s="113"/>
      <c r="AY22" s="157">
        <f ca="1">YEAR('wgl tot'!$AY$9)-YEAR('wgl tot'!E22)</f>
        <v>120</v>
      </c>
      <c r="AZ22" s="157">
        <f ca="1">MONTH('wgl tot'!$AY$9)-MONTH('wgl tot'!E22)</f>
        <v>1</v>
      </c>
      <c r="BA22" s="157">
        <f ca="1">DAY('wgl tot'!$AY$9)-DAY('wgl tot'!E22)</f>
        <v>18</v>
      </c>
      <c r="BB22" s="122">
        <f>IF(AND('wgl tot'!F22&gt;0,'wgl tot'!F22&lt;17),0,100)</f>
        <v>100</v>
      </c>
      <c r="BC22" s="122">
        <f t="shared" si="6"/>
        <v>0</v>
      </c>
      <c r="BD22" s="140">
        <v>42583</v>
      </c>
      <c r="BE22" s="158">
        <f t="shared" si="18"/>
        <v>0.08</v>
      </c>
      <c r="BF22" s="159">
        <f>+tabellen!$D$45</f>
        <v>6.3E-2</v>
      </c>
      <c r="BG22" s="157">
        <f>IF('wgl tot'!BB22=100,0,'wgl tot'!F22)</f>
        <v>0</v>
      </c>
      <c r="BH22" s="159" t="str">
        <f>IF(OR('wgl tot'!F22="DA",'wgl tot'!F22="DB",'wgl tot'!F22="DBuit",'wgl tot'!F22="DC",'wgl tot'!F22="DCuit",MID('wgl tot'!F22,1,5)="meerh"),"j","n")</f>
        <v>n</v>
      </c>
      <c r="BI22" s="161" t="e">
        <f>IF('wgl tot'!V22/'wgl tot'!H22&lt;tabellen!$E$6,0,(+'wgl tot'!V22-tabellen!$E$6*'wgl tot'!H22)/12*tabellen!$D$6)</f>
        <v>#DIV/0!</v>
      </c>
      <c r="BJ22" s="161" t="e">
        <f>IF('wgl tot'!V22/'wgl tot'!H22&lt;tabellen!$E$7,0,(+'wgl tot'!V22-tabellen!$E$7*'wgl tot'!H22)/12*tabellen!$D$7)</f>
        <v>#DIV/0!</v>
      </c>
      <c r="BK22" s="161">
        <f>'wgl tot'!V22/12*tabellen!$D$8</f>
        <v>0</v>
      </c>
      <c r="BL22" s="162" t="e">
        <f t="shared" si="7"/>
        <v>#DIV/0!</v>
      </c>
      <c r="BM22" s="163" t="e">
        <f>+X22/12-'wgl tot'!BL22</f>
        <v>#DIV/0!</v>
      </c>
      <c r="BN22" s="163" t="e">
        <f>ROUND(IF('wgl tot'!BM22&gt;tabellen!$H$11,tabellen!$H$11,'wgl tot'!BM22)*tabellen!$C$11,2)</f>
        <v>#DIV/0!</v>
      </c>
      <c r="BO22" s="163" t="e">
        <f>+'wgl tot'!BM22+'wgl tot'!BN22</f>
        <v>#DIV/0!</v>
      </c>
      <c r="BP22" s="164">
        <f t="shared" si="8"/>
        <v>1900</v>
      </c>
      <c r="BQ22" s="164">
        <f t="shared" si="9"/>
        <v>1</v>
      </c>
      <c r="BR22" s="157">
        <f t="shared" si="10"/>
        <v>0</v>
      </c>
      <c r="BS22" s="140">
        <f t="shared" si="16"/>
        <v>24227</v>
      </c>
      <c r="BT22" s="140">
        <f t="shared" ca="1" si="17"/>
        <v>43879.576672800926</v>
      </c>
      <c r="BU22" s="122"/>
      <c r="BV22" s="140"/>
      <c r="BW22" s="122"/>
      <c r="BX22" s="160"/>
      <c r="BY22" s="160"/>
      <c r="BZ22" s="160"/>
      <c r="CA22" s="160"/>
      <c r="CB22" s="160"/>
      <c r="CC22" s="160"/>
      <c r="CD22" s="113"/>
      <c r="CE22" s="113"/>
    </row>
    <row r="23" spans="1:83" s="124" customFormat="1" ht="12" customHeight="1" x14ac:dyDescent="0.2">
      <c r="A23" s="113"/>
      <c r="B23" s="114"/>
      <c r="C23" s="143"/>
      <c r="D23" s="149"/>
      <c r="E23" s="150"/>
      <c r="F23" s="151"/>
      <c r="G23" s="151"/>
      <c r="H23" s="152"/>
      <c r="I23" s="151"/>
      <c r="J23" s="153"/>
      <c r="K23" s="173">
        <f>IF(F23="",0,(VLOOKUP('wgl tot'!F23,saltab2020,'wgl tot'!G23+1,FALSE)))</f>
        <v>0</v>
      </c>
      <c r="L23" s="155">
        <f t="shared" si="11"/>
        <v>0</v>
      </c>
      <c r="M23" s="143"/>
      <c r="N23" s="173">
        <f>ROUND(IF(('wgl tot'!L23+'wgl tot'!P23)*BE23&lt;'wgl tot'!H23*tabellen!$D$44,'wgl tot'!H23*tabellen!$D$44,('wgl tot'!L23+'wgl tot'!P23)*BE23),2)</f>
        <v>0</v>
      </c>
      <c r="O23" s="173">
        <f>ROUND(+('wgl tot'!L23+'wgl tot'!P23)*BF23,2)</f>
        <v>0</v>
      </c>
      <c r="P23" s="173">
        <f>ROUND(IF(I23="j",VLOOKUP(BC23,uitlooptoeslag,2,FALSE))*IF('wgl tot'!H23&gt;1,1,'wgl tot'!H23),2)</f>
        <v>0</v>
      </c>
      <c r="Q23" s="173">
        <f>ROUND(IF(BH23="j",tabellen!$D$55*IF('wgl tot'!H23&gt;1,1,'wgl tot'!H23),0),2)</f>
        <v>0</v>
      </c>
      <c r="R23" s="173">
        <f>VLOOKUP(BG23,eindejaarsuitkering_OOP,2,TRUE)*'wgl tot'!H23/12</f>
        <v>0</v>
      </c>
      <c r="S23" s="173">
        <f>ROUND(H23*tabellen!$D$51,2)</f>
        <v>0</v>
      </c>
      <c r="T23" s="173">
        <f>ROUND(H23*tabellen!C$39,2)</f>
        <v>0</v>
      </c>
      <c r="U23" s="173">
        <f t="shared" si="12"/>
        <v>0</v>
      </c>
      <c r="V23" s="174">
        <f t="shared" si="1"/>
        <v>0</v>
      </c>
      <c r="W23" s="173">
        <f>('wgl tot'!L23+'wgl tot'!P23)*tabellen!$C$37*12</f>
        <v>0</v>
      </c>
      <c r="X23" s="155">
        <f t="shared" si="2"/>
        <v>0</v>
      </c>
      <c r="Y23" s="143"/>
      <c r="Z23" s="174">
        <f t="shared" si="13"/>
        <v>0</v>
      </c>
      <c r="AA23" s="207">
        <f>+'wgl tot'!W23/12</f>
        <v>0</v>
      </c>
      <c r="AB23" s="143"/>
      <c r="AC23" s="173">
        <f>IF(F23="",0,(IF('wgl tot'!V23/'wgl tot'!H23&lt;tabellen!$E$6,0,('wgl tot'!V23-tabellen!$E$6*'wgl tot'!H23)/12)*tabellen!$C$6))</f>
        <v>0</v>
      </c>
      <c r="AD23" s="173">
        <f>IF(F23="",0,(IF('wgl tot'!V23/'wgl tot'!H23&lt;tabellen!$E$7,0,(+'wgl tot'!V23-tabellen!$E$7*'wgl tot'!H23)/12)*tabellen!$C$7))</f>
        <v>0</v>
      </c>
      <c r="AE23" s="173">
        <f>'wgl tot'!V23/12*tabellen!$C$8</f>
        <v>0</v>
      </c>
      <c r="AF23" s="173">
        <f>IF(H23=0,0,IF(BM23&gt;tabellen!$G$9/12,tabellen!$G$9/12,BM23)*(tabellen!$C$9+tabellen!$C$10))</f>
        <v>0</v>
      </c>
      <c r="AG23" s="173">
        <f>IF(F23="",0,('wgl tot'!BN23))</f>
        <v>0</v>
      </c>
      <c r="AH23" s="175">
        <f>IF(F23="",0,(IF('wgl tot'!BM23&gt;tabellen!$G$12*'wgl tot'!H23/12,tabellen!$G$12*'wgl tot'!H23/12,'wgl tot'!BM23)*tabellen!$C$12))</f>
        <v>0</v>
      </c>
      <c r="AI23" s="143"/>
      <c r="AJ23" s="175">
        <f>IF(F23="",0,(L23+N23)*IF(J23=1,tabellen!$C$13,IF(J23=2,tabellen!$C$14,IF(J23=3,tabellen!$C$15,IF(J23=5,tabellen!$C$17,IF(J23=6,tabellen!$C$18,IF(J23=7,tabellen!$C$19,IF(J23=8,tabellen!$C$20,tabellen!$C$16))))))))</f>
        <v>0</v>
      </c>
      <c r="AK23" s="175">
        <f>IF(F23="",0,((L23+N23)*tabellen!$C$21))</f>
        <v>0</v>
      </c>
      <c r="AL23" s="224">
        <v>0</v>
      </c>
      <c r="AM23" s="143"/>
      <c r="AN23" s="224">
        <v>0</v>
      </c>
      <c r="AO23" s="143"/>
      <c r="AP23" s="155">
        <f t="shared" si="3"/>
        <v>0</v>
      </c>
      <c r="AQ23" s="155">
        <f t="shared" si="14"/>
        <v>0</v>
      </c>
      <c r="AR23" s="143"/>
      <c r="AS23" s="179" t="str">
        <f t="shared" si="4"/>
        <v/>
      </c>
      <c r="AT23" s="179" t="str">
        <f t="shared" si="15"/>
        <v/>
      </c>
      <c r="AU23" s="143"/>
      <c r="AV23" s="121"/>
      <c r="AW23" s="113"/>
      <c r="AX23" s="113"/>
      <c r="AY23" s="157">
        <f ca="1">YEAR('wgl tot'!$AY$9)-YEAR('wgl tot'!E23)</f>
        <v>120</v>
      </c>
      <c r="AZ23" s="157">
        <f ca="1">MONTH('wgl tot'!$AY$9)-MONTH('wgl tot'!E23)</f>
        <v>1</v>
      </c>
      <c r="BA23" s="157">
        <f ca="1">DAY('wgl tot'!$AY$9)-DAY('wgl tot'!E23)</f>
        <v>18</v>
      </c>
      <c r="BB23" s="122">
        <f>IF(AND('wgl tot'!F23&gt;0,'wgl tot'!F23&lt;17),0,100)</f>
        <v>100</v>
      </c>
      <c r="BC23" s="122">
        <f t="shared" si="6"/>
        <v>0</v>
      </c>
      <c r="BD23" s="140">
        <v>42583</v>
      </c>
      <c r="BE23" s="158">
        <f t="shared" si="18"/>
        <v>0.08</v>
      </c>
      <c r="BF23" s="159">
        <f>+tabellen!$D$45</f>
        <v>6.3E-2</v>
      </c>
      <c r="BG23" s="157">
        <f>IF('wgl tot'!BB23=100,0,'wgl tot'!F23)</f>
        <v>0</v>
      </c>
      <c r="BH23" s="159" t="str">
        <f>IF(OR('wgl tot'!F23="DA",'wgl tot'!F23="DB",'wgl tot'!F23="DBuit",'wgl tot'!F23="DC",'wgl tot'!F23="DCuit",MID('wgl tot'!F23,1,5)="meerh"),"j","n")</f>
        <v>n</v>
      </c>
      <c r="BI23" s="161" t="e">
        <f>IF('wgl tot'!V23/'wgl tot'!H23&lt;tabellen!$E$6,0,(+'wgl tot'!V23-tabellen!$E$6*'wgl tot'!H23)/12*tabellen!$D$6)</f>
        <v>#DIV/0!</v>
      </c>
      <c r="BJ23" s="161" t="e">
        <f>IF('wgl tot'!V23/'wgl tot'!H23&lt;tabellen!$E$7,0,(+'wgl tot'!V23-tabellen!$E$7*'wgl tot'!H23)/12*tabellen!$D$7)</f>
        <v>#DIV/0!</v>
      </c>
      <c r="BK23" s="161">
        <f>'wgl tot'!V23/12*tabellen!$D$8</f>
        <v>0</v>
      </c>
      <c r="BL23" s="162" t="e">
        <f t="shared" si="7"/>
        <v>#DIV/0!</v>
      </c>
      <c r="BM23" s="163" t="e">
        <f>+X23/12-'wgl tot'!BL23</f>
        <v>#DIV/0!</v>
      </c>
      <c r="BN23" s="163" t="e">
        <f>ROUND(IF('wgl tot'!BM23&gt;tabellen!$H$11,tabellen!$H$11,'wgl tot'!BM23)*tabellen!$C$11,2)</f>
        <v>#DIV/0!</v>
      </c>
      <c r="BO23" s="163" t="e">
        <f>+'wgl tot'!BM23+'wgl tot'!BN23</f>
        <v>#DIV/0!</v>
      </c>
      <c r="BP23" s="164">
        <f t="shared" si="8"/>
        <v>1900</v>
      </c>
      <c r="BQ23" s="164">
        <f t="shared" si="9"/>
        <v>1</v>
      </c>
      <c r="BR23" s="157">
        <f t="shared" si="10"/>
        <v>0</v>
      </c>
      <c r="BS23" s="140">
        <f t="shared" si="16"/>
        <v>24227</v>
      </c>
      <c r="BT23" s="140">
        <f t="shared" ca="1" si="17"/>
        <v>43879.576672800926</v>
      </c>
      <c r="BU23" s="122"/>
      <c r="BV23" s="140"/>
      <c r="BW23" s="122"/>
      <c r="BX23" s="160"/>
      <c r="BY23" s="160"/>
      <c r="BZ23" s="160"/>
      <c r="CA23" s="160"/>
      <c r="CB23" s="160"/>
      <c r="CC23" s="160"/>
      <c r="CD23" s="113"/>
      <c r="CE23" s="113"/>
    </row>
    <row r="24" spans="1:83" s="124" customFormat="1" ht="12" customHeight="1" x14ac:dyDescent="0.2">
      <c r="A24" s="113"/>
      <c r="B24" s="114"/>
      <c r="C24" s="143"/>
      <c r="D24" s="149"/>
      <c r="E24" s="150"/>
      <c r="F24" s="151"/>
      <c r="G24" s="151"/>
      <c r="H24" s="152"/>
      <c r="I24" s="151"/>
      <c r="J24" s="153"/>
      <c r="K24" s="173">
        <f>IF(F24="",0,(VLOOKUP('wgl tot'!F24,saltab2020,'wgl tot'!G24+1,FALSE)))</f>
        <v>0</v>
      </c>
      <c r="L24" s="155">
        <f t="shared" si="0"/>
        <v>0</v>
      </c>
      <c r="M24" s="143"/>
      <c r="N24" s="173">
        <f>ROUND(IF(('wgl tot'!L24+'wgl tot'!P24)*BE24&lt;'wgl tot'!H24*tabellen!$D$44,'wgl tot'!H24*tabellen!$D$44,('wgl tot'!L24+'wgl tot'!P24)*BE24),2)</f>
        <v>0</v>
      </c>
      <c r="O24" s="173">
        <f>ROUND(+('wgl tot'!L24+'wgl tot'!P24)*BF24,2)</f>
        <v>0</v>
      </c>
      <c r="P24" s="173">
        <f>ROUND(IF(I24="j",VLOOKUP(BC24,uitlooptoeslag,2,FALSE))*IF('wgl tot'!H24&gt;1,1,'wgl tot'!H24),2)</f>
        <v>0</v>
      </c>
      <c r="Q24" s="173">
        <f>ROUND(IF(BH24="j",tabellen!$D$55*IF('wgl tot'!H24&gt;1,1,'wgl tot'!H24),0),2)</f>
        <v>0</v>
      </c>
      <c r="R24" s="173">
        <f>VLOOKUP(BG24,eindejaarsuitkering_OOP,2,TRUE)*'wgl tot'!H24/12</f>
        <v>0</v>
      </c>
      <c r="S24" s="173">
        <f>ROUND(H24*tabellen!$D$51,2)</f>
        <v>0</v>
      </c>
      <c r="T24" s="173">
        <f>ROUND(H24*tabellen!C$39,2)</f>
        <v>0</v>
      </c>
      <c r="U24" s="173">
        <f t="shared" si="12"/>
        <v>0</v>
      </c>
      <c r="V24" s="174">
        <f t="shared" si="1"/>
        <v>0</v>
      </c>
      <c r="W24" s="173">
        <f>('wgl tot'!L24+'wgl tot'!P24)*tabellen!$C$37*12</f>
        <v>0</v>
      </c>
      <c r="X24" s="155">
        <f t="shared" si="2"/>
        <v>0</v>
      </c>
      <c r="Y24" s="143"/>
      <c r="Z24" s="174">
        <f t="shared" ref="Z24:Z76" si="19">X24/12</f>
        <v>0</v>
      </c>
      <c r="AA24" s="207">
        <f>+'wgl tot'!W24/12</f>
        <v>0</v>
      </c>
      <c r="AB24" s="143"/>
      <c r="AC24" s="173">
        <f>IF(F24="",0,(IF('wgl tot'!V24/'wgl tot'!H24&lt;tabellen!$E$6,0,('wgl tot'!V24-tabellen!$E$6*'wgl tot'!H24)/12)*tabellen!$C$6))</f>
        <v>0</v>
      </c>
      <c r="AD24" s="173">
        <f>IF(F24="",0,(IF('wgl tot'!V24/'wgl tot'!H24&lt;tabellen!$E$7,0,(+'wgl tot'!V24-tabellen!$E$7*'wgl tot'!H24)/12)*tabellen!$C$7))</f>
        <v>0</v>
      </c>
      <c r="AE24" s="173">
        <f>'wgl tot'!V24/12*tabellen!$C$8</f>
        <v>0</v>
      </c>
      <c r="AF24" s="173">
        <f>IF(H24=0,0,IF(BM24&gt;tabellen!$G$9/12,tabellen!$G$9/12,BM24)*(tabellen!$C$9+tabellen!$C$10))</f>
        <v>0</v>
      </c>
      <c r="AG24" s="173">
        <f>IF(F24="",0,('wgl tot'!BN24))</f>
        <v>0</v>
      </c>
      <c r="AH24" s="175">
        <f>IF(F24="",0,(IF('wgl tot'!BM24&gt;tabellen!$G$12*'wgl tot'!H24/12,tabellen!$G$12*'wgl tot'!H24/12,'wgl tot'!BM24)*tabellen!$C$12))</f>
        <v>0</v>
      </c>
      <c r="AI24" s="143"/>
      <c r="AJ24" s="175">
        <f>IF(F24="",0,(L24+N24)*IF(J24=1,tabellen!$C$13,IF(J24=2,tabellen!$C$14,IF(J24=3,tabellen!$C$15,IF(J24=5,tabellen!$C$17,IF(J24=6,tabellen!$C$18,IF(J24=7,tabellen!$C$19,IF(J24=8,tabellen!$C$20,tabellen!$C$16))))))))</f>
        <v>0</v>
      </c>
      <c r="AK24" s="175">
        <f>IF(F24="",0,((L24+N24)*tabellen!$C$21))</f>
        <v>0</v>
      </c>
      <c r="AL24" s="224">
        <v>0</v>
      </c>
      <c r="AM24" s="143"/>
      <c r="AN24" s="224">
        <v>0</v>
      </c>
      <c r="AO24" s="143"/>
      <c r="AP24" s="155">
        <f t="shared" ref="AP24:AP78" si="20">SUM(Z24:AN24)-AA24</f>
        <v>0</v>
      </c>
      <c r="AQ24" s="155">
        <f t="shared" ref="AQ24:AQ86" si="21">AP24*12</f>
        <v>0</v>
      </c>
      <c r="AR24" s="143"/>
      <c r="AS24" s="179" t="str">
        <f t="shared" si="4"/>
        <v/>
      </c>
      <c r="AT24" s="179" t="str">
        <f t="shared" si="5"/>
        <v/>
      </c>
      <c r="AU24" s="143"/>
      <c r="AV24" s="121"/>
      <c r="AW24" s="113"/>
      <c r="AX24" s="113"/>
      <c r="AY24" s="157">
        <f ca="1">YEAR('wgl tot'!$AY$9)-YEAR('wgl tot'!E24)</f>
        <v>120</v>
      </c>
      <c r="AZ24" s="157">
        <f ca="1">MONTH('wgl tot'!$AY$9)-MONTH('wgl tot'!E24)</f>
        <v>1</v>
      </c>
      <c r="BA24" s="157">
        <f ca="1">DAY('wgl tot'!$AY$9)-DAY('wgl tot'!E24)</f>
        <v>18</v>
      </c>
      <c r="BB24" s="122">
        <f>IF(AND('wgl tot'!F24&gt;0,'wgl tot'!F24&lt;17),0,100)</f>
        <v>100</v>
      </c>
      <c r="BC24" s="122">
        <f t="shared" si="6"/>
        <v>0</v>
      </c>
      <c r="BD24" s="140">
        <v>42583</v>
      </c>
      <c r="BE24" s="158">
        <f t="shared" si="18"/>
        <v>0.08</v>
      </c>
      <c r="BF24" s="159">
        <f>+tabellen!$D$45</f>
        <v>6.3E-2</v>
      </c>
      <c r="BG24" s="157">
        <f>IF('wgl tot'!BB24=100,0,'wgl tot'!F24)</f>
        <v>0</v>
      </c>
      <c r="BH24" s="159" t="str">
        <f>IF(OR('wgl tot'!F24="DA",'wgl tot'!F24="DB",'wgl tot'!F24="DBuit",'wgl tot'!F24="DC",'wgl tot'!F24="DCuit",MID('wgl tot'!F24,1,5)="meerh"),"j","n")</f>
        <v>n</v>
      </c>
      <c r="BI24" s="161" t="e">
        <f>IF('wgl tot'!V24/'wgl tot'!H24&lt;tabellen!$E$6,0,(+'wgl tot'!V24-tabellen!$E$6*'wgl tot'!H24)/12*tabellen!$D$6)</f>
        <v>#DIV/0!</v>
      </c>
      <c r="BJ24" s="161" t="e">
        <f>IF('wgl tot'!V24/'wgl tot'!H24&lt;tabellen!$E$7,0,(+'wgl tot'!V24-tabellen!$E$7*'wgl tot'!H24)/12*tabellen!$D$7)</f>
        <v>#DIV/0!</v>
      </c>
      <c r="BK24" s="161">
        <f>'wgl tot'!V24/12*tabellen!$D$8</f>
        <v>0</v>
      </c>
      <c r="BL24" s="162" t="e">
        <f t="shared" si="7"/>
        <v>#DIV/0!</v>
      </c>
      <c r="BM24" s="163" t="e">
        <f>+X24/12-'wgl tot'!BL24</f>
        <v>#DIV/0!</v>
      </c>
      <c r="BN24" s="163" t="e">
        <f>ROUND(IF('wgl tot'!BM24&gt;tabellen!$H$11,tabellen!$H$11,'wgl tot'!BM24)*tabellen!$C$11,2)</f>
        <v>#DIV/0!</v>
      </c>
      <c r="BO24" s="163" t="e">
        <f>+'wgl tot'!BM24+'wgl tot'!BN24</f>
        <v>#DIV/0!</v>
      </c>
      <c r="BP24" s="164">
        <f t="shared" si="8"/>
        <v>1900</v>
      </c>
      <c r="BQ24" s="164">
        <f t="shared" si="9"/>
        <v>1</v>
      </c>
      <c r="BR24" s="157">
        <f t="shared" si="10"/>
        <v>0</v>
      </c>
      <c r="BS24" s="140">
        <f t="shared" si="16"/>
        <v>24227</v>
      </c>
      <c r="BT24" s="140">
        <f t="shared" ca="1" si="17"/>
        <v>43879.576672800926</v>
      </c>
      <c r="BU24" s="122"/>
      <c r="BV24" s="140"/>
      <c r="BW24" s="122"/>
      <c r="BX24" s="160"/>
      <c r="BY24" s="160"/>
      <c r="BZ24" s="160"/>
      <c r="CA24" s="160"/>
      <c r="CB24" s="160"/>
      <c r="CC24" s="160"/>
      <c r="CD24" s="113"/>
      <c r="CE24" s="113"/>
    </row>
    <row r="25" spans="1:83" s="124" customFormat="1" ht="12" customHeight="1" x14ac:dyDescent="0.2">
      <c r="A25" s="113"/>
      <c r="B25" s="114"/>
      <c r="C25" s="143"/>
      <c r="D25" s="149"/>
      <c r="E25" s="150"/>
      <c r="F25" s="151"/>
      <c r="G25" s="151"/>
      <c r="H25" s="152"/>
      <c r="I25" s="151"/>
      <c r="J25" s="153"/>
      <c r="K25" s="173">
        <f>IF(F25="",0,(VLOOKUP('wgl tot'!F25,saltab2020,'wgl tot'!G25+1,FALSE)))</f>
        <v>0</v>
      </c>
      <c r="L25" s="155">
        <f t="shared" si="0"/>
        <v>0</v>
      </c>
      <c r="M25" s="143"/>
      <c r="N25" s="173">
        <f>ROUND(IF(('wgl tot'!L25+'wgl tot'!P25)*BE25&lt;'wgl tot'!H25*tabellen!$D$44,'wgl tot'!H25*tabellen!$D$44,('wgl tot'!L25+'wgl tot'!P25)*BE25),2)</f>
        <v>0</v>
      </c>
      <c r="O25" s="173">
        <f>ROUND(+('wgl tot'!L25+'wgl tot'!P25)*BF25,2)</f>
        <v>0</v>
      </c>
      <c r="P25" s="173">
        <f>ROUND(IF(I25="j",VLOOKUP(BC25,uitlooptoeslag,2,FALSE))*IF('wgl tot'!H25&gt;1,1,'wgl tot'!H25),2)</f>
        <v>0</v>
      </c>
      <c r="Q25" s="173">
        <f>ROUND(IF(BH25="j",tabellen!$D$55*IF('wgl tot'!H25&gt;1,1,'wgl tot'!H25),0),2)</f>
        <v>0</v>
      </c>
      <c r="R25" s="173">
        <f>VLOOKUP(BG25,eindejaarsuitkering_OOP,2,TRUE)*'wgl tot'!H25/12</f>
        <v>0</v>
      </c>
      <c r="S25" s="173">
        <f>ROUND(H25*tabellen!$D$51,2)</f>
        <v>0</v>
      </c>
      <c r="T25" s="173">
        <f>ROUND(H25*tabellen!C$39,2)</f>
        <v>0</v>
      </c>
      <c r="U25" s="173">
        <f t="shared" si="12"/>
        <v>0</v>
      </c>
      <c r="V25" s="174">
        <f t="shared" si="1"/>
        <v>0</v>
      </c>
      <c r="W25" s="173">
        <f>('wgl tot'!L25+'wgl tot'!P25)*tabellen!$C$37*12</f>
        <v>0</v>
      </c>
      <c r="X25" s="155">
        <f t="shared" si="2"/>
        <v>0</v>
      </c>
      <c r="Y25" s="143"/>
      <c r="Z25" s="174">
        <f t="shared" si="19"/>
        <v>0</v>
      </c>
      <c r="AA25" s="207">
        <f>+'wgl tot'!W25/12</f>
        <v>0</v>
      </c>
      <c r="AB25" s="143"/>
      <c r="AC25" s="173">
        <f>IF(F25="",0,(IF('wgl tot'!V25/'wgl tot'!H25&lt;tabellen!$E$6,0,('wgl tot'!V25-tabellen!$E$6*'wgl tot'!H25)/12)*tabellen!$C$6))</f>
        <v>0</v>
      </c>
      <c r="AD25" s="173">
        <f>IF(F25="",0,(IF('wgl tot'!V25/'wgl tot'!H25&lt;tabellen!$E$7,0,(+'wgl tot'!V25-tabellen!$E$7*'wgl tot'!H25)/12)*tabellen!$C$7))</f>
        <v>0</v>
      </c>
      <c r="AE25" s="173">
        <f>'wgl tot'!V25/12*tabellen!$C$8</f>
        <v>0</v>
      </c>
      <c r="AF25" s="173">
        <f>IF(H25=0,0,IF(BM25&gt;tabellen!$G$9/12,tabellen!$G$9/12,BM25)*(tabellen!$C$9+tabellen!$C$10))</f>
        <v>0</v>
      </c>
      <c r="AG25" s="173">
        <f>IF(F25="",0,('wgl tot'!BN25))</f>
        <v>0</v>
      </c>
      <c r="AH25" s="175">
        <f>IF(F25="",0,(IF('wgl tot'!BM25&gt;tabellen!$G$12*'wgl tot'!H25/12,tabellen!$G$12*'wgl tot'!H25/12,'wgl tot'!BM25)*tabellen!$C$12))</f>
        <v>0</v>
      </c>
      <c r="AI25" s="143"/>
      <c r="AJ25" s="175">
        <f>IF(F25="",0,(L25+N25)*IF(J25=1,tabellen!$C$13,IF(J25=2,tabellen!$C$14,IF(J25=3,tabellen!$C$15,IF(J25=5,tabellen!$C$17,IF(J25=6,tabellen!$C$18,IF(J25=7,tabellen!$C$19,IF(J25=8,tabellen!$C$20,tabellen!$C$16))))))))</f>
        <v>0</v>
      </c>
      <c r="AK25" s="175">
        <f>IF(F25="",0,((L25+N25)*tabellen!$C$21))</f>
        <v>0</v>
      </c>
      <c r="AL25" s="224">
        <v>0</v>
      </c>
      <c r="AM25" s="143"/>
      <c r="AN25" s="224">
        <v>0</v>
      </c>
      <c r="AO25" s="143"/>
      <c r="AP25" s="155">
        <f t="shared" si="20"/>
        <v>0</v>
      </c>
      <c r="AQ25" s="155">
        <f t="shared" si="21"/>
        <v>0</v>
      </c>
      <c r="AR25" s="143"/>
      <c r="AS25" s="179" t="str">
        <f t="shared" si="4"/>
        <v/>
      </c>
      <c r="AT25" s="179" t="str">
        <f t="shared" si="5"/>
        <v/>
      </c>
      <c r="AU25" s="143"/>
      <c r="AV25" s="121"/>
      <c r="AW25" s="113"/>
      <c r="AX25" s="113"/>
      <c r="AY25" s="157">
        <f ca="1">YEAR('wgl tot'!$AY$9)-YEAR('wgl tot'!E25)</f>
        <v>120</v>
      </c>
      <c r="AZ25" s="157">
        <f ca="1">MONTH('wgl tot'!$AY$9)-MONTH('wgl tot'!E25)</f>
        <v>1</v>
      </c>
      <c r="BA25" s="157">
        <f ca="1">DAY('wgl tot'!$AY$9)-DAY('wgl tot'!E25)</f>
        <v>18</v>
      </c>
      <c r="BB25" s="122">
        <f>IF(AND('wgl tot'!F25&gt;0,'wgl tot'!F25&lt;17),0,100)</f>
        <v>100</v>
      </c>
      <c r="BC25" s="122">
        <f t="shared" si="6"/>
        <v>0</v>
      </c>
      <c r="BD25" s="140">
        <v>42583</v>
      </c>
      <c r="BE25" s="158">
        <f t="shared" si="18"/>
        <v>0.08</v>
      </c>
      <c r="BF25" s="159">
        <f>+tabellen!$D$45</f>
        <v>6.3E-2</v>
      </c>
      <c r="BG25" s="157">
        <f>IF('wgl tot'!BB25=100,0,'wgl tot'!F25)</f>
        <v>0</v>
      </c>
      <c r="BH25" s="159" t="str">
        <f>IF(OR('wgl tot'!F25="DA",'wgl tot'!F25="DB",'wgl tot'!F25="DBuit",'wgl tot'!F25="DC",'wgl tot'!F25="DCuit",MID('wgl tot'!F25,1,5)="meerh"),"j","n")</f>
        <v>n</v>
      </c>
      <c r="BI25" s="161" t="e">
        <f>IF('wgl tot'!V25/'wgl tot'!H25&lt;tabellen!$E$6,0,(+'wgl tot'!V25-tabellen!$E$6*'wgl tot'!H25)/12*tabellen!$D$6)</f>
        <v>#DIV/0!</v>
      </c>
      <c r="BJ25" s="161" t="e">
        <f>IF('wgl tot'!V25/'wgl tot'!H25&lt;tabellen!$E$7,0,(+'wgl tot'!V25-tabellen!$E$7*'wgl tot'!H25)/12*tabellen!$D$7)</f>
        <v>#DIV/0!</v>
      </c>
      <c r="BK25" s="161">
        <f>'wgl tot'!V25/12*tabellen!$D$8</f>
        <v>0</v>
      </c>
      <c r="BL25" s="162" t="e">
        <f t="shared" ref="BL25:BL86" si="22">SUM(BI25:BK25)</f>
        <v>#DIV/0!</v>
      </c>
      <c r="BM25" s="163" t="e">
        <f>+X25/12-'wgl tot'!BL25</f>
        <v>#DIV/0!</v>
      </c>
      <c r="BN25" s="163" t="e">
        <f>ROUND(IF('wgl tot'!BM25&gt;tabellen!$H$11,tabellen!$H$11,'wgl tot'!BM25)*tabellen!$C$11,2)</f>
        <v>#DIV/0!</v>
      </c>
      <c r="BO25" s="163" t="e">
        <f>+'wgl tot'!BM25+'wgl tot'!BN25</f>
        <v>#DIV/0!</v>
      </c>
      <c r="BP25" s="164">
        <f t="shared" si="8"/>
        <v>1900</v>
      </c>
      <c r="BQ25" s="164">
        <f t="shared" si="9"/>
        <v>1</v>
      </c>
      <c r="BR25" s="157">
        <f t="shared" si="10"/>
        <v>0</v>
      </c>
      <c r="BS25" s="140">
        <f t="shared" si="16"/>
        <v>24227</v>
      </c>
      <c r="BT25" s="140">
        <f t="shared" ca="1" si="17"/>
        <v>43879.576672800926</v>
      </c>
      <c r="BU25" s="122"/>
      <c r="BV25" s="140"/>
      <c r="BW25" s="122"/>
      <c r="BX25" s="160"/>
      <c r="BY25" s="160"/>
      <c r="BZ25" s="160"/>
      <c r="CA25" s="160"/>
      <c r="CB25" s="160"/>
      <c r="CC25" s="160"/>
      <c r="CD25" s="113"/>
      <c r="CE25" s="113"/>
    </row>
    <row r="26" spans="1:83" s="124" customFormat="1" ht="12" customHeight="1" x14ac:dyDescent="0.2">
      <c r="A26" s="113"/>
      <c r="B26" s="114"/>
      <c r="C26" s="143"/>
      <c r="D26" s="149"/>
      <c r="E26" s="150"/>
      <c r="F26" s="151"/>
      <c r="G26" s="151"/>
      <c r="H26" s="152"/>
      <c r="I26" s="151"/>
      <c r="J26" s="153"/>
      <c r="K26" s="173">
        <f>IF(F26="",0,(VLOOKUP('wgl tot'!F26,saltab2020,'wgl tot'!G26+1,FALSE)))</f>
        <v>0</v>
      </c>
      <c r="L26" s="155">
        <f t="shared" si="0"/>
        <v>0</v>
      </c>
      <c r="M26" s="143"/>
      <c r="N26" s="173">
        <f>ROUND(IF(('wgl tot'!L26+'wgl tot'!P26)*BE26&lt;'wgl tot'!H26*tabellen!$D$44,'wgl tot'!H26*tabellen!$D$44,('wgl tot'!L26+'wgl tot'!P26)*BE26),2)</f>
        <v>0</v>
      </c>
      <c r="O26" s="173">
        <f>ROUND(+('wgl tot'!L26+'wgl tot'!P26)*BF26,2)</f>
        <v>0</v>
      </c>
      <c r="P26" s="173">
        <f>ROUND(IF(I26="j",VLOOKUP(BC26,uitlooptoeslag,2,FALSE))*IF('wgl tot'!H26&gt;1,1,'wgl tot'!H26),2)</f>
        <v>0</v>
      </c>
      <c r="Q26" s="173">
        <f>ROUND(IF(BH26="j",tabellen!$D$55*IF('wgl tot'!H26&gt;1,1,'wgl tot'!H26),0),2)</f>
        <v>0</v>
      </c>
      <c r="R26" s="173">
        <f>VLOOKUP(BG26,eindejaarsuitkering_OOP,2,TRUE)*'wgl tot'!H26/12</f>
        <v>0</v>
      </c>
      <c r="S26" s="173">
        <f>ROUND(H26*tabellen!$D$51,2)</f>
        <v>0</v>
      </c>
      <c r="T26" s="173">
        <f>ROUND(H26*tabellen!C$39,2)</f>
        <v>0</v>
      </c>
      <c r="U26" s="173">
        <f t="shared" si="12"/>
        <v>0</v>
      </c>
      <c r="V26" s="174">
        <f t="shared" si="1"/>
        <v>0</v>
      </c>
      <c r="W26" s="173">
        <f>('wgl tot'!L26+'wgl tot'!P26)*tabellen!$C$37*12</f>
        <v>0</v>
      </c>
      <c r="X26" s="155">
        <f t="shared" si="2"/>
        <v>0</v>
      </c>
      <c r="Y26" s="143"/>
      <c r="Z26" s="174">
        <f t="shared" si="19"/>
        <v>0</v>
      </c>
      <c r="AA26" s="207">
        <f>+'wgl tot'!W26/12</f>
        <v>0</v>
      </c>
      <c r="AB26" s="143"/>
      <c r="AC26" s="173">
        <f>IF(F26="",0,(IF('wgl tot'!V26/'wgl tot'!H26&lt;tabellen!$E$6,0,('wgl tot'!V26-tabellen!$E$6*'wgl tot'!H26)/12)*tabellen!$C$6))</f>
        <v>0</v>
      </c>
      <c r="AD26" s="173">
        <f>IF(F26="",0,(IF('wgl tot'!V26/'wgl tot'!H26&lt;tabellen!$E$7,0,(+'wgl tot'!V26-tabellen!$E$7*'wgl tot'!H26)/12)*tabellen!$C$7))</f>
        <v>0</v>
      </c>
      <c r="AE26" s="173">
        <f>'wgl tot'!V26/12*tabellen!$C$8</f>
        <v>0</v>
      </c>
      <c r="AF26" s="173">
        <f>IF(H26=0,0,IF(BM26&gt;tabellen!$G$9/12,tabellen!$G$9/12,BM26)*(tabellen!$C$9+tabellen!$C$10))</f>
        <v>0</v>
      </c>
      <c r="AG26" s="173">
        <f>IF(F26="",0,('wgl tot'!BN26))</f>
        <v>0</v>
      </c>
      <c r="AH26" s="175">
        <f>IF(F26="",0,(IF('wgl tot'!BM26&gt;tabellen!$G$12*'wgl tot'!H26/12,tabellen!$G$12*'wgl tot'!H26/12,'wgl tot'!BM26)*tabellen!$C$12))</f>
        <v>0</v>
      </c>
      <c r="AI26" s="143"/>
      <c r="AJ26" s="175">
        <f>IF(F26="",0,(L26+N26)*IF(J26=1,tabellen!$C$13,IF(J26=2,tabellen!$C$14,IF(J26=3,tabellen!$C$15,IF(J26=5,tabellen!$C$17,IF(J26=6,tabellen!$C$18,IF(J26=7,tabellen!$C$19,IF(J26=8,tabellen!$C$20,tabellen!$C$16))))))))</f>
        <v>0</v>
      </c>
      <c r="AK26" s="175">
        <f>IF(F26="",0,((L26+N26)*tabellen!$C$21))</f>
        <v>0</v>
      </c>
      <c r="AL26" s="224">
        <v>0</v>
      </c>
      <c r="AM26" s="143"/>
      <c r="AN26" s="224">
        <v>0</v>
      </c>
      <c r="AO26" s="143"/>
      <c r="AP26" s="155">
        <f t="shared" si="20"/>
        <v>0</v>
      </c>
      <c r="AQ26" s="155">
        <f t="shared" si="21"/>
        <v>0</v>
      </c>
      <c r="AR26" s="143"/>
      <c r="AS26" s="179" t="str">
        <f t="shared" si="4"/>
        <v/>
      </c>
      <c r="AT26" s="179" t="str">
        <f t="shared" si="5"/>
        <v/>
      </c>
      <c r="AU26" s="143"/>
      <c r="AV26" s="121"/>
      <c r="AW26" s="113"/>
      <c r="AX26" s="113"/>
      <c r="AY26" s="157">
        <f ca="1">YEAR('wgl tot'!$AY$9)-YEAR('wgl tot'!E26)</f>
        <v>120</v>
      </c>
      <c r="AZ26" s="157">
        <f ca="1">MONTH('wgl tot'!$AY$9)-MONTH('wgl tot'!E26)</f>
        <v>1</v>
      </c>
      <c r="BA26" s="157">
        <f ca="1">DAY('wgl tot'!$AY$9)-DAY('wgl tot'!E26)</f>
        <v>18</v>
      </c>
      <c r="BB26" s="122">
        <f>IF(AND('wgl tot'!F26&gt;0,'wgl tot'!F26&lt;17),0,100)</f>
        <v>100</v>
      </c>
      <c r="BC26" s="122">
        <f t="shared" si="6"/>
        <v>0</v>
      </c>
      <c r="BD26" s="140">
        <v>42583</v>
      </c>
      <c r="BE26" s="158">
        <f t="shared" si="18"/>
        <v>0.08</v>
      </c>
      <c r="BF26" s="159">
        <f>+tabellen!$D$45</f>
        <v>6.3E-2</v>
      </c>
      <c r="BG26" s="157">
        <f>IF('wgl tot'!BB26=100,0,'wgl tot'!F26)</f>
        <v>0</v>
      </c>
      <c r="BH26" s="159" t="str">
        <f>IF(OR('wgl tot'!F26="DA",'wgl tot'!F26="DB",'wgl tot'!F26="DBuit",'wgl tot'!F26="DC",'wgl tot'!F26="DCuit",MID('wgl tot'!F26,1,5)="meerh"),"j","n")</f>
        <v>n</v>
      </c>
      <c r="BI26" s="161" t="e">
        <f>IF('wgl tot'!V26/'wgl tot'!H26&lt;tabellen!$E$6,0,(+'wgl tot'!V26-tabellen!$E$6*'wgl tot'!H26)/12*tabellen!$D$6)</f>
        <v>#DIV/0!</v>
      </c>
      <c r="BJ26" s="161" t="e">
        <f>IF('wgl tot'!V26/'wgl tot'!H26&lt;tabellen!$E$7,0,(+'wgl tot'!V26-tabellen!$E$7*'wgl tot'!H26)/12*tabellen!$D$7)</f>
        <v>#DIV/0!</v>
      </c>
      <c r="BK26" s="161">
        <f>'wgl tot'!V26/12*tabellen!$D$8</f>
        <v>0</v>
      </c>
      <c r="BL26" s="162" t="e">
        <f t="shared" si="22"/>
        <v>#DIV/0!</v>
      </c>
      <c r="BM26" s="163" t="e">
        <f>+X26/12-'wgl tot'!BL26</f>
        <v>#DIV/0!</v>
      </c>
      <c r="BN26" s="163" t="e">
        <f>ROUND(IF('wgl tot'!BM26&gt;tabellen!$H$11,tabellen!$H$11,'wgl tot'!BM26)*tabellen!$C$11,2)</f>
        <v>#DIV/0!</v>
      </c>
      <c r="BO26" s="163" t="e">
        <f>+'wgl tot'!BM26+'wgl tot'!BN26</f>
        <v>#DIV/0!</v>
      </c>
      <c r="BP26" s="164">
        <f t="shared" si="8"/>
        <v>1900</v>
      </c>
      <c r="BQ26" s="164">
        <f t="shared" si="9"/>
        <v>1</v>
      </c>
      <c r="BR26" s="157">
        <f t="shared" si="10"/>
        <v>0</v>
      </c>
      <c r="BS26" s="140">
        <f t="shared" si="16"/>
        <v>24227</v>
      </c>
      <c r="BT26" s="140">
        <f t="shared" ca="1" si="17"/>
        <v>43879.576672800926</v>
      </c>
      <c r="BU26" s="122"/>
      <c r="BV26" s="140"/>
      <c r="BW26" s="122"/>
      <c r="BX26" s="160"/>
      <c r="BY26" s="160"/>
      <c r="BZ26" s="160"/>
      <c r="CA26" s="160"/>
      <c r="CB26" s="160"/>
      <c r="CC26" s="160"/>
      <c r="CD26" s="113"/>
      <c r="CE26" s="113"/>
    </row>
    <row r="27" spans="1:83" s="124" customFormat="1" ht="12" customHeight="1" x14ac:dyDescent="0.2">
      <c r="A27" s="113"/>
      <c r="B27" s="114"/>
      <c r="C27" s="143"/>
      <c r="D27" s="149"/>
      <c r="E27" s="150"/>
      <c r="F27" s="151"/>
      <c r="G27" s="151"/>
      <c r="H27" s="152"/>
      <c r="I27" s="151"/>
      <c r="J27" s="153"/>
      <c r="K27" s="173">
        <f>IF(F27="",0,(VLOOKUP('wgl tot'!F27,saltab2020,'wgl tot'!G27+1,FALSE)))</f>
        <v>0</v>
      </c>
      <c r="L27" s="155">
        <f t="shared" si="0"/>
        <v>0</v>
      </c>
      <c r="M27" s="143"/>
      <c r="N27" s="173">
        <f>ROUND(IF(('wgl tot'!L27+'wgl tot'!P27)*BE27&lt;'wgl tot'!H27*tabellen!$D$44,'wgl tot'!H27*tabellen!$D$44,('wgl tot'!L27+'wgl tot'!P27)*BE27),2)</f>
        <v>0</v>
      </c>
      <c r="O27" s="173">
        <f>ROUND(+('wgl tot'!L27+'wgl tot'!P27)*BF27,2)</f>
        <v>0</v>
      </c>
      <c r="P27" s="173">
        <f>ROUND(IF(I27="j",VLOOKUP(BC27,uitlooptoeslag,2,FALSE))*IF('wgl tot'!H27&gt;1,1,'wgl tot'!H27),2)</f>
        <v>0</v>
      </c>
      <c r="Q27" s="173">
        <f>ROUND(IF(BH27="j",tabellen!$D$55*IF('wgl tot'!H27&gt;1,1,'wgl tot'!H27),0),2)</f>
        <v>0</v>
      </c>
      <c r="R27" s="173">
        <f>VLOOKUP(BG27,eindejaarsuitkering_OOP,2,TRUE)*'wgl tot'!H27/12</f>
        <v>0</v>
      </c>
      <c r="S27" s="173">
        <f>ROUND(H27*tabellen!$D$51,2)</f>
        <v>0</v>
      </c>
      <c r="T27" s="173">
        <f>ROUND(H27*tabellen!C$39,2)</f>
        <v>0</v>
      </c>
      <c r="U27" s="173">
        <f t="shared" si="12"/>
        <v>0</v>
      </c>
      <c r="V27" s="174">
        <f t="shared" si="1"/>
        <v>0</v>
      </c>
      <c r="W27" s="173">
        <f>('wgl tot'!L27+'wgl tot'!P27)*tabellen!$C$37*12</f>
        <v>0</v>
      </c>
      <c r="X27" s="155">
        <f t="shared" si="2"/>
        <v>0</v>
      </c>
      <c r="Y27" s="143"/>
      <c r="Z27" s="174">
        <f t="shared" si="19"/>
        <v>0</v>
      </c>
      <c r="AA27" s="207">
        <f>+'wgl tot'!W27/12</f>
        <v>0</v>
      </c>
      <c r="AB27" s="143"/>
      <c r="AC27" s="173">
        <f>IF(F27="",0,(IF('wgl tot'!V27/'wgl tot'!H27&lt;tabellen!$E$6,0,('wgl tot'!V27-tabellen!$E$6*'wgl tot'!H27)/12)*tabellen!$C$6))</f>
        <v>0</v>
      </c>
      <c r="AD27" s="173">
        <f>IF(F27="",0,(IF('wgl tot'!V27/'wgl tot'!H27&lt;tabellen!$E$7,0,(+'wgl tot'!V27-tabellen!$E$7*'wgl tot'!H27)/12)*tabellen!$C$7))</f>
        <v>0</v>
      </c>
      <c r="AE27" s="173">
        <f>'wgl tot'!V27/12*tabellen!$C$8</f>
        <v>0</v>
      </c>
      <c r="AF27" s="173">
        <f>IF(H27=0,0,IF(BM27&gt;tabellen!$G$9/12,tabellen!$G$9/12,BM27)*(tabellen!$C$9+tabellen!$C$10))</f>
        <v>0</v>
      </c>
      <c r="AG27" s="173">
        <f>IF(F27="",0,('wgl tot'!BN27))</f>
        <v>0</v>
      </c>
      <c r="AH27" s="175">
        <f>IF(F27="",0,(IF('wgl tot'!BM27&gt;tabellen!$G$12*'wgl tot'!H27/12,tabellen!$G$12*'wgl tot'!H27/12,'wgl tot'!BM27)*tabellen!$C$12))</f>
        <v>0</v>
      </c>
      <c r="AI27" s="143"/>
      <c r="AJ27" s="175">
        <f>IF(F27="",0,(L27+N27)*IF(J27=1,tabellen!$C$13,IF(J27=2,tabellen!$C$14,IF(J27=3,tabellen!$C$15,IF(J27=5,tabellen!$C$17,IF(J27=6,tabellen!$C$18,IF(J27=7,tabellen!$C$19,IF(J27=8,tabellen!$C$20,tabellen!$C$16))))))))</f>
        <v>0</v>
      </c>
      <c r="AK27" s="175">
        <f>IF(F27="",0,((L27+N27)*tabellen!$C$21))</f>
        <v>0</v>
      </c>
      <c r="AL27" s="224">
        <v>0</v>
      </c>
      <c r="AM27" s="143"/>
      <c r="AN27" s="224">
        <v>0</v>
      </c>
      <c r="AO27" s="143"/>
      <c r="AP27" s="155">
        <f t="shared" si="20"/>
        <v>0</v>
      </c>
      <c r="AQ27" s="155">
        <f t="shared" si="21"/>
        <v>0</v>
      </c>
      <c r="AR27" s="143"/>
      <c r="AS27" s="179" t="str">
        <f t="shared" si="4"/>
        <v/>
      </c>
      <c r="AT27" s="179" t="str">
        <f t="shared" si="5"/>
        <v/>
      </c>
      <c r="AU27" s="143"/>
      <c r="AV27" s="121"/>
      <c r="AW27" s="113"/>
      <c r="AX27" s="113"/>
      <c r="AY27" s="157">
        <f ca="1">YEAR('wgl tot'!$AY$9)-YEAR('wgl tot'!E27)</f>
        <v>120</v>
      </c>
      <c r="AZ27" s="157">
        <f ca="1">MONTH('wgl tot'!$AY$9)-MONTH('wgl tot'!E27)</f>
        <v>1</v>
      </c>
      <c r="BA27" s="157">
        <f ca="1">DAY('wgl tot'!$AY$9)-DAY('wgl tot'!E27)</f>
        <v>18</v>
      </c>
      <c r="BB27" s="122">
        <f>IF(AND('wgl tot'!F27&gt;0,'wgl tot'!F27&lt;17),0,100)</f>
        <v>100</v>
      </c>
      <c r="BC27" s="122">
        <f t="shared" si="6"/>
        <v>0</v>
      </c>
      <c r="BD27" s="140">
        <v>42583</v>
      </c>
      <c r="BE27" s="158">
        <f t="shared" si="18"/>
        <v>0.08</v>
      </c>
      <c r="BF27" s="159">
        <f>+tabellen!$D$45</f>
        <v>6.3E-2</v>
      </c>
      <c r="BG27" s="157">
        <f>IF('wgl tot'!BB27=100,0,'wgl tot'!F27)</f>
        <v>0</v>
      </c>
      <c r="BH27" s="159" t="str">
        <f>IF(OR('wgl tot'!F27="DA",'wgl tot'!F27="DB",'wgl tot'!F27="DBuit",'wgl tot'!F27="DC",'wgl tot'!F27="DCuit",MID('wgl tot'!F27,1,5)="meerh"),"j","n")</f>
        <v>n</v>
      </c>
      <c r="BI27" s="161" t="e">
        <f>IF('wgl tot'!V27/'wgl tot'!H27&lt;tabellen!$E$6,0,(+'wgl tot'!V27-tabellen!$E$6*'wgl tot'!H27)/12*tabellen!$D$6)</f>
        <v>#DIV/0!</v>
      </c>
      <c r="BJ27" s="161" t="e">
        <f>IF('wgl tot'!V27/'wgl tot'!H27&lt;tabellen!$E$7,0,(+'wgl tot'!V27-tabellen!$E$7*'wgl tot'!H27)/12*tabellen!$D$7)</f>
        <v>#DIV/0!</v>
      </c>
      <c r="BK27" s="161">
        <f>'wgl tot'!V27/12*tabellen!$D$8</f>
        <v>0</v>
      </c>
      <c r="BL27" s="162" t="e">
        <f t="shared" si="22"/>
        <v>#DIV/0!</v>
      </c>
      <c r="BM27" s="163" t="e">
        <f>+X27/12-'wgl tot'!BL27</f>
        <v>#DIV/0!</v>
      </c>
      <c r="BN27" s="163" t="e">
        <f>ROUND(IF('wgl tot'!BM27&gt;tabellen!$H$11,tabellen!$H$11,'wgl tot'!BM27)*tabellen!$C$11,2)</f>
        <v>#DIV/0!</v>
      </c>
      <c r="BO27" s="163" t="e">
        <f>+'wgl tot'!BM27+'wgl tot'!BN27</f>
        <v>#DIV/0!</v>
      </c>
      <c r="BP27" s="164">
        <f t="shared" si="8"/>
        <v>1900</v>
      </c>
      <c r="BQ27" s="164">
        <f t="shared" si="9"/>
        <v>1</v>
      </c>
      <c r="BR27" s="157">
        <f t="shared" si="10"/>
        <v>0</v>
      </c>
      <c r="BS27" s="140">
        <f t="shared" si="16"/>
        <v>24227</v>
      </c>
      <c r="BT27" s="140">
        <f t="shared" ca="1" si="17"/>
        <v>43879.576672800926</v>
      </c>
      <c r="BU27" s="122"/>
      <c r="BV27" s="140"/>
      <c r="BW27" s="122"/>
      <c r="BX27" s="160"/>
      <c r="BY27" s="160"/>
      <c r="BZ27" s="160"/>
      <c r="CA27" s="160"/>
      <c r="CB27" s="160"/>
      <c r="CC27" s="160"/>
      <c r="CD27" s="113"/>
      <c r="CE27" s="113"/>
    </row>
    <row r="28" spans="1:83" s="124" customFormat="1" ht="12" customHeight="1" x14ac:dyDescent="0.2">
      <c r="A28" s="113"/>
      <c r="B28" s="114"/>
      <c r="C28" s="143"/>
      <c r="D28" s="149"/>
      <c r="E28" s="150"/>
      <c r="F28" s="151"/>
      <c r="G28" s="151"/>
      <c r="H28" s="152"/>
      <c r="I28" s="151"/>
      <c r="J28" s="153"/>
      <c r="K28" s="173">
        <f>IF(F28="",0,(VLOOKUP('wgl tot'!F28,saltab2020,'wgl tot'!G28+1,FALSE)))</f>
        <v>0</v>
      </c>
      <c r="L28" s="155">
        <f t="shared" si="0"/>
        <v>0</v>
      </c>
      <c r="M28" s="143"/>
      <c r="N28" s="173">
        <f>ROUND(IF(('wgl tot'!L28+'wgl tot'!P28)*BE28&lt;'wgl tot'!H28*tabellen!$D$44,'wgl tot'!H28*tabellen!$D$44,('wgl tot'!L28+'wgl tot'!P28)*BE28),2)</f>
        <v>0</v>
      </c>
      <c r="O28" s="173">
        <f>ROUND(+('wgl tot'!L28+'wgl tot'!P28)*BF28,2)</f>
        <v>0</v>
      </c>
      <c r="P28" s="173">
        <f>ROUND(IF(I28="j",VLOOKUP(BC28,uitlooptoeslag,2,FALSE))*IF('wgl tot'!H28&gt;1,1,'wgl tot'!H28),2)</f>
        <v>0</v>
      </c>
      <c r="Q28" s="173">
        <f>ROUND(IF(BH28="j",tabellen!$D$55*IF('wgl tot'!H28&gt;1,1,'wgl tot'!H28),0),2)</f>
        <v>0</v>
      </c>
      <c r="R28" s="173">
        <f>VLOOKUP(BG28,eindejaarsuitkering_OOP,2,TRUE)*'wgl tot'!H28/12</f>
        <v>0</v>
      </c>
      <c r="S28" s="173">
        <f>ROUND(H28*tabellen!$D$51,2)</f>
        <v>0</v>
      </c>
      <c r="T28" s="173">
        <f>ROUND(H28*tabellen!C$39,2)</f>
        <v>0</v>
      </c>
      <c r="U28" s="173">
        <f t="shared" si="12"/>
        <v>0</v>
      </c>
      <c r="V28" s="174">
        <f t="shared" si="1"/>
        <v>0</v>
      </c>
      <c r="W28" s="173">
        <f>('wgl tot'!L28+'wgl tot'!P28)*tabellen!$C$37*12</f>
        <v>0</v>
      </c>
      <c r="X28" s="155">
        <f t="shared" si="2"/>
        <v>0</v>
      </c>
      <c r="Y28" s="143"/>
      <c r="Z28" s="174">
        <f t="shared" si="19"/>
        <v>0</v>
      </c>
      <c r="AA28" s="207">
        <f>+'wgl tot'!W28/12</f>
        <v>0</v>
      </c>
      <c r="AB28" s="143"/>
      <c r="AC28" s="173">
        <f>IF(F28="",0,(IF('wgl tot'!V28/'wgl tot'!H28&lt;tabellen!$E$6,0,('wgl tot'!V28-tabellen!$E$6*'wgl tot'!H28)/12)*tabellen!$C$6))</f>
        <v>0</v>
      </c>
      <c r="AD28" s="173">
        <f>IF(F28="",0,(IF('wgl tot'!V28/'wgl tot'!H28&lt;tabellen!$E$7,0,(+'wgl tot'!V28-tabellen!$E$7*'wgl tot'!H28)/12)*tabellen!$C$7))</f>
        <v>0</v>
      </c>
      <c r="AE28" s="173">
        <f>'wgl tot'!V28/12*tabellen!$C$8</f>
        <v>0</v>
      </c>
      <c r="AF28" s="173">
        <f>IF(H28=0,0,IF(BM28&gt;tabellen!$G$9/12,tabellen!$G$9/12,BM28)*(tabellen!$C$9+tabellen!$C$10))</f>
        <v>0</v>
      </c>
      <c r="AG28" s="173">
        <f>IF(F28="",0,('wgl tot'!BN28))</f>
        <v>0</v>
      </c>
      <c r="AH28" s="175">
        <f>IF(F28="",0,(IF('wgl tot'!BM28&gt;tabellen!$G$12*'wgl tot'!H28/12,tabellen!$G$12*'wgl tot'!H28/12,'wgl tot'!BM28)*tabellen!$C$12))</f>
        <v>0</v>
      </c>
      <c r="AI28" s="143"/>
      <c r="AJ28" s="175">
        <f>IF(F28="",0,(L28+N28)*IF(J28=1,tabellen!$C$13,IF(J28=2,tabellen!$C$14,IF(J28=3,tabellen!$C$15,IF(J28=5,tabellen!$C$17,IF(J28=6,tabellen!$C$18,IF(J28=7,tabellen!$C$19,IF(J28=8,tabellen!$C$20,tabellen!$C$16))))))))</f>
        <v>0</v>
      </c>
      <c r="AK28" s="175">
        <f>IF(F28="",0,((L28+N28)*tabellen!$C$21))</f>
        <v>0</v>
      </c>
      <c r="AL28" s="224">
        <v>0</v>
      </c>
      <c r="AM28" s="143"/>
      <c r="AN28" s="224">
        <v>0</v>
      </c>
      <c r="AO28" s="143"/>
      <c r="AP28" s="155">
        <f t="shared" si="20"/>
        <v>0</v>
      </c>
      <c r="AQ28" s="155">
        <f t="shared" si="21"/>
        <v>0</v>
      </c>
      <c r="AR28" s="143"/>
      <c r="AS28" s="179" t="str">
        <f t="shared" si="4"/>
        <v/>
      </c>
      <c r="AT28" s="179" t="str">
        <f t="shared" si="5"/>
        <v/>
      </c>
      <c r="AU28" s="143"/>
      <c r="AV28" s="121"/>
      <c r="AW28" s="113"/>
      <c r="AX28" s="113"/>
      <c r="AY28" s="157">
        <f ca="1">YEAR('wgl tot'!$AY$9)-YEAR('wgl tot'!E28)</f>
        <v>120</v>
      </c>
      <c r="AZ28" s="157">
        <f ca="1">MONTH('wgl tot'!$AY$9)-MONTH('wgl tot'!E28)</f>
        <v>1</v>
      </c>
      <c r="BA28" s="157">
        <f ca="1">DAY('wgl tot'!$AY$9)-DAY('wgl tot'!E28)</f>
        <v>18</v>
      </c>
      <c r="BB28" s="122">
        <f>IF(AND('wgl tot'!F28&gt;0,'wgl tot'!F28&lt;17),0,100)</f>
        <v>100</v>
      </c>
      <c r="BC28" s="122">
        <f t="shared" si="6"/>
        <v>0</v>
      </c>
      <c r="BD28" s="140">
        <v>42583</v>
      </c>
      <c r="BE28" s="158">
        <f t="shared" si="18"/>
        <v>0.08</v>
      </c>
      <c r="BF28" s="159">
        <f>+tabellen!$D$45</f>
        <v>6.3E-2</v>
      </c>
      <c r="BG28" s="157">
        <f>IF('wgl tot'!BB28=100,0,'wgl tot'!F28)</f>
        <v>0</v>
      </c>
      <c r="BH28" s="159" t="str">
        <f>IF(OR('wgl tot'!F28="DA",'wgl tot'!F28="DB",'wgl tot'!F28="DBuit",'wgl tot'!F28="DC",'wgl tot'!F28="DCuit",MID('wgl tot'!F28,1,5)="meerh"),"j","n")</f>
        <v>n</v>
      </c>
      <c r="BI28" s="161" t="e">
        <f>IF('wgl tot'!V28/'wgl tot'!H28&lt;tabellen!$E$6,0,(+'wgl tot'!V28-tabellen!$E$6*'wgl tot'!H28)/12*tabellen!$D$6)</f>
        <v>#DIV/0!</v>
      </c>
      <c r="BJ28" s="161" t="e">
        <f>IF('wgl tot'!V28/'wgl tot'!H28&lt;tabellen!$E$7,0,(+'wgl tot'!V28-tabellen!$E$7*'wgl tot'!H28)/12*tabellen!$D$7)</f>
        <v>#DIV/0!</v>
      </c>
      <c r="BK28" s="161">
        <f>'wgl tot'!V28/12*tabellen!$D$8</f>
        <v>0</v>
      </c>
      <c r="BL28" s="162" t="e">
        <f t="shared" si="22"/>
        <v>#DIV/0!</v>
      </c>
      <c r="BM28" s="163" t="e">
        <f>+X28/12-'wgl tot'!BL28</f>
        <v>#DIV/0!</v>
      </c>
      <c r="BN28" s="163" t="e">
        <f>ROUND(IF('wgl tot'!BM28&gt;tabellen!$H$11,tabellen!$H$11,'wgl tot'!BM28)*tabellen!$C$11,2)</f>
        <v>#DIV/0!</v>
      </c>
      <c r="BO28" s="163" t="e">
        <f>+'wgl tot'!BM28+'wgl tot'!BN28</f>
        <v>#DIV/0!</v>
      </c>
      <c r="BP28" s="164">
        <f t="shared" si="8"/>
        <v>1900</v>
      </c>
      <c r="BQ28" s="164">
        <f t="shared" si="9"/>
        <v>1</v>
      </c>
      <c r="BR28" s="157">
        <f t="shared" si="10"/>
        <v>0</v>
      </c>
      <c r="BS28" s="140">
        <f t="shared" si="16"/>
        <v>24227</v>
      </c>
      <c r="BT28" s="140">
        <f t="shared" ca="1" si="17"/>
        <v>43879.576672800926</v>
      </c>
      <c r="BU28" s="122"/>
      <c r="BV28" s="140"/>
      <c r="BW28" s="122"/>
      <c r="BX28" s="160"/>
      <c r="BY28" s="160"/>
      <c r="BZ28" s="160"/>
      <c r="CA28" s="160"/>
      <c r="CB28" s="160"/>
      <c r="CC28" s="160"/>
      <c r="CD28" s="113"/>
      <c r="CE28" s="113"/>
    </row>
    <row r="29" spans="1:83" s="124" customFormat="1" ht="12" customHeight="1" x14ac:dyDescent="0.2">
      <c r="A29" s="113"/>
      <c r="B29" s="114"/>
      <c r="C29" s="143"/>
      <c r="D29" s="149"/>
      <c r="E29" s="150"/>
      <c r="F29" s="151"/>
      <c r="G29" s="151"/>
      <c r="H29" s="152"/>
      <c r="I29" s="151"/>
      <c r="J29" s="153"/>
      <c r="K29" s="173">
        <f>IF(F29="",0,(VLOOKUP('wgl tot'!F29,saltab2020,'wgl tot'!G29+1,FALSE)))</f>
        <v>0</v>
      </c>
      <c r="L29" s="155">
        <f t="shared" si="0"/>
        <v>0</v>
      </c>
      <c r="M29" s="143"/>
      <c r="N29" s="173">
        <f>ROUND(IF(('wgl tot'!L29+'wgl tot'!P29)*BE29&lt;'wgl tot'!H29*tabellen!$D$44,'wgl tot'!H29*tabellen!$D$44,('wgl tot'!L29+'wgl tot'!P29)*BE29),2)</f>
        <v>0</v>
      </c>
      <c r="O29" s="173">
        <f>ROUND(+('wgl tot'!L29+'wgl tot'!P29)*BF29,2)</f>
        <v>0</v>
      </c>
      <c r="P29" s="173">
        <f>ROUND(IF(I29="j",VLOOKUP(BC29,uitlooptoeslag,2,FALSE))*IF('wgl tot'!H29&gt;1,1,'wgl tot'!H29),2)</f>
        <v>0</v>
      </c>
      <c r="Q29" s="173">
        <f>ROUND(IF(BH29="j",tabellen!$D$55*IF('wgl tot'!H29&gt;1,1,'wgl tot'!H29),0),2)</f>
        <v>0</v>
      </c>
      <c r="R29" s="173">
        <f>VLOOKUP(BG29,eindejaarsuitkering_OOP,2,TRUE)*'wgl tot'!H29/12</f>
        <v>0</v>
      </c>
      <c r="S29" s="173">
        <f>ROUND(H29*tabellen!$D$51,2)</f>
        <v>0</v>
      </c>
      <c r="T29" s="173">
        <f>ROUND(H29*tabellen!C$39,2)</f>
        <v>0</v>
      </c>
      <c r="U29" s="173">
        <f t="shared" si="12"/>
        <v>0</v>
      </c>
      <c r="V29" s="174">
        <f t="shared" si="1"/>
        <v>0</v>
      </c>
      <c r="W29" s="173">
        <f>('wgl tot'!L29+'wgl tot'!P29)*tabellen!$C$37*12</f>
        <v>0</v>
      </c>
      <c r="X29" s="155">
        <f t="shared" si="2"/>
        <v>0</v>
      </c>
      <c r="Y29" s="143"/>
      <c r="Z29" s="174">
        <f t="shared" si="19"/>
        <v>0</v>
      </c>
      <c r="AA29" s="207">
        <f>+'wgl tot'!W29/12</f>
        <v>0</v>
      </c>
      <c r="AB29" s="143"/>
      <c r="AC29" s="173">
        <f>IF(F29="",0,(IF('wgl tot'!V29/'wgl tot'!H29&lt;tabellen!$E$6,0,('wgl tot'!V29-tabellen!$E$6*'wgl tot'!H29)/12)*tabellen!$C$6))</f>
        <v>0</v>
      </c>
      <c r="AD29" s="173">
        <f>IF(F29="",0,(IF('wgl tot'!V29/'wgl tot'!H29&lt;tabellen!$E$7,0,(+'wgl tot'!V29-tabellen!$E$7*'wgl tot'!H29)/12)*tabellen!$C$7))</f>
        <v>0</v>
      </c>
      <c r="AE29" s="173">
        <f>'wgl tot'!V29/12*tabellen!$C$8</f>
        <v>0</v>
      </c>
      <c r="AF29" s="173">
        <f>IF(H29=0,0,IF(BM29&gt;tabellen!$G$9/12,tabellen!$G$9/12,BM29)*(tabellen!$C$9+tabellen!$C$10))</f>
        <v>0</v>
      </c>
      <c r="AG29" s="173">
        <f>IF(F29="",0,('wgl tot'!BN29))</f>
        <v>0</v>
      </c>
      <c r="AH29" s="175">
        <f>IF(F29="",0,(IF('wgl tot'!BM29&gt;tabellen!$G$12*'wgl tot'!H29/12,tabellen!$G$12*'wgl tot'!H29/12,'wgl tot'!BM29)*tabellen!$C$12))</f>
        <v>0</v>
      </c>
      <c r="AI29" s="143"/>
      <c r="AJ29" s="175">
        <f>IF(F29="",0,(L29+N29)*IF(J29=1,tabellen!$C$13,IF(J29=2,tabellen!$C$14,IF(J29=3,tabellen!$C$15,IF(J29=5,tabellen!$C$17,IF(J29=6,tabellen!$C$18,IF(J29=7,tabellen!$C$19,IF(J29=8,tabellen!$C$20,tabellen!$C$16))))))))</f>
        <v>0</v>
      </c>
      <c r="AK29" s="175">
        <f>IF(F29="",0,((L29+N29)*tabellen!$C$21))</f>
        <v>0</v>
      </c>
      <c r="AL29" s="224">
        <v>0</v>
      </c>
      <c r="AM29" s="143"/>
      <c r="AN29" s="224">
        <v>0</v>
      </c>
      <c r="AO29" s="143"/>
      <c r="AP29" s="155">
        <f t="shared" si="20"/>
        <v>0</v>
      </c>
      <c r="AQ29" s="155">
        <f t="shared" si="21"/>
        <v>0</v>
      </c>
      <c r="AR29" s="143"/>
      <c r="AS29" s="179" t="str">
        <f t="shared" si="4"/>
        <v/>
      </c>
      <c r="AT29" s="179" t="str">
        <f t="shared" si="5"/>
        <v/>
      </c>
      <c r="AU29" s="143"/>
      <c r="AV29" s="121"/>
      <c r="AW29" s="113"/>
      <c r="AX29" s="113"/>
      <c r="AY29" s="157">
        <f ca="1">YEAR('wgl tot'!$AY$9)-YEAR('wgl tot'!E29)</f>
        <v>120</v>
      </c>
      <c r="AZ29" s="157">
        <f ca="1">MONTH('wgl tot'!$AY$9)-MONTH('wgl tot'!E29)</f>
        <v>1</v>
      </c>
      <c r="BA29" s="157">
        <f ca="1">DAY('wgl tot'!$AY$9)-DAY('wgl tot'!E29)</f>
        <v>18</v>
      </c>
      <c r="BB29" s="122">
        <f>IF(AND('wgl tot'!F29&gt;0,'wgl tot'!F29&lt;17),0,100)</f>
        <v>100</v>
      </c>
      <c r="BC29" s="122">
        <f t="shared" si="6"/>
        <v>0</v>
      </c>
      <c r="BD29" s="140">
        <v>42583</v>
      </c>
      <c r="BE29" s="158">
        <f t="shared" si="18"/>
        <v>0.08</v>
      </c>
      <c r="BF29" s="159">
        <f>+tabellen!$D$45</f>
        <v>6.3E-2</v>
      </c>
      <c r="BG29" s="157">
        <f>IF('wgl tot'!BB29=100,0,'wgl tot'!F29)</f>
        <v>0</v>
      </c>
      <c r="BH29" s="159" t="str">
        <f>IF(OR('wgl tot'!F29="DA",'wgl tot'!F29="DB",'wgl tot'!F29="DBuit",'wgl tot'!F29="DC",'wgl tot'!F29="DCuit",MID('wgl tot'!F29,1,5)="meerh"),"j","n")</f>
        <v>n</v>
      </c>
      <c r="BI29" s="161" t="e">
        <f>IF('wgl tot'!V29/'wgl tot'!H29&lt;tabellen!$E$6,0,(+'wgl tot'!V29-tabellen!$E$6*'wgl tot'!H29)/12*tabellen!$D$6)</f>
        <v>#DIV/0!</v>
      </c>
      <c r="BJ29" s="161" t="e">
        <f>IF('wgl tot'!V29/'wgl tot'!H29&lt;tabellen!$E$7,0,(+'wgl tot'!V29-tabellen!$E$7*'wgl tot'!H29)/12*tabellen!$D$7)</f>
        <v>#DIV/0!</v>
      </c>
      <c r="BK29" s="161">
        <f>'wgl tot'!V29/12*tabellen!$D$8</f>
        <v>0</v>
      </c>
      <c r="BL29" s="162" t="e">
        <f t="shared" si="22"/>
        <v>#DIV/0!</v>
      </c>
      <c r="BM29" s="163" t="e">
        <f>+X29/12-'wgl tot'!BL29</f>
        <v>#DIV/0!</v>
      </c>
      <c r="BN29" s="163" t="e">
        <f>ROUND(IF('wgl tot'!BM29&gt;tabellen!$H$11,tabellen!$H$11,'wgl tot'!BM29)*tabellen!$C$11,2)</f>
        <v>#DIV/0!</v>
      </c>
      <c r="BO29" s="163" t="e">
        <f>+'wgl tot'!BM29+'wgl tot'!BN29</f>
        <v>#DIV/0!</v>
      </c>
      <c r="BP29" s="164">
        <f t="shared" si="8"/>
        <v>1900</v>
      </c>
      <c r="BQ29" s="164">
        <f t="shared" si="9"/>
        <v>1</v>
      </c>
      <c r="BR29" s="157">
        <f t="shared" si="10"/>
        <v>0</v>
      </c>
      <c r="BS29" s="140">
        <f t="shared" si="16"/>
        <v>24227</v>
      </c>
      <c r="BT29" s="140">
        <f t="shared" ca="1" si="17"/>
        <v>43879.576672800926</v>
      </c>
      <c r="BU29" s="122"/>
      <c r="BV29" s="140"/>
      <c r="BW29" s="122"/>
      <c r="BX29" s="160"/>
      <c r="BY29" s="160"/>
      <c r="BZ29" s="160"/>
      <c r="CA29" s="160"/>
      <c r="CB29" s="160"/>
      <c r="CC29" s="160"/>
      <c r="CD29" s="113"/>
      <c r="CE29" s="113"/>
    </row>
    <row r="30" spans="1:83" s="124" customFormat="1" ht="12" customHeight="1" x14ac:dyDescent="0.2">
      <c r="A30" s="113"/>
      <c r="B30" s="114"/>
      <c r="C30" s="143"/>
      <c r="D30" s="149"/>
      <c r="E30" s="150"/>
      <c r="F30" s="151"/>
      <c r="G30" s="151"/>
      <c r="H30" s="152"/>
      <c r="I30" s="151"/>
      <c r="J30" s="153"/>
      <c r="K30" s="173">
        <f>IF(F30="",0,(VLOOKUP('wgl tot'!F30,saltab2020,'wgl tot'!G30+1,FALSE)))</f>
        <v>0</v>
      </c>
      <c r="L30" s="155">
        <f t="shared" si="0"/>
        <v>0</v>
      </c>
      <c r="M30" s="143"/>
      <c r="N30" s="173">
        <f>ROUND(IF(('wgl tot'!L30+'wgl tot'!P30)*BE30&lt;'wgl tot'!H30*tabellen!$D$44,'wgl tot'!H30*tabellen!$D$44,('wgl tot'!L30+'wgl tot'!P30)*BE30),2)</f>
        <v>0</v>
      </c>
      <c r="O30" s="173">
        <f>ROUND(+('wgl tot'!L30+'wgl tot'!P30)*BF30,2)</f>
        <v>0</v>
      </c>
      <c r="P30" s="173">
        <f>ROUND(IF(I30="j",VLOOKUP(BC30,uitlooptoeslag,2,FALSE))*IF('wgl tot'!H30&gt;1,1,'wgl tot'!H30),2)</f>
        <v>0</v>
      </c>
      <c r="Q30" s="173">
        <f>ROUND(IF(BH30="j",tabellen!$D$55*IF('wgl tot'!H30&gt;1,1,'wgl tot'!H30),0),2)</f>
        <v>0</v>
      </c>
      <c r="R30" s="173">
        <f>VLOOKUP(BG30,eindejaarsuitkering_OOP,2,TRUE)*'wgl tot'!H30/12</f>
        <v>0</v>
      </c>
      <c r="S30" s="173">
        <f>ROUND(H30*tabellen!$D$51,2)</f>
        <v>0</v>
      </c>
      <c r="T30" s="173">
        <f>ROUND(H30*tabellen!C$39,2)</f>
        <v>0</v>
      </c>
      <c r="U30" s="173">
        <f t="shared" si="12"/>
        <v>0</v>
      </c>
      <c r="V30" s="174">
        <f t="shared" si="1"/>
        <v>0</v>
      </c>
      <c r="W30" s="173">
        <f>('wgl tot'!L30+'wgl tot'!P30)*tabellen!$C$37*12</f>
        <v>0</v>
      </c>
      <c r="X30" s="155">
        <f t="shared" si="2"/>
        <v>0</v>
      </c>
      <c r="Y30" s="143"/>
      <c r="Z30" s="174">
        <f t="shared" si="19"/>
        <v>0</v>
      </c>
      <c r="AA30" s="207">
        <f>+'wgl tot'!W30/12</f>
        <v>0</v>
      </c>
      <c r="AB30" s="143"/>
      <c r="AC30" s="173">
        <f>IF(F30="",0,(IF('wgl tot'!V30/'wgl tot'!H30&lt;tabellen!$E$6,0,('wgl tot'!V30-tabellen!$E$6*'wgl tot'!H30)/12)*tabellen!$C$6))</f>
        <v>0</v>
      </c>
      <c r="AD30" s="173">
        <f>IF(F30="",0,(IF('wgl tot'!V30/'wgl tot'!H30&lt;tabellen!$E$7,0,(+'wgl tot'!V30-tabellen!$E$7*'wgl tot'!H30)/12)*tabellen!$C$7))</f>
        <v>0</v>
      </c>
      <c r="AE30" s="173">
        <f>'wgl tot'!V30/12*tabellen!$C$8</f>
        <v>0</v>
      </c>
      <c r="AF30" s="173">
        <f>IF(H30=0,0,IF(BM30&gt;tabellen!$G$9/12,tabellen!$G$9/12,BM30)*(tabellen!$C$9+tabellen!$C$10))</f>
        <v>0</v>
      </c>
      <c r="AG30" s="173">
        <f>IF(F30="",0,('wgl tot'!BN30))</f>
        <v>0</v>
      </c>
      <c r="AH30" s="175">
        <f>IF(F30="",0,(IF('wgl tot'!BM30&gt;tabellen!$G$12*'wgl tot'!H30/12,tabellen!$G$12*'wgl tot'!H30/12,'wgl tot'!BM30)*tabellen!$C$12))</f>
        <v>0</v>
      </c>
      <c r="AI30" s="143"/>
      <c r="AJ30" s="175">
        <f>IF(F30="",0,(L30+N30)*IF(J30=1,tabellen!$C$13,IF(J30=2,tabellen!$C$14,IF(J30=3,tabellen!$C$15,IF(J30=5,tabellen!$C$17,IF(J30=6,tabellen!$C$18,IF(J30=7,tabellen!$C$19,IF(J30=8,tabellen!$C$20,tabellen!$C$16))))))))</f>
        <v>0</v>
      </c>
      <c r="AK30" s="175">
        <f>IF(F30="",0,((L30+N30)*tabellen!$C$21))</f>
        <v>0</v>
      </c>
      <c r="AL30" s="224">
        <v>0</v>
      </c>
      <c r="AM30" s="143"/>
      <c r="AN30" s="224">
        <v>0</v>
      </c>
      <c r="AO30" s="143"/>
      <c r="AP30" s="155">
        <f t="shared" si="20"/>
        <v>0</v>
      </c>
      <c r="AQ30" s="155">
        <f t="shared" si="21"/>
        <v>0</v>
      </c>
      <c r="AR30" s="143"/>
      <c r="AS30" s="179" t="str">
        <f t="shared" si="4"/>
        <v/>
      </c>
      <c r="AT30" s="179" t="str">
        <f t="shared" si="5"/>
        <v/>
      </c>
      <c r="AU30" s="143"/>
      <c r="AV30" s="121"/>
      <c r="AW30" s="113"/>
      <c r="AX30" s="113"/>
      <c r="AY30" s="157">
        <f ca="1">YEAR('wgl tot'!$AY$9)-YEAR('wgl tot'!E30)</f>
        <v>120</v>
      </c>
      <c r="AZ30" s="157">
        <f ca="1">MONTH('wgl tot'!$AY$9)-MONTH('wgl tot'!E30)</f>
        <v>1</v>
      </c>
      <c r="BA30" s="157">
        <f ca="1">DAY('wgl tot'!$AY$9)-DAY('wgl tot'!E30)</f>
        <v>18</v>
      </c>
      <c r="BB30" s="122">
        <f>IF(AND('wgl tot'!F30&gt;0,'wgl tot'!F30&lt;17),0,100)</f>
        <v>100</v>
      </c>
      <c r="BC30" s="122">
        <f t="shared" si="6"/>
        <v>0</v>
      </c>
      <c r="BD30" s="140">
        <v>42583</v>
      </c>
      <c r="BE30" s="158">
        <f t="shared" si="18"/>
        <v>0.08</v>
      </c>
      <c r="BF30" s="159">
        <f>+tabellen!$D$45</f>
        <v>6.3E-2</v>
      </c>
      <c r="BG30" s="157">
        <f>IF('wgl tot'!BB30=100,0,'wgl tot'!F30)</f>
        <v>0</v>
      </c>
      <c r="BH30" s="159" t="str">
        <f>IF(OR('wgl tot'!F30="DA",'wgl tot'!F30="DB",'wgl tot'!F30="DBuit",'wgl tot'!F30="DC",'wgl tot'!F30="DCuit",MID('wgl tot'!F30,1,5)="meerh"),"j","n")</f>
        <v>n</v>
      </c>
      <c r="BI30" s="161" t="e">
        <f>IF('wgl tot'!V30/'wgl tot'!H30&lt;tabellen!$E$6,0,(+'wgl tot'!V30-tabellen!$E$6*'wgl tot'!H30)/12*tabellen!$D$6)</f>
        <v>#DIV/0!</v>
      </c>
      <c r="BJ30" s="161" t="e">
        <f>IF('wgl tot'!V30/'wgl tot'!H30&lt;tabellen!$E$7,0,(+'wgl tot'!V30-tabellen!$E$7*'wgl tot'!H30)/12*tabellen!$D$7)</f>
        <v>#DIV/0!</v>
      </c>
      <c r="BK30" s="161">
        <f>'wgl tot'!V30/12*tabellen!$D$8</f>
        <v>0</v>
      </c>
      <c r="BL30" s="162" t="e">
        <f t="shared" si="22"/>
        <v>#DIV/0!</v>
      </c>
      <c r="BM30" s="163" t="e">
        <f>+X30/12-'wgl tot'!BL30</f>
        <v>#DIV/0!</v>
      </c>
      <c r="BN30" s="163" t="e">
        <f>ROUND(IF('wgl tot'!BM30&gt;tabellen!$H$11,tabellen!$H$11,'wgl tot'!BM30)*tabellen!$C$11,2)</f>
        <v>#DIV/0!</v>
      </c>
      <c r="BO30" s="163" t="e">
        <f>+'wgl tot'!BM30+'wgl tot'!BN30</f>
        <v>#DIV/0!</v>
      </c>
      <c r="BP30" s="164">
        <f t="shared" si="8"/>
        <v>1900</v>
      </c>
      <c r="BQ30" s="164">
        <f t="shared" si="9"/>
        <v>1</v>
      </c>
      <c r="BR30" s="157">
        <f t="shared" si="10"/>
        <v>0</v>
      </c>
      <c r="BS30" s="140">
        <f t="shared" si="16"/>
        <v>24227</v>
      </c>
      <c r="BT30" s="140">
        <f t="shared" ca="1" si="17"/>
        <v>43879.576672800926</v>
      </c>
      <c r="BU30" s="122"/>
      <c r="BV30" s="140"/>
      <c r="BW30" s="122"/>
      <c r="BX30" s="160"/>
      <c r="BY30" s="160"/>
      <c r="BZ30" s="160"/>
      <c r="CA30" s="160"/>
      <c r="CB30" s="160"/>
      <c r="CC30" s="160"/>
      <c r="CD30" s="113"/>
      <c r="CE30" s="113"/>
    </row>
    <row r="31" spans="1:83" s="124" customFormat="1" ht="12" customHeight="1" x14ac:dyDescent="0.2">
      <c r="A31" s="113"/>
      <c r="B31" s="114"/>
      <c r="C31" s="143"/>
      <c r="D31" s="149"/>
      <c r="E31" s="150"/>
      <c r="F31" s="151"/>
      <c r="G31" s="151"/>
      <c r="H31" s="152"/>
      <c r="I31" s="151"/>
      <c r="J31" s="153"/>
      <c r="K31" s="173">
        <f>IF(F31="",0,(VLOOKUP('wgl tot'!F31,saltab2020,'wgl tot'!G31+1,FALSE)))</f>
        <v>0</v>
      </c>
      <c r="L31" s="155">
        <f t="shared" si="0"/>
        <v>0</v>
      </c>
      <c r="M31" s="143"/>
      <c r="N31" s="173">
        <f>ROUND(IF(('wgl tot'!L31+'wgl tot'!P31)*BE31&lt;'wgl tot'!H31*tabellen!$D$44,'wgl tot'!H31*tabellen!$D$44,('wgl tot'!L31+'wgl tot'!P31)*BE31),2)</f>
        <v>0</v>
      </c>
      <c r="O31" s="173">
        <f>ROUND(+('wgl tot'!L31+'wgl tot'!P31)*BF31,2)</f>
        <v>0</v>
      </c>
      <c r="P31" s="173">
        <f>ROUND(IF(I31="j",VLOOKUP(BC31,uitlooptoeslag,2,FALSE))*IF('wgl tot'!H31&gt;1,1,'wgl tot'!H31),2)</f>
        <v>0</v>
      </c>
      <c r="Q31" s="173">
        <f>ROUND(IF(BH31="j",tabellen!$D$55*IF('wgl tot'!H31&gt;1,1,'wgl tot'!H31),0),2)</f>
        <v>0</v>
      </c>
      <c r="R31" s="173">
        <f>VLOOKUP(BG31,eindejaarsuitkering_OOP,2,TRUE)*'wgl tot'!H31/12</f>
        <v>0</v>
      </c>
      <c r="S31" s="173">
        <f>ROUND(H31*tabellen!$D$51,2)</f>
        <v>0</v>
      </c>
      <c r="T31" s="173">
        <f>ROUND(H31*tabellen!C$39,2)</f>
        <v>0</v>
      </c>
      <c r="U31" s="173">
        <f t="shared" si="12"/>
        <v>0</v>
      </c>
      <c r="V31" s="174">
        <f t="shared" si="1"/>
        <v>0</v>
      </c>
      <c r="W31" s="173">
        <f>('wgl tot'!L31+'wgl tot'!P31)*tabellen!$C$37*12</f>
        <v>0</v>
      </c>
      <c r="X31" s="155">
        <f t="shared" si="2"/>
        <v>0</v>
      </c>
      <c r="Y31" s="143"/>
      <c r="Z31" s="174">
        <f t="shared" si="19"/>
        <v>0</v>
      </c>
      <c r="AA31" s="207">
        <f>+'wgl tot'!W31/12</f>
        <v>0</v>
      </c>
      <c r="AB31" s="143"/>
      <c r="AC31" s="173">
        <f>IF(F31="",0,(IF('wgl tot'!V31/'wgl tot'!H31&lt;tabellen!$E$6,0,('wgl tot'!V31-tabellen!$E$6*'wgl tot'!H31)/12)*tabellen!$C$6))</f>
        <v>0</v>
      </c>
      <c r="AD31" s="173">
        <f>IF(F31="",0,(IF('wgl tot'!V31/'wgl tot'!H31&lt;tabellen!$E$7,0,(+'wgl tot'!V31-tabellen!$E$7*'wgl tot'!H31)/12)*tabellen!$C$7))</f>
        <v>0</v>
      </c>
      <c r="AE31" s="173">
        <f>'wgl tot'!V31/12*tabellen!$C$8</f>
        <v>0</v>
      </c>
      <c r="AF31" s="173">
        <f>IF(H31=0,0,IF(BM31&gt;tabellen!$G$9/12,tabellen!$G$9/12,BM31)*(tabellen!$C$9+tabellen!$C$10))</f>
        <v>0</v>
      </c>
      <c r="AG31" s="173">
        <f>IF(F31="",0,('wgl tot'!BN31))</f>
        <v>0</v>
      </c>
      <c r="AH31" s="175">
        <f>IF(F31="",0,(IF('wgl tot'!BM31&gt;tabellen!$G$12*'wgl tot'!H31/12,tabellen!$G$12*'wgl tot'!H31/12,'wgl tot'!BM31)*tabellen!$C$12))</f>
        <v>0</v>
      </c>
      <c r="AI31" s="143"/>
      <c r="AJ31" s="175">
        <f>IF(F31="",0,(L31+N31)*IF(J31=1,tabellen!$C$13,IF(J31=2,tabellen!$C$14,IF(J31=3,tabellen!$C$15,IF(J31=5,tabellen!$C$17,IF(J31=6,tabellen!$C$18,IF(J31=7,tabellen!$C$19,IF(J31=8,tabellen!$C$20,tabellen!$C$16))))))))</f>
        <v>0</v>
      </c>
      <c r="AK31" s="175">
        <f>IF(F31="",0,((L31+N31)*tabellen!$C$21))</f>
        <v>0</v>
      </c>
      <c r="AL31" s="224">
        <v>0</v>
      </c>
      <c r="AM31" s="143"/>
      <c r="AN31" s="224">
        <v>0</v>
      </c>
      <c r="AO31" s="143"/>
      <c r="AP31" s="155">
        <f t="shared" si="20"/>
        <v>0</v>
      </c>
      <c r="AQ31" s="155">
        <f t="shared" si="21"/>
        <v>0</v>
      </c>
      <c r="AR31" s="143"/>
      <c r="AS31" s="179" t="str">
        <f t="shared" si="4"/>
        <v/>
      </c>
      <c r="AT31" s="179" t="str">
        <f t="shared" si="5"/>
        <v/>
      </c>
      <c r="AU31" s="143"/>
      <c r="AV31" s="121"/>
      <c r="AW31" s="113"/>
      <c r="AX31" s="113"/>
      <c r="AY31" s="157">
        <f ca="1">YEAR('wgl tot'!$AY$9)-YEAR('wgl tot'!E31)</f>
        <v>120</v>
      </c>
      <c r="AZ31" s="157">
        <f ca="1">MONTH('wgl tot'!$AY$9)-MONTH('wgl tot'!E31)</f>
        <v>1</v>
      </c>
      <c r="BA31" s="157">
        <f ca="1">DAY('wgl tot'!$AY$9)-DAY('wgl tot'!E31)</f>
        <v>18</v>
      </c>
      <c r="BB31" s="122">
        <f>IF(AND('wgl tot'!F31&gt;0,'wgl tot'!F31&lt;17),0,100)</f>
        <v>100</v>
      </c>
      <c r="BC31" s="122">
        <f t="shared" si="6"/>
        <v>0</v>
      </c>
      <c r="BD31" s="140">
        <v>42583</v>
      </c>
      <c r="BE31" s="158">
        <f t="shared" si="18"/>
        <v>0.08</v>
      </c>
      <c r="BF31" s="159">
        <f>+tabellen!$D$45</f>
        <v>6.3E-2</v>
      </c>
      <c r="BG31" s="157">
        <f>IF('wgl tot'!BB31=100,0,'wgl tot'!F31)</f>
        <v>0</v>
      </c>
      <c r="BH31" s="159" t="str">
        <f>IF(OR('wgl tot'!F31="DA",'wgl tot'!F31="DB",'wgl tot'!F31="DBuit",'wgl tot'!F31="DC",'wgl tot'!F31="DCuit",MID('wgl tot'!F31,1,5)="meerh"),"j","n")</f>
        <v>n</v>
      </c>
      <c r="BI31" s="161" t="e">
        <f>IF('wgl tot'!V31/'wgl tot'!H31&lt;tabellen!$E$6,0,(+'wgl tot'!V31-tabellen!$E$6*'wgl tot'!H31)/12*tabellen!$D$6)</f>
        <v>#DIV/0!</v>
      </c>
      <c r="BJ31" s="161" t="e">
        <f>IF('wgl tot'!V31/'wgl tot'!H31&lt;tabellen!$E$7,0,(+'wgl tot'!V31-tabellen!$E$7*'wgl tot'!H31)/12*tabellen!$D$7)</f>
        <v>#DIV/0!</v>
      </c>
      <c r="BK31" s="161">
        <f>'wgl tot'!V31/12*tabellen!$D$8</f>
        <v>0</v>
      </c>
      <c r="BL31" s="162" t="e">
        <f t="shared" si="22"/>
        <v>#DIV/0!</v>
      </c>
      <c r="BM31" s="163" t="e">
        <f>+X31/12-'wgl tot'!BL31</f>
        <v>#DIV/0!</v>
      </c>
      <c r="BN31" s="163" t="e">
        <f>ROUND(IF('wgl tot'!BM31&gt;tabellen!$H$11,tabellen!$H$11,'wgl tot'!BM31)*tabellen!$C$11,2)</f>
        <v>#DIV/0!</v>
      </c>
      <c r="BO31" s="163" t="e">
        <f>+'wgl tot'!BM31+'wgl tot'!BN31</f>
        <v>#DIV/0!</v>
      </c>
      <c r="BP31" s="164">
        <f t="shared" si="8"/>
        <v>1900</v>
      </c>
      <c r="BQ31" s="164">
        <f t="shared" si="9"/>
        <v>1</v>
      </c>
      <c r="BR31" s="157">
        <f t="shared" si="10"/>
        <v>0</v>
      </c>
      <c r="BS31" s="140">
        <f t="shared" si="16"/>
        <v>24227</v>
      </c>
      <c r="BT31" s="140">
        <f t="shared" ca="1" si="17"/>
        <v>43879.576672800926</v>
      </c>
      <c r="BU31" s="122"/>
      <c r="BV31" s="140"/>
      <c r="BW31" s="122"/>
      <c r="BX31" s="160"/>
      <c r="BY31" s="160"/>
      <c r="BZ31" s="160"/>
      <c r="CA31" s="160"/>
      <c r="CB31" s="160"/>
      <c r="CC31" s="160"/>
      <c r="CD31" s="113"/>
      <c r="CE31" s="113"/>
    </row>
    <row r="32" spans="1:83" s="124" customFormat="1" ht="12" customHeight="1" x14ac:dyDescent="0.2">
      <c r="A32" s="113"/>
      <c r="B32" s="114"/>
      <c r="C32" s="143"/>
      <c r="D32" s="149"/>
      <c r="E32" s="150"/>
      <c r="F32" s="151"/>
      <c r="G32" s="151"/>
      <c r="H32" s="152"/>
      <c r="I32" s="151"/>
      <c r="J32" s="153"/>
      <c r="K32" s="173">
        <f>IF(F32="",0,(VLOOKUP('wgl tot'!F32,saltab2020,'wgl tot'!G32+1,FALSE)))</f>
        <v>0</v>
      </c>
      <c r="L32" s="155">
        <f t="shared" si="0"/>
        <v>0</v>
      </c>
      <c r="M32" s="143"/>
      <c r="N32" s="173">
        <f>ROUND(IF(('wgl tot'!L32+'wgl tot'!P32)*BE32&lt;'wgl tot'!H32*tabellen!$D$44,'wgl tot'!H32*tabellen!$D$44,('wgl tot'!L32+'wgl tot'!P32)*BE32),2)</f>
        <v>0</v>
      </c>
      <c r="O32" s="173">
        <f>ROUND(+('wgl tot'!L32+'wgl tot'!P32)*BF32,2)</f>
        <v>0</v>
      </c>
      <c r="P32" s="173">
        <f>ROUND(IF(I32="j",VLOOKUP(BC32,uitlooptoeslag,2,FALSE))*IF('wgl tot'!H32&gt;1,1,'wgl tot'!H32),2)</f>
        <v>0</v>
      </c>
      <c r="Q32" s="173">
        <f>ROUND(IF(BH32="j",tabellen!$D$55*IF('wgl tot'!H32&gt;1,1,'wgl tot'!H32),0),2)</f>
        <v>0</v>
      </c>
      <c r="R32" s="173">
        <f>VLOOKUP(BG32,eindejaarsuitkering_OOP,2,TRUE)*'wgl tot'!H32/12</f>
        <v>0</v>
      </c>
      <c r="S32" s="173">
        <f>ROUND(H32*tabellen!$D$51,2)</f>
        <v>0</v>
      </c>
      <c r="T32" s="173">
        <f>ROUND(H32*tabellen!C$39,2)</f>
        <v>0</v>
      </c>
      <c r="U32" s="173">
        <f t="shared" si="12"/>
        <v>0</v>
      </c>
      <c r="V32" s="174">
        <f t="shared" si="1"/>
        <v>0</v>
      </c>
      <c r="W32" s="173">
        <f>('wgl tot'!L32+'wgl tot'!P32)*tabellen!$C$37*12</f>
        <v>0</v>
      </c>
      <c r="X32" s="155">
        <f t="shared" si="2"/>
        <v>0</v>
      </c>
      <c r="Y32" s="143"/>
      <c r="Z32" s="174">
        <f t="shared" si="19"/>
        <v>0</v>
      </c>
      <c r="AA32" s="207">
        <f>+'wgl tot'!W32/12</f>
        <v>0</v>
      </c>
      <c r="AB32" s="143"/>
      <c r="AC32" s="173">
        <f>IF(F32="",0,(IF('wgl tot'!V32/'wgl tot'!H32&lt;tabellen!$E$6,0,('wgl tot'!V32-tabellen!$E$6*'wgl tot'!H32)/12)*tabellen!$C$6))</f>
        <v>0</v>
      </c>
      <c r="AD32" s="173">
        <f>IF(F32="",0,(IF('wgl tot'!V32/'wgl tot'!H32&lt;tabellen!$E$7,0,(+'wgl tot'!V32-tabellen!$E$7*'wgl tot'!H32)/12)*tabellen!$C$7))</f>
        <v>0</v>
      </c>
      <c r="AE32" s="173">
        <f>'wgl tot'!V32/12*tabellen!$C$8</f>
        <v>0</v>
      </c>
      <c r="AF32" s="173">
        <f>IF(H32=0,0,IF(BM32&gt;tabellen!$G$9/12,tabellen!$G$9/12,BM32)*(tabellen!$C$9+tabellen!$C$10))</f>
        <v>0</v>
      </c>
      <c r="AG32" s="173">
        <f>IF(F32="",0,('wgl tot'!BN32))</f>
        <v>0</v>
      </c>
      <c r="AH32" s="175">
        <f>IF(F32="",0,(IF('wgl tot'!BM32&gt;tabellen!$G$12*'wgl tot'!H32/12,tabellen!$G$12*'wgl tot'!H32/12,'wgl tot'!BM32)*tabellen!$C$12))</f>
        <v>0</v>
      </c>
      <c r="AI32" s="143"/>
      <c r="AJ32" s="175">
        <f>IF(F32="",0,(L32+N32)*IF(J32=1,tabellen!$C$13,IF(J32=2,tabellen!$C$14,IF(J32=3,tabellen!$C$15,IF(J32=5,tabellen!$C$17,IF(J32=6,tabellen!$C$18,IF(J32=7,tabellen!$C$19,IF(J32=8,tabellen!$C$20,tabellen!$C$16))))))))</f>
        <v>0</v>
      </c>
      <c r="AK32" s="175">
        <f>IF(F32="",0,((L32+N32)*tabellen!$C$21))</f>
        <v>0</v>
      </c>
      <c r="AL32" s="224">
        <v>0</v>
      </c>
      <c r="AM32" s="143"/>
      <c r="AN32" s="224">
        <v>0</v>
      </c>
      <c r="AO32" s="143"/>
      <c r="AP32" s="155">
        <f t="shared" si="20"/>
        <v>0</v>
      </c>
      <c r="AQ32" s="155">
        <f t="shared" si="21"/>
        <v>0</v>
      </c>
      <c r="AR32" s="143"/>
      <c r="AS32" s="179" t="str">
        <f t="shared" si="4"/>
        <v/>
      </c>
      <c r="AT32" s="179" t="str">
        <f t="shared" si="5"/>
        <v/>
      </c>
      <c r="AU32" s="143"/>
      <c r="AV32" s="121"/>
      <c r="AW32" s="113"/>
      <c r="AX32" s="113"/>
      <c r="AY32" s="157">
        <f ca="1">YEAR('wgl tot'!$AY$9)-YEAR('wgl tot'!E32)</f>
        <v>120</v>
      </c>
      <c r="AZ32" s="157">
        <f ca="1">MONTH('wgl tot'!$AY$9)-MONTH('wgl tot'!E32)</f>
        <v>1</v>
      </c>
      <c r="BA32" s="157">
        <f ca="1">DAY('wgl tot'!$AY$9)-DAY('wgl tot'!E32)</f>
        <v>18</v>
      </c>
      <c r="BB32" s="122">
        <f>IF(AND('wgl tot'!F32&gt;0,'wgl tot'!F32&lt;17),0,100)</f>
        <v>100</v>
      </c>
      <c r="BC32" s="122">
        <f t="shared" si="6"/>
        <v>0</v>
      </c>
      <c r="BD32" s="140">
        <v>42583</v>
      </c>
      <c r="BE32" s="158">
        <f t="shared" si="18"/>
        <v>0.08</v>
      </c>
      <c r="BF32" s="159">
        <f>+tabellen!$D$45</f>
        <v>6.3E-2</v>
      </c>
      <c r="BG32" s="157">
        <f>IF('wgl tot'!BB32=100,0,'wgl tot'!F32)</f>
        <v>0</v>
      </c>
      <c r="BH32" s="159" t="str">
        <f>IF(OR('wgl tot'!F32="DA",'wgl tot'!F32="DB",'wgl tot'!F32="DBuit",'wgl tot'!F32="DC",'wgl tot'!F32="DCuit",MID('wgl tot'!F32,1,5)="meerh"),"j","n")</f>
        <v>n</v>
      </c>
      <c r="BI32" s="161" t="e">
        <f>IF('wgl tot'!V32/'wgl tot'!H32&lt;tabellen!$E$6,0,(+'wgl tot'!V32-tabellen!$E$6*'wgl tot'!H32)/12*tabellen!$D$6)</f>
        <v>#DIV/0!</v>
      </c>
      <c r="BJ32" s="161" t="e">
        <f>IF('wgl tot'!V32/'wgl tot'!H32&lt;tabellen!$E$7,0,(+'wgl tot'!V32-tabellen!$E$7*'wgl tot'!H32)/12*tabellen!$D$7)</f>
        <v>#DIV/0!</v>
      </c>
      <c r="BK32" s="161">
        <f>'wgl tot'!V32/12*tabellen!$D$8</f>
        <v>0</v>
      </c>
      <c r="BL32" s="162" t="e">
        <f t="shared" si="22"/>
        <v>#DIV/0!</v>
      </c>
      <c r="BM32" s="163" t="e">
        <f>+X32/12-'wgl tot'!BL32</f>
        <v>#DIV/0!</v>
      </c>
      <c r="BN32" s="163" t="e">
        <f>ROUND(IF('wgl tot'!BM32&gt;tabellen!$H$11,tabellen!$H$11,'wgl tot'!BM32)*tabellen!$C$11,2)</f>
        <v>#DIV/0!</v>
      </c>
      <c r="BO32" s="163" t="e">
        <f>+'wgl tot'!BM32+'wgl tot'!BN32</f>
        <v>#DIV/0!</v>
      </c>
      <c r="BP32" s="164">
        <f t="shared" si="8"/>
        <v>1900</v>
      </c>
      <c r="BQ32" s="164">
        <f t="shared" si="9"/>
        <v>1</v>
      </c>
      <c r="BR32" s="157">
        <f t="shared" si="10"/>
        <v>0</v>
      </c>
      <c r="BS32" s="140">
        <f t="shared" si="16"/>
        <v>24227</v>
      </c>
      <c r="BT32" s="140">
        <f t="shared" ca="1" si="17"/>
        <v>43879.576672800926</v>
      </c>
      <c r="BU32" s="122"/>
      <c r="BV32" s="140"/>
      <c r="BW32" s="122"/>
      <c r="BX32" s="160"/>
      <c r="BY32" s="160"/>
      <c r="BZ32" s="160"/>
      <c r="CA32" s="160"/>
      <c r="CB32" s="160"/>
      <c r="CC32" s="160"/>
      <c r="CD32" s="113"/>
      <c r="CE32" s="113"/>
    </row>
    <row r="33" spans="1:83" s="124" customFormat="1" ht="12" customHeight="1" x14ac:dyDescent="0.2">
      <c r="A33" s="113"/>
      <c r="B33" s="114"/>
      <c r="C33" s="143"/>
      <c r="D33" s="149"/>
      <c r="E33" s="150"/>
      <c r="F33" s="151"/>
      <c r="G33" s="151"/>
      <c r="H33" s="152"/>
      <c r="I33" s="151"/>
      <c r="J33" s="153"/>
      <c r="K33" s="173">
        <f>IF(F33="",0,(VLOOKUP('wgl tot'!F33,saltab2020,'wgl tot'!G33+1,FALSE)))</f>
        <v>0</v>
      </c>
      <c r="L33" s="155">
        <f t="shared" si="0"/>
        <v>0</v>
      </c>
      <c r="M33" s="143"/>
      <c r="N33" s="173">
        <f>ROUND(IF(('wgl tot'!L33+'wgl tot'!P33)*BE33&lt;'wgl tot'!H33*tabellen!$D$44,'wgl tot'!H33*tabellen!$D$44,('wgl tot'!L33+'wgl tot'!P33)*BE33),2)</f>
        <v>0</v>
      </c>
      <c r="O33" s="173">
        <f>ROUND(+('wgl tot'!L33+'wgl tot'!P33)*BF33,2)</f>
        <v>0</v>
      </c>
      <c r="P33" s="173">
        <f>ROUND(IF(I33="j",VLOOKUP(BC33,uitlooptoeslag,2,FALSE))*IF('wgl tot'!H33&gt;1,1,'wgl tot'!H33),2)</f>
        <v>0</v>
      </c>
      <c r="Q33" s="173">
        <f>ROUND(IF(BH33="j",tabellen!$D$55*IF('wgl tot'!H33&gt;1,1,'wgl tot'!H33),0),2)</f>
        <v>0</v>
      </c>
      <c r="R33" s="173">
        <f>VLOOKUP(BG33,eindejaarsuitkering_OOP,2,TRUE)*'wgl tot'!H33/12</f>
        <v>0</v>
      </c>
      <c r="S33" s="173">
        <f>ROUND(H33*tabellen!$D$51,2)</f>
        <v>0</v>
      </c>
      <c r="T33" s="173">
        <f>ROUND(H33*tabellen!C$39,2)</f>
        <v>0</v>
      </c>
      <c r="U33" s="173">
        <f t="shared" si="12"/>
        <v>0</v>
      </c>
      <c r="V33" s="174">
        <f t="shared" si="1"/>
        <v>0</v>
      </c>
      <c r="W33" s="173">
        <f>('wgl tot'!L33+'wgl tot'!P33)*tabellen!$C$37*12</f>
        <v>0</v>
      </c>
      <c r="X33" s="155">
        <f t="shared" si="2"/>
        <v>0</v>
      </c>
      <c r="Y33" s="143"/>
      <c r="Z33" s="174">
        <f t="shared" si="19"/>
        <v>0</v>
      </c>
      <c r="AA33" s="207">
        <f>+'wgl tot'!W33/12</f>
        <v>0</v>
      </c>
      <c r="AB33" s="143"/>
      <c r="AC33" s="173">
        <f>IF(F33="",0,(IF('wgl tot'!V33/'wgl tot'!H33&lt;tabellen!$E$6,0,('wgl tot'!V33-tabellen!$E$6*'wgl tot'!H33)/12)*tabellen!$C$6))</f>
        <v>0</v>
      </c>
      <c r="AD33" s="173">
        <f>IF(F33="",0,(IF('wgl tot'!V33/'wgl tot'!H33&lt;tabellen!$E$7,0,(+'wgl tot'!V33-tabellen!$E$7*'wgl tot'!H33)/12)*tabellen!$C$7))</f>
        <v>0</v>
      </c>
      <c r="AE33" s="173">
        <f>'wgl tot'!V33/12*tabellen!$C$8</f>
        <v>0</v>
      </c>
      <c r="AF33" s="173">
        <f>IF(H33=0,0,IF(BM33&gt;tabellen!$G$9/12,tabellen!$G$9/12,BM33)*(tabellen!$C$9+tabellen!$C$10))</f>
        <v>0</v>
      </c>
      <c r="AG33" s="173">
        <f>IF(F33="",0,('wgl tot'!BN33))</f>
        <v>0</v>
      </c>
      <c r="AH33" s="175">
        <f>IF(F33="",0,(IF('wgl tot'!BM33&gt;tabellen!$G$12*'wgl tot'!H33/12,tabellen!$G$12*'wgl tot'!H33/12,'wgl tot'!BM33)*tabellen!$C$12))</f>
        <v>0</v>
      </c>
      <c r="AI33" s="143"/>
      <c r="AJ33" s="175">
        <f>IF(F33="",0,(L33+N33)*IF(J33=1,tabellen!$C$13,IF(J33=2,tabellen!$C$14,IF(J33=3,tabellen!$C$15,IF(J33=5,tabellen!$C$17,IF(J33=6,tabellen!$C$18,IF(J33=7,tabellen!$C$19,IF(J33=8,tabellen!$C$20,tabellen!$C$16))))))))</f>
        <v>0</v>
      </c>
      <c r="AK33" s="175">
        <f>IF(F33="",0,((L33+N33)*tabellen!$C$21))</f>
        <v>0</v>
      </c>
      <c r="AL33" s="224">
        <v>0</v>
      </c>
      <c r="AM33" s="143"/>
      <c r="AN33" s="224">
        <v>0</v>
      </c>
      <c r="AO33" s="143"/>
      <c r="AP33" s="155">
        <f t="shared" si="20"/>
        <v>0</v>
      </c>
      <c r="AQ33" s="155">
        <f t="shared" si="21"/>
        <v>0</v>
      </c>
      <c r="AR33" s="143"/>
      <c r="AS33" s="179" t="str">
        <f t="shared" si="4"/>
        <v/>
      </c>
      <c r="AT33" s="179" t="str">
        <f t="shared" si="5"/>
        <v/>
      </c>
      <c r="AU33" s="143"/>
      <c r="AV33" s="121"/>
      <c r="AW33" s="113"/>
      <c r="AX33" s="113"/>
      <c r="AY33" s="157">
        <f ca="1">YEAR('wgl tot'!$AY$9)-YEAR('wgl tot'!E33)</f>
        <v>120</v>
      </c>
      <c r="AZ33" s="157">
        <f ca="1">MONTH('wgl tot'!$AY$9)-MONTH('wgl tot'!E33)</f>
        <v>1</v>
      </c>
      <c r="BA33" s="157">
        <f ca="1">DAY('wgl tot'!$AY$9)-DAY('wgl tot'!E33)</f>
        <v>18</v>
      </c>
      <c r="BB33" s="122">
        <f>IF(AND('wgl tot'!F33&gt;0,'wgl tot'!F33&lt;17),0,100)</f>
        <v>100</v>
      </c>
      <c r="BC33" s="122">
        <f t="shared" si="6"/>
        <v>0</v>
      </c>
      <c r="BD33" s="140">
        <v>42583</v>
      </c>
      <c r="BE33" s="158">
        <f t="shared" si="18"/>
        <v>0.08</v>
      </c>
      <c r="BF33" s="159">
        <f>+tabellen!$D$45</f>
        <v>6.3E-2</v>
      </c>
      <c r="BG33" s="157">
        <f>IF('wgl tot'!BB33=100,0,'wgl tot'!F33)</f>
        <v>0</v>
      </c>
      <c r="BH33" s="159" t="str">
        <f>IF(OR('wgl tot'!F33="DA",'wgl tot'!F33="DB",'wgl tot'!F33="DBuit",'wgl tot'!F33="DC",'wgl tot'!F33="DCuit",MID('wgl tot'!F33,1,5)="meerh"),"j","n")</f>
        <v>n</v>
      </c>
      <c r="BI33" s="161" t="e">
        <f>IF('wgl tot'!V33/'wgl tot'!H33&lt;tabellen!$E$6,0,(+'wgl tot'!V33-tabellen!$E$6*'wgl tot'!H33)/12*tabellen!$D$6)</f>
        <v>#DIV/0!</v>
      </c>
      <c r="BJ33" s="161" t="e">
        <f>IF('wgl tot'!V33/'wgl tot'!H33&lt;tabellen!$E$7,0,(+'wgl tot'!V33-tabellen!$E$7*'wgl tot'!H33)/12*tabellen!$D$7)</f>
        <v>#DIV/0!</v>
      </c>
      <c r="BK33" s="161">
        <f>'wgl tot'!V33/12*tabellen!$D$8</f>
        <v>0</v>
      </c>
      <c r="BL33" s="162" t="e">
        <f t="shared" si="22"/>
        <v>#DIV/0!</v>
      </c>
      <c r="BM33" s="163" t="e">
        <f>+X33/12-'wgl tot'!BL33</f>
        <v>#DIV/0!</v>
      </c>
      <c r="BN33" s="163" t="e">
        <f>ROUND(IF('wgl tot'!BM33&gt;tabellen!$H$11,tabellen!$H$11,'wgl tot'!BM33)*tabellen!$C$11,2)</f>
        <v>#DIV/0!</v>
      </c>
      <c r="BO33" s="163" t="e">
        <f>+'wgl tot'!BM33+'wgl tot'!BN33</f>
        <v>#DIV/0!</v>
      </c>
      <c r="BP33" s="164">
        <f t="shared" si="8"/>
        <v>1900</v>
      </c>
      <c r="BQ33" s="164">
        <f t="shared" si="9"/>
        <v>1</v>
      </c>
      <c r="BR33" s="157">
        <f t="shared" si="10"/>
        <v>0</v>
      </c>
      <c r="BS33" s="140">
        <f t="shared" si="16"/>
        <v>24227</v>
      </c>
      <c r="BT33" s="140">
        <f t="shared" ca="1" si="17"/>
        <v>43879.576672800926</v>
      </c>
      <c r="BU33" s="122"/>
      <c r="BV33" s="140"/>
      <c r="BW33" s="122"/>
      <c r="BX33" s="160"/>
      <c r="BY33" s="160"/>
      <c r="BZ33" s="160"/>
      <c r="CA33" s="160"/>
      <c r="CB33" s="160"/>
      <c r="CC33" s="160"/>
      <c r="CD33" s="113"/>
      <c r="CE33" s="113"/>
    </row>
    <row r="34" spans="1:83" s="124" customFormat="1" ht="12" customHeight="1" x14ac:dyDescent="0.2">
      <c r="A34" s="113"/>
      <c r="B34" s="114"/>
      <c r="C34" s="143"/>
      <c r="D34" s="149"/>
      <c r="E34" s="150"/>
      <c r="F34" s="151"/>
      <c r="G34" s="151"/>
      <c r="H34" s="152"/>
      <c r="I34" s="151"/>
      <c r="J34" s="153"/>
      <c r="K34" s="173">
        <f>IF(F34="",0,(VLOOKUP('wgl tot'!F34,saltab2020,'wgl tot'!G34+1,FALSE)))</f>
        <v>0</v>
      </c>
      <c r="L34" s="155">
        <f t="shared" si="0"/>
        <v>0</v>
      </c>
      <c r="M34" s="143"/>
      <c r="N34" s="173">
        <f>ROUND(IF(('wgl tot'!L34+'wgl tot'!P34)*BE34&lt;'wgl tot'!H34*tabellen!$D$44,'wgl tot'!H34*tabellen!$D$44,('wgl tot'!L34+'wgl tot'!P34)*BE34),2)</f>
        <v>0</v>
      </c>
      <c r="O34" s="173">
        <f>ROUND(+('wgl tot'!L34+'wgl tot'!P34)*BF34,2)</f>
        <v>0</v>
      </c>
      <c r="P34" s="173">
        <f>ROUND(IF(I34="j",VLOOKUP(BC34,uitlooptoeslag,2,FALSE))*IF('wgl tot'!H34&gt;1,1,'wgl tot'!H34),2)</f>
        <v>0</v>
      </c>
      <c r="Q34" s="173">
        <f>ROUND(IF(BH34="j",tabellen!$D$55*IF('wgl tot'!H34&gt;1,1,'wgl tot'!H34),0),2)</f>
        <v>0</v>
      </c>
      <c r="R34" s="173">
        <f>VLOOKUP(BG34,eindejaarsuitkering_OOP,2,TRUE)*'wgl tot'!H34/12</f>
        <v>0</v>
      </c>
      <c r="S34" s="173">
        <f>ROUND(H34*tabellen!$D$51,2)</f>
        <v>0</v>
      </c>
      <c r="T34" s="173">
        <f>ROUND(H34*tabellen!C$39,2)</f>
        <v>0</v>
      </c>
      <c r="U34" s="173">
        <f t="shared" si="12"/>
        <v>0</v>
      </c>
      <c r="V34" s="174">
        <f t="shared" si="1"/>
        <v>0</v>
      </c>
      <c r="W34" s="173">
        <f>('wgl tot'!L34+'wgl tot'!P34)*tabellen!$C$37*12</f>
        <v>0</v>
      </c>
      <c r="X34" s="155">
        <f t="shared" si="2"/>
        <v>0</v>
      </c>
      <c r="Y34" s="143"/>
      <c r="Z34" s="174">
        <f t="shared" si="19"/>
        <v>0</v>
      </c>
      <c r="AA34" s="207">
        <f>+'wgl tot'!W34/12</f>
        <v>0</v>
      </c>
      <c r="AB34" s="143"/>
      <c r="AC34" s="173">
        <f>IF(F34="",0,(IF('wgl tot'!V34/'wgl tot'!H34&lt;tabellen!$E$6,0,('wgl tot'!V34-tabellen!$E$6*'wgl tot'!H34)/12)*tabellen!$C$6))</f>
        <v>0</v>
      </c>
      <c r="AD34" s="173">
        <f>IF(F34="",0,(IF('wgl tot'!V34/'wgl tot'!H34&lt;tabellen!$E$7,0,(+'wgl tot'!V34-tabellen!$E$7*'wgl tot'!H34)/12)*tabellen!$C$7))</f>
        <v>0</v>
      </c>
      <c r="AE34" s="173">
        <f>'wgl tot'!V34/12*tabellen!$C$8</f>
        <v>0</v>
      </c>
      <c r="AF34" s="173">
        <f>IF(H34=0,0,IF(BM34&gt;tabellen!$G$9/12,tabellen!$G$9/12,BM34)*(tabellen!$C$9+tabellen!$C$10))</f>
        <v>0</v>
      </c>
      <c r="AG34" s="173">
        <f>IF(F34="",0,('wgl tot'!BN34))</f>
        <v>0</v>
      </c>
      <c r="AH34" s="175">
        <f>IF(F34="",0,(IF('wgl tot'!BM34&gt;tabellen!$G$12*'wgl tot'!H34/12,tabellen!$G$12*'wgl tot'!H34/12,'wgl tot'!BM34)*tabellen!$C$12))</f>
        <v>0</v>
      </c>
      <c r="AI34" s="143"/>
      <c r="AJ34" s="175">
        <f>IF(F34="",0,(L34+N34)*IF(J34=1,tabellen!$C$13,IF(J34=2,tabellen!$C$14,IF(J34=3,tabellen!$C$15,IF(J34=5,tabellen!$C$17,IF(J34=6,tabellen!$C$18,IF(J34=7,tabellen!$C$19,IF(J34=8,tabellen!$C$20,tabellen!$C$16))))))))</f>
        <v>0</v>
      </c>
      <c r="AK34" s="175">
        <f>IF(F34="",0,((L34+N34)*tabellen!$C$21))</f>
        <v>0</v>
      </c>
      <c r="AL34" s="224">
        <v>0</v>
      </c>
      <c r="AM34" s="143"/>
      <c r="AN34" s="224">
        <v>0</v>
      </c>
      <c r="AO34" s="143"/>
      <c r="AP34" s="155">
        <f t="shared" si="20"/>
        <v>0</v>
      </c>
      <c r="AQ34" s="155">
        <f t="shared" si="21"/>
        <v>0</v>
      </c>
      <c r="AR34" s="143"/>
      <c r="AS34" s="179" t="str">
        <f t="shared" si="4"/>
        <v/>
      </c>
      <c r="AT34" s="179" t="str">
        <f t="shared" si="5"/>
        <v/>
      </c>
      <c r="AU34" s="143"/>
      <c r="AV34" s="121"/>
      <c r="AW34" s="113"/>
      <c r="AX34" s="113"/>
      <c r="AY34" s="157">
        <f ca="1">YEAR('wgl tot'!$AY$9)-YEAR('wgl tot'!E34)</f>
        <v>120</v>
      </c>
      <c r="AZ34" s="157">
        <f ca="1">MONTH('wgl tot'!$AY$9)-MONTH('wgl tot'!E34)</f>
        <v>1</v>
      </c>
      <c r="BA34" s="157">
        <f ca="1">DAY('wgl tot'!$AY$9)-DAY('wgl tot'!E34)</f>
        <v>18</v>
      </c>
      <c r="BB34" s="122">
        <f>IF(AND('wgl tot'!F34&gt;0,'wgl tot'!F34&lt;17),0,100)</f>
        <v>100</v>
      </c>
      <c r="BC34" s="122">
        <f t="shared" si="6"/>
        <v>0</v>
      </c>
      <c r="BD34" s="140">
        <v>42583</v>
      </c>
      <c r="BE34" s="158">
        <f t="shared" si="18"/>
        <v>0.08</v>
      </c>
      <c r="BF34" s="159">
        <f>+tabellen!$D$45</f>
        <v>6.3E-2</v>
      </c>
      <c r="BG34" s="157">
        <f>IF('wgl tot'!BB34=100,0,'wgl tot'!F34)</f>
        <v>0</v>
      </c>
      <c r="BH34" s="159" t="str">
        <f>IF(OR('wgl tot'!F34="DA",'wgl tot'!F34="DB",'wgl tot'!F34="DBuit",'wgl tot'!F34="DC",'wgl tot'!F34="DCuit",MID('wgl tot'!F34,1,5)="meerh"),"j","n")</f>
        <v>n</v>
      </c>
      <c r="BI34" s="161" t="e">
        <f>IF('wgl tot'!V34/'wgl tot'!H34&lt;tabellen!$E$6,0,(+'wgl tot'!V34-tabellen!$E$6*'wgl tot'!H34)/12*tabellen!$D$6)</f>
        <v>#DIV/0!</v>
      </c>
      <c r="BJ34" s="161" t="e">
        <f>IF('wgl tot'!V34/'wgl tot'!H34&lt;tabellen!$E$7,0,(+'wgl tot'!V34-tabellen!$E$7*'wgl tot'!H34)/12*tabellen!$D$7)</f>
        <v>#DIV/0!</v>
      </c>
      <c r="BK34" s="161">
        <f>'wgl tot'!V34/12*tabellen!$D$8</f>
        <v>0</v>
      </c>
      <c r="BL34" s="162" t="e">
        <f t="shared" si="22"/>
        <v>#DIV/0!</v>
      </c>
      <c r="BM34" s="163" t="e">
        <f>+X34/12-'wgl tot'!BL34</f>
        <v>#DIV/0!</v>
      </c>
      <c r="BN34" s="163" t="e">
        <f>ROUND(IF('wgl tot'!BM34&gt;tabellen!$H$11,tabellen!$H$11,'wgl tot'!BM34)*tabellen!$C$11,2)</f>
        <v>#DIV/0!</v>
      </c>
      <c r="BO34" s="163" t="e">
        <f>+'wgl tot'!BM34+'wgl tot'!BN34</f>
        <v>#DIV/0!</v>
      </c>
      <c r="BP34" s="164">
        <f t="shared" si="8"/>
        <v>1900</v>
      </c>
      <c r="BQ34" s="164">
        <f t="shared" si="9"/>
        <v>1</v>
      </c>
      <c r="BR34" s="157">
        <f t="shared" si="10"/>
        <v>0</v>
      </c>
      <c r="BS34" s="140">
        <f t="shared" si="16"/>
        <v>24227</v>
      </c>
      <c r="BT34" s="140">
        <f t="shared" ca="1" si="17"/>
        <v>43879.576672800926</v>
      </c>
      <c r="BU34" s="122"/>
      <c r="BV34" s="140"/>
      <c r="BW34" s="122"/>
      <c r="BX34" s="160"/>
      <c r="BY34" s="160"/>
      <c r="BZ34" s="160"/>
      <c r="CA34" s="160"/>
      <c r="CB34" s="160"/>
      <c r="CC34" s="160"/>
      <c r="CD34" s="113"/>
      <c r="CE34" s="113"/>
    </row>
    <row r="35" spans="1:83" s="124" customFormat="1" ht="12" customHeight="1" x14ac:dyDescent="0.2">
      <c r="A35" s="113"/>
      <c r="B35" s="114"/>
      <c r="C35" s="143"/>
      <c r="D35" s="149"/>
      <c r="E35" s="150"/>
      <c r="F35" s="151"/>
      <c r="G35" s="151"/>
      <c r="H35" s="152"/>
      <c r="I35" s="151"/>
      <c r="J35" s="153"/>
      <c r="K35" s="173">
        <f>IF(F35="",0,(VLOOKUP('wgl tot'!F35,saltab2020,'wgl tot'!G35+1,FALSE)))</f>
        <v>0</v>
      </c>
      <c r="L35" s="155">
        <f t="shared" si="0"/>
        <v>0</v>
      </c>
      <c r="M35" s="143"/>
      <c r="N35" s="173">
        <f>ROUND(IF(('wgl tot'!L35+'wgl tot'!P35)*BE35&lt;'wgl tot'!H35*tabellen!$D$44,'wgl tot'!H35*tabellen!$D$44,('wgl tot'!L35+'wgl tot'!P35)*BE35),2)</f>
        <v>0</v>
      </c>
      <c r="O35" s="173">
        <f>ROUND(+('wgl tot'!L35+'wgl tot'!P35)*BF35,2)</f>
        <v>0</v>
      </c>
      <c r="P35" s="173">
        <f>ROUND(IF(I35="j",VLOOKUP(BC35,uitlooptoeslag,2,FALSE))*IF('wgl tot'!H35&gt;1,1,'wgl tot'!H35),2)</f>
        <v>0</v>
      </c>
      <c r="Q35" s="173">
        <f>ROUND(IF(BH35="j",tabellen!$D$55*IF('wgl tot'!H35&gt;1,1,'wgl tot'!H35),0),2)</f>
        <v>0</v>
      </c>
      <c r="R35" s="173">
        <f>VLOOKUP(BG35,eindejaarsuitkering_OOP,2,TRUE)*'wgl tot'!H35/12</f>
        <v>0</v>
      </c>
      <c r="S35" s="173">
        <f>ROUND(H35*tabellen!$D$51,2)</f>
        <v>0</v>
      </c>
      <c r="T35" s="173">
        <f>ROUND(H35*tabellen!C$39,2)</f>
        <v>0</v>
      </c>
      <c r="U35" s="173">
        <f t="shared" si="12"/>
        <v>0</v>
      </c>
      <c r="V35" s="174">
        <f t="shared" si="1"/>
        <v>0</v>
      </c>
      <c r="W35" s="173">
        <f>('wgl tot'!L35+'wgl tot'!P35)*tabellen!$C$37*12</f>
        <v>0</v>
      </c>
      <c r="X35" s="155">
        <f t="shared" si="2"/>
        <v>0</v>
      </c>
      <c r="Y35" s="143"/>
      <c r="Z35" s="174">
        <f t="shared" si="19"/>
        <v>0</v>
      </c>
      <c r="AA35" s="207">
        <f>+'wgl tot'!W35/12</f>
        <v>0</v>
      </c>
      <c r="AB35" s="143"/>
      <c r="AC35" s="173">
        <f>IF(F35="",0,(IF('wgl tot'!V35/'wgl tot'!H35&lt;tabellen!$E$6,0,('wgl tot'!V35-tabellen!$E$6*'wgl tot'!H35)/12)*tabellen!$C$6))</f>
        <v>0</v>
      </c>
      <c r="AD35" s="173">
        <f>IF(F35="",0,(IF('wgl tot'!V35/'wgl tot'!H35&lt;tabellen!$E$7,0,(+'wgl tot'!V35-tabellen!$E$7*'wgl tot'!H35)/12)*tabellen!$C$7))</f>
        <v>0</v>
      </c>
      <c r="AE35" s="173">
        <f>'wgl tot'!V35/12*tabellen!$C$8</f>
        <v>0</v>
      </c>
      <c r="AF35" s="173">
        <f>IF(H35=0,0,IF(BM35&gt;tabellen!$G$9/12,tabellen!$G$9/12,BM35)*(tabellen!$C$9+tabellen!$C$10))</f>
        <v>0</v>
      </c>
      <c r="AG35" s="173">
        <f>IF(F35="",0,('wgl tot'!BN35))</f>
        <v>0</v>
      </c>
      <c r="AH35" s="175">
        <f>IF(F35="",0,(IF('wgl tot'!BM35&gt;tabellen!$G$12*'wgl tot'!H35/12,tabellen!$G$12*'wgl tot'!H35/12,'wgl tot'!BM35)*tabellen!$C$12))</f>
        <v>0</v>
      </c>
      <c r="AI35" s="143"/>
      <c r="AJ35" s="175">
        <f>IF(F35="",0,(L35+N35)*IF(J35=1,tabellen!$C$13,IF(J35=2,tabellen!$C$14,IF(J35=3,tabellen!$C$15,IF(J35=5,tabellen!$C$17,IF(J35=6,tabellen!$C$18,IF(J35=7,tabellen!$C$19,IF(J35=8,tabellen!$C$20,tabellen!$C$16))))))))</f>
        <v>0</v>
      </c>
      <c r="AK35" s="175">
        <f>IF(F35="",0,((L35+N35)*tabellen!$C$21))</f>
        <v>0</v>
      </c>
      <c r="AL35" s="224">
        <v>0</v>
      </c>
      <c r="AM35" s="143"/>
      <c r="AN35" s="224">
        <v>0</v>
      </c>
      <c r="AO35" s="143"/>
      <c r="AP35" s="155">
        <f t="shared" si="20"/>
        <v>0</v>
      </c>
      <c r="AQ35" s="155">
        <f t="shared" si="21"/>
        <v>0</v>
      </c>
      <c r="AR35" s="143"/>
      <c r="AS35" s="179" t="str">
        <f t="shared" si="4"/>
        <v/>
      </c>
      <c r="AT35" s="179" t="str">
        <f t="shared" si="5"/>
        <v/>
      </c>
      <c r="AU35" s="143"/>
      <c r="AV35" s="121"/>
      <c r="AW35" s="113"/>
      <c r="AX35" s="113"/>
      <c r="AY35" s="157">
        <f ca="1">YEAR('wgl tot'!$AY$9)-YEAR('wgl tot'!E35)</f>
        <v>120</v>
      </c>
      <c r="AZ35" s="157">
        <f ca="1">MONTH('wgl tot'!$AY$9)-MONTH('wgl tot'!E35)</f>
        <v>1</v>
      </c>
      <c r="BA35" s="157">
        <f ca="1">DAY('wgl tot'!$AY$9)-DAY('wgl tot'!E35)</f>
        <v>18</v>
      </c>
      <c r="BB35" s="122">
        <f>IF(AND('wgl tot'!F35&gt;0,'wgl tot'!F35&lt;17),0,100)</f>
        <v>100</v>
      </c>
      <c r="BC35" s="122">
        <f t="shared" si="6"/>
        <v>0</v>
      </c>
      <c r="BD35" s="140">
        <v>42583</v>
      </c>
      <c r="BE35" s="158">
        <f t="shared" si="18"/>
        <v>0.08</v>
      </c>
      <c r="BF35" s="159">
        <f>+tabellen!$D$45</f>
        <v>6.3E-2</v>
      </c>
      <c r="BG35" s="157">
        <f>IF('wgl tot'!BB35=100,0,'wgl tot'!F35)</f>
        <v>0</v>
      </c>
      <c r="BH35" s="159" t="str">
        <f>IF(OR('wgl tot'!F35="DA",'wgl tot'!F35="DB",'wgl tot'!F35="DBuit",'wgl tot'!F35="DC",'wgl tot'!F35="DCuit",MID('wgl tot'!F35,1,5)="meerh"),"j","n")</f>
        <v>n</v>
      </c>
      <c r="BI35" s="161" t="e">
        <f>IF('wgl tot'!V35/'wgl tot'!H35&lt;tabellen!$E$6,0,(+'wgl tot'!V35-tabellen!$E$6*'wgl tot'!H35)/12*tabellen!$D$6)</f>
        <v>#DIV/0!</v>
      </c>
      <c r="BJ35" s="161" t="e">
        <f>IF('wgl tot'!V35/'wgl tot'!H35&lt;tabellen!$E$7,0,(+'wgl tot'!V35-tabellen!$E$7*'wgl tot'!H35)/12*tabellen!$D$7)</f>
        <v>#DIV/0!</v>
      </c>
      <c r="BK35" s="161">
        <f>'wgl tot'!V35/12*tabellen!$D$8</f>
        <v>0</v>
      </c>
      <c r="BL35" s="162" t="e">
        <f t="shared" si="22"/>
        <v>#DIV/0!</v>
      </c>
      <c r="BM35" s="163" t="e">
        <f>+X35/12-'wgl tot'!BL35</f>
        <v>#DIV/0!</v>
      </c>
      <c r="BN35" s="163" t="e">
        <f>ROUND(IF('wgl tot'!BM35&gt;tabellen!$H$11,tabellen!$H$11,'wgl tot'!BM35)*tabellen!$C$11,2)</f>
        <v>#DIV/0!</v>
      </c>
      <c r="BO35" s="163" t="e">
        <f>+'wgl tot'!BM35+'wgl tot'!BN35</f>
        <v>#DIV/0!</v>
      </c>
      <c r="BP35" s="164">
        <f t="shared" si="8"/>
        <v>1900</v>
      </c>
      <c r="BQ35" s="164">
        <f t="shared" si="9"/>
        <v>1</v>
      </c>
      <c r="BR35" s="157">
        <f t="shared" si="10"/>
        <v>0</v>
      </c>
      <c r="BS35" s="140">
        <f t="shared" si="16"/>
        <v>24227</v>
      </c>
      <c r="BT35" s="140">
        <f t="shared" ca="1" si="17"/>
        <v>43879.576672800926</v>
      </c>
      <c r="BU35" s="122"/>
      <c r="BV35" s="140"/>
      <c r="BW35" s="122"/>
      <c r="BX35" s="160"/>
      <c r="BY35" s="160"/>
      <c r="BZ35" s="160"/>
      <c r="CA35" s="160"/>
      <c r="CB35" s="160"/>
      <c r="CC35" s="160"/>
      <c r="CD35" s="113"/>
      <c r="CE35" s="113"/>
    </row>
    <row r="36" spans="1:83" s="124" customFormat="1" ht="12" customHeight="1" x14ac:dyDescent="0.2">
      <c r="A36" s="113"/>
      <c r="B36" s="114"/>
      <c r="C36" s="143"/>
      <c r="D36" s="149"/>
      <c r="E36" s="150"/>
      <c r="F36" s="151"/>
      <c r="G36" s="151"/>
      <c r="H36" s="152"/>
      <c r="I36" s="151"/>
      <c r="J36" s="153"/>
      <c r="K36" s="173">
        <f>IF(F36="",0,(VLOOKUP('wgl tot'!F36,saltab2020,'wgl tot'!G36+1,FALSE)))</f>
        <v>0</v>
      </c>
      <c r="L36" s="155">
        <f t="shared" si="0"/>
        <v>0</v>
      </c>
      <c r="M36" s="143"/>
      <c r="N36" s="173">
        <f>ROUND(IF(('wgl tot'!L36+'wgl tot'!P36)*BE36&lt;'wgl tot'!H36*tabellen!$D$44,'wgl tot'!H36*tabellen!$D$44,('wgl tot'!L36+'wgl tot'!P36)*BE36),2)</f>
        <v>0</v>
      </c>
      <c r="O36" s="173">
        <f>ROUND(+('wgl tot'!L36+'wgl tot'!P36)*BF36,2)</f>
        <v>0</v>
      </c>
      <c r="P36" s="173">
        <f>ROUND(IF(I36="j",VLOOKUP(BC36,uitlooptoeslag,2,FALSE))*IF('wgl tot'!H36&gt;1,1,'wgl tot'!H36),2)</f>
        <v>0</v>
      </c>
      <c r="Q36" s="173">
        <f>ROUND(IF(BH36="j",tabellen!$D$55*IF('wgl tot'!H36&gt;1,1,'wgl tot'!H36),0),2)</f>
        <v>0</v>
      </c>
      <c r="R36" s="173">
        <f>VLOOKUP(BG36,eindejaarsuitkering_OOP,2,TRUE)*'wgl tot'!H36/12</f>
        <v>0</v>
      </c>
      <c r="S36" s="173">
        <f>ROUND(H36*tabellen!$D$51,2)</f>
        <v>0</v>
      </c>
      <c r="T36" s="173">
        <f>ROUND(H36*tabellen!C$39,2)</f>
        <v>0</v>
      </c>
      <c r="U36" s="173">
        <f t="shared" si="12"/>
        <v>0</v>
      </c>
      <c r="V36" s="174">
        <f t="shared" si="1"/>
        <v>0</v>
      </c>
      <c r="W36" s="173">
        <f>('wgl tot'!L36+'wgl tot'!P36)*tabellen!$C$37*12</f>
        <v>0</v>
      </c>
      <c r="X36" s="155">
        <f t="shared" si="2"/>
        <v>0</v>
      </c>
      <c r="Y36" s="143"/>
      <c r="Z36" s="174">
        <f t="shared" si="19"/>
        <v>0</v>
      </c>
      <c r="AA36" s="207">
        <f>+'wgl tot'!W36/12</f>
        <v>0</v>
      </c>
      <c r="AB36" s="143"/>
      <c r="AC36" s="173">
        <f>IF(F36="",0,(IF('wgl tot'!V36/'wgl tot'!H36&lt;tabellen!$E$6,0,('wgl tot'!V36-tabellen!$E$6*'wgl tot'!H36)/12)*tabellen!$C$6))</f>
        <v>0</v>
      </c>
      <c r="AD36" s="173">
        <f>IF(F36="",0,(IF('wgl tot'!V36/'wgl tot'!H36&lt;tabellen!$E$7,0,(+'wgl tot'!V36-tabellen!$E$7*'wgl tot'!H36)/12)*tabellen!$C$7))</f>
        <v>0</v>
      </c>
      <c r="AE36" s="173">
        <f>'wgl tot'!V36/12*tabellen!$C$8</f>
        <v>0</v>
      </c>
      <c r="AF36" s="173">
        <f>IF(H36=0,0,IF(BM36&gt;tabellen!$G$9/12,tabellen!$G$9/12,BM36)*(tabellen!$C$9+tabellen!$C$10))</f>
        <v>0</v>
      </c>
      <c r="AG36" s="173">
        <f>IF(F36="",0,('wgl tot'!BN36))</f>
        <v>0</v>
      </c>
      <c r="AH36" s="175">
        <f>IF(F36="",0,(IF('wgl tot'!BM36&gt;tabellen!$G$12*'wgl tot'!H36/12,tabellen!$G$12*'wgl tot'!H36/12,'wgl tot'!BM36)*tabellen!$C$12))</f>
        <v>0</v>
      </c>
      <c r="AI36" s="143"/>
      <c r="AJ36" s="175">
        <f>IF(F36="",0,(L36+N36)*IF(J36=1,tabellen!$C$13,IF(J36=2,tabellen!$C$14,IF(J36=3,tabellen!$C$15,IF(J36=5,tabellen!$C$17,IF(J36=6,tabellen!$C$18,IF(J36=7,tabellen!$C$19,IF(J36=8,tabellen!$C$20,tabellen!$C$16))))))))</f>
        <v>0</v>
      </c>
      <c r="AK36" s="175">
        <f>IF(F36="",0,((L36+N36)*tabellen!$C$21))</f>
        <v>0</v>
      </c>
      <c r="AL36" s="224">
        <v>0</v>
      </c>
      <c r="AM36" s="143"/>
      <c r="AN36" s="224">
        <v>0</v>
      </c>
      <c r="AO36" s="143"/>
      <c r="AP36" s="155">
        <f t="shared" si="20"/>
        <v>0</v>
      </c>
      <c r="AQ36" s="155">
        <f t="shared" si="21"/>
        <v>0</v>
      </c>
      <c r="AR36" s="143"/>
      <c r="AS36" s="179" t="str">
        <f t="shared" si="4"/>
        <v/>
      </c>
      <c r="AT36" s="179" t="str">
        <f t="shared" si="5"/>
        <v/>
      </c>
      <c r="AU36" s="143"/>
      <c r="AV36" s="121"/>
      <c r="AW36" s="113"/>
      <c r="AX36" s="113"/>
      <c r="AY36" s="157">
        <f ca="1">YEAR('wgl tot'!$AY$9)-YEAR('wgl tot'!E36)</f>
        <v>120</v>
      </c>
      <c r="AZ36" s="157">
        <f ca="1">MONTH('wgl tot'!$AY$9)-MONTH('wgl tot'!E36)</f>
        <v>1</v>
      </c>
      <c r="BA36" s="157">
        <f ca="1">DAY('wgl tot'!$AY$9)-DAY('wgl tot'!E36)</f>
        <v>18</v>
      </c>
      <c r="BB36" s="122">
        <f>IF(AND('wgl tot'!F36&gt;0,'wgl tot'!F36&lt;17),0,100)</f>
        <v>100</v>
      </c>
      <c r="BC36" s="122">
        <f t="shared" si="6"/>
        <v>0</v>
      </c>
      <c r="BD36" s="140">
        <v>42583</v>
      </c>
      <c r="BE36" s="158">
        <f t="shared" si="18"/>
        <v>0.08</v>
      </c>
      <c r="BF36" s="159">
        <f>+tabellen!$D$45</f>
        <v>6.3E-2</v>
      </c>
      <c r="BG36" s="157">
        <f>IF('wgl tot'!BB36=100,0,'wgl tot'!F36)</f>
        <v>0</v>
      </c>
      <c r="BH36" s="159" t="str">
        <f>IF(OR('wgl tot'!F36="DA",'wgl tot'!F36="DB",'wgl tot'!F36="DBuit",'wgl tot'!F36="DC",'wgl tot'!F36="DCuit",MID('wgl tot'!F36,1,5)="meerh"),"j","n")</f>
        <v>n</v>
      </c>
      <c r="BI36" s="161" t="e">
        <f>IF('wgl tot'!V36/'wgl tot'!H36&lt;tabellen!$E$6,0,(+'wgl tot'!V36-tabellen!$E$6*'wgl tot'!H36)/12*tabellen!$D$6)</f>
        <v>#DIV/0!</v>
      </c>
      <c r="BJ36" s="161" t="e">
        <f>IF('wgl tot'!V36/'wgl tot'!H36&lt;tabellen!$E$7,0,(+'wgl tot'!V36-tabellen!$E$7*'wgl tot'!H36)/12*tabellen!$D$7)</f>
        <v>#DIV/0!</v>
      </c>
      <c r="BK36" s="161">
        <f>'wgl tot'!V36/12*tabellen!$D$8</f>
        <v>0</v>
      </c>
      <c r="BL36" s="162" t="e">
        <f t="shared" si="22"/>
        <v>#DIV/0!</v>
      </c>
      <c r="BM36" s="163" t="e">
        <f>+X36/12-'wgl tot'!BL36</f>
        <v>#DIV/0!</v>
      </c>
      <c r="BN36" s="163" t="e">
        <f>ROUND(IF('wgl tot'!BM36&gt;tabellen!$H$11,tabellen!$H$11,'wgl tot'!BM36)*tabellen!$C$11,2)</f>
        <v>#DIV/0!</v>
      </c>
      <c r="BO36" s="163" t="e">
        <f>+'wgl tot'!BM36+'wgl tot'!BN36</f>
        <v>#DIV/0!</v>
      </c>
      <c r="BP36" s="164">
        <f t="shared" si="8"/>
        <v>1900</v>
      </c>
      <c r="BQ36" s="164">
        <f t="shared" si="9"/>
        <v>1</v>
      </c>
      <c r="BR36" s="157">
        <f t="shared" si="10"/>
        <v>0</v>
      </c>
      <c r="BS36" s="140">
        <f t="shared" si="16"/>
        <v>24227</v>
      </c>
      <c r="BT36" s="140">
        <f t="shared" ca="1" si="17"/>
        <v>43879.576672800926</v>
      </c>
      <c r="BU36" s="122"/>
      <c r="BV36" s="140"/>
      <c r="BW36" s="122"/>
      <c r="BX36" s="160"/>
      <c r="BY36" s="160"/>
      <c r="BZ36" s="160"/>
      <c r="CA36" s="160"/>
      <c r="CB36" s="160"/>
      <c r="CC36" s="160"/>
      <c r="CD36" s="113"/>
      <c r="CE36" s="113"/>
    </row>
    <row r="37" spans="1:83" s="124" customFormat="1" ht="12" customHeight="1" x14ac:dyDescent="0.2">
      <c r="A37" s="113"/>
      <c r="B37" s="114"/>
      <c r="C37" s="143"/>
      <c r="D37" s="149"/>
      <c r="E37" s="150"/>
      <c r="F37" s="151"/>
      <c r="G37" s="151"/>
      <c r="H37" s="152"/>
      <c r="I37" s="151"/>
      <c r="J37" s="153"/>
      <c r="K37" s="173">
        <f>IF(F37="",0,(VLOOKUP('wgl tot'!F37,saltab2020,'wgl tot'!G37+1,FALSE)))</f>
        <v>0</v>
      </c>
      <c r="L37" s="155">
        <f t="shared" si="0"/>
        <v>0</v>
      </c>
      <c r="M37" s="143"/>
      <c r="N37" s="173">
        <f>ROUND(IF(('wgl tot'!L37+'wgl tot'!P37)*BE37&lt;'wgl tot'!H37*tabellen!$D$44,'wgl tot'!H37*tabellen!$D$44,('wgl tot'!L37+'wgl tot'!P37)*BE37),2)</f>
        <v>0</v>
      </c>
      <c r="O37" s="173">
        <f>ROUND(+('wgl tot'!L37+'wgl tot'!P37)*BF37,2)</f>
        <v>0</v>
      </c>
      <c r="P37" s="173">
        <f>ROUND(IF(I37="j",VLOOKUP(BC37,uitlooptoeslag,2,FALSE))*IF('wgl tot'!H37&gt;1,1,'wgl tot'!H37),2)</f>
        <v>0</v>
      </c>
      <c r="Q37" s="173">
        <f>ROUND(IF(BH37="j",tabellen!$D$55*IF('wgl tot'!H37&gt;1,1,'wgl tot'!H37),0),2)</f>
        <v>0</v>
      </c>
      <c r="R37" s="173">
        <f>VLOOKUP(BG37,eindejaarsuitkering_OOP,2,TRUE)*'wgl tot'!H37/12</f>
        <v>0</v>
      </c>
      <c r="S37" s="173">
        <f>ROUND(H37*tabellen!$D$51,2)</f>
        <v>0</v>
      </c>
      <c r="T37" s="173">
        <f>ROUND(H37*tabellen!C$39,2)</f>
        <v>0</v>
      </c>
      <c r="U37" s="173">
        <f t="shared" si="12"/>
        <v>0</v>
      </c>
      <c r="V37" s="174">
        <f t="shared" si="1"/>
        <v>0</v>
      </c>
      <c r="W37" s="173">
        <f>('wgl tot'!L37+'wgl tot'!P37)*tabellen!$C$37*12</f>
        <v>0</v>
      </c>
      <c r="X37" s="155">
        <f t="shared" si="2"/>
        <v>0</v>
      </c>
      <c r="Y37" s="143"/>
      <c r="Z37" s="174">
        <f t="shared" si="19"/>
        <v>0</v>
      </c>
      <c r="AA37" s="207">
        <f>+'wgl tot'!W37/12</f>
        <v>0</v>
      </c>
      <c r="AB37" s="143"/>
      <c r="AC37" s="173">
        <f>IF(F37="",0,(IF('wgl tot'!V37/'wgl tot'!H37&lt;tabellen!$E$6,0,('wgl tot'!V37-tabellen!$E$6*'wgl tot'!H37)/12)*tabellen!$C$6))</f>
        <v>0</v>
      </c>
      <c r="AD37" s="173">
        <f>IF(F37="",0,(IF('wgl tot'!V37/'wgl tot'!H37&lt;tabellen!$E$7,0,(+'wgl tot'!V37-tabellen!$E$7*'wgl tot'!H37)/12)*tabellen!$C$7))</f>
        <v>0</v>
      </c>
      <c r="AE37" s="173">
        <f>'wgl tot'!V37/12*tabellen!$C$8</f>
        <v>0</v>
      </c>
      <c r="AF37" s="173">
        <f>IF(H37=0,0,IF(BM37&gt;tabellen!$G$9/12,tabellen!$G$9/12,BM37)*(tabellen!$C$9+tabellen!$C$10))</f>
        <v>0</v>
      </c>
      <c r="AG37" s="173">
        <f>IF(F37="",0,('wgl tot'!BN37))</f>
        <v>0</v>
      </c>
      <c r="AH37" s="175">
        <f>IF(F37="",0,(IF('wgl tot'!BM37&gt;tabellen!$G$12*'wgl tot'!H37/12,tabellen!$G$12*'wgl tot'!H37/12,'wgl tot'!BM37)*tabellen!$C$12))</f>
        <v>0</v>
      </c>
      <c r="AI37" s="143"/>
      <c r="AJ37" s="175">
        <f>IF(F37="",0,(L37+N37)*IF(J37=1,tabellen!$C$13,IF(J37=2,tabellen!$C$14,IF(J37=3,tabellen!$C$15,IF(J37=5,tabellen!$C$17,IF(J37=6,tabellen!$C$18,IF(J37=7,tabellen!$C$19,IF(J37=8,tabellen!$C$20,tabellen!$C$16))))))))</f>
        <v>0</v>
      </c>
      <c r="AK37" s="175">
        <f>IF(F37="",0,((L37+N37)*tabellen!$C$21))</f>
        <v>0</v>
      </c>
      <c r="AL37" s="224">
        <v>0</v>
      </c>
      <c r="AM37" s="143"/>
      <c r="AN37" s="224">
        <v>0</v>
      </c>
      <c r="AO37" s="143"/>
      <c r="AP37" s="155">
        <f t="shared" si="20"/>
        <v>0</v>
      </c>
      <c r="AQ37" s="155">
        <f t="shared" si="21"/>
        <v>0</v>
      </c>
      <c r="AR37" s="143"/>
      <c r="AS37" s="179" t="str">
        <f t="shared" si="4"/>
        <v/>
      </c>
      <c r="AT37" s="179" t="str">
        <f t="shared" si="5"/>
        <v/>
      </c>
      <c r="AU37" s="143"/>
      <c r="AV37" s="121"/>
      <c r="AW37" s="113"/>
      <c r="AX37" s="113"/>
      <c r="AY37" s="157">
        <f ca="1">YEAR('wgl tot'!$AY$9)-YEAR('wgl tot'!E37)</f>
        <v>120</v>
      </c>
      <c r="AZ37" s="157">
        <f ca="1">MONTH('wgl tot'!$AY$9)-MONTH('wgl tot'!E37)</f>
        <v>1</v>
      </c>
      <c r="BA37" s="157">
        <f ca="1">DAY('wgl tot'!$AY$9)-DAY('wgl tot'!E37)</f>
        <v>18</v>
      </c>
      <c r="BB37" s="122">
        <f>IF(AND('wgl tot'!F37&gt;0,'wgl tot'!F37&lt;17),0,100)</f>
        <v>100</v>
      </c>
      <c r="BC37" s="122">
        <f t="shared" si="6"/>
        <v>0</v>
      </c>
      <c r="BD37" s="140">
        <v>42583</v>
      </c>
      <c r="BE37" s="158">
        <f t="shared" si="18"/>
        <v>0.08</v>
      </c>
      <c r="BF37" s="159">
        <f>+tabellen!$D$45</f>
        <v>6.3E-2</v>
      </c>
      <c r="BG37" s="157">
        <f>IF('wgl tot'!BB37=100,0,'wgl tot'!F37)</f>
        <v>0</v>
      </c>
      <c r="BH37" s="159" t="str">
        <f>IF(OR('wgl tot'!F37="DA",'wgl tot'!F37="DB",'wgl tot'!F37="DBuit",'wgl tot'!F37="DC",'wgl tot'!F37="DCuit",MID('wgl tot'!F37,1,5)="meerh"),"j","n")</f>
        <v>n</v>
      </c>
      <c r="BI37" s="161" t="e">
        <f>IF('wgl tot'!V37/'wgl tot'!H37&lt;tabellen!$E$6,0,(+'wgl tot'!V37-tabellen!$E$6*'wgl tot'!H37)/12*tabellen!$D$6)</f>
        <v>#DIV/0!</v>
      </c>
      <c r="BJ37" s="161" t="e">
        <f>IF('wgl tot'!V37/'wgl tot'!H37&lt;tabellen!$E$7,0,(+'wgl tot'!V37-tabellen!$E$7*'wgl tot'!H37)/12*tabellen!$D$7)</f>
        <v>#DIV/0!</v>
      </c>
      <c r="BK37" s="161">
        <f>'wgl tot'!V37/12*tabellen!$D$8</f>
        <v>0</v>
      </c>
      <c r="BL37" s="162" t="e">
        <f t="shared" si="22"/>
        <v>#DIV/0!</v>
      </c>
      <c r="BM37" s="163" t="e">
        <f>+X37/12-'wgl tot'!BL37</f>
        <v>#DIV/0!</v>
      </c>
      <c r="BN37" s="163" t="e">
        <f>ROUND(IF('wgl tot'!BM37&gt;tabellen!$H$11,tabellen!$H$11,'wgl tot'!BM37)*tabellen!$C$11,2)</f>
        <v>#DIV/0!</v>
      </c>
      <c r="BO37" s="163" t="e">
        <f>+'wgl tot'!BM37+'wgl tot'!BN37</f>
        <v>#DIV/0!</v>
      </c>
      <c r="BP37" s="164">
        <f t="shared" si="8"/>
        <v>1900</v>
      </c>
      <c r="BQ37" s="164">
        <f t="shared" si="9"/>
        <v>1</v>
      </c>
      <c r="BR37" s="157">
        <f t="shared" si="10"/>
        <v>0</v>
      </c>
      <c r="BS37" s="140">
        <f t="shared" si="16"/>
        <v>24227</v>
      </c>
      <c r="BT37" s="140">
        <f t="shared" ca="1" si="17"/>
        <v>43879.576672800926</v>
      </c>
      <c r="BU37" s="122"/>
      <c r="BV37" s="140"/>
      <c r="BW37" s="122"/>
      <c r="BX37" s="160"/>
      <c r="BY37" s="160"/>
      <c r="BZ37" s="160"/>
      <c r="CA37" s="160"/>
      <c r="CB37" s="160"/>
      <c r="CC37" s="160"/>
      <c r="CD37" s="113"/>
      <c r="CE37" s="113"/>
    </row>
    <row r="38" spans="1:83" s="124" customFormat="1" ht="12" customHeight="1" x14ac:dyDescent="0.2">
      <c r="A38" s="113"/>
      <c r="B38" s="114"/>
      <c r="C38" s="143"/>
      <c r="D38" s="149"/>
      <c r="E38" s="150"/>
      <c r="F38" s="151"/>
      <c r="G38" s="151"/>
      <c r="H38" s="152"/>
      <c r="I38" s="151"/>
      <c r="J38" s="153"/>
      <c r="K38" s="173">
        <f>IF(F38="",0,(VLOOKUP('wgl tot'!F38,saltab2020,'wgl tot'!G38+1,FALSE)))</f>
        <v>0</v>
      </c>
      <c r="L38" s="155">
        <f t="shared" si="0"/>
        <v>0</v>
      </c>
      <c r="M38" s="143"/>
      <c r="N38" s="173">
        <f>ROUND(IF(('wgl tot'!L38+'wgl tot'!P38)*BE38&lt;'wgl tot'!H38*tabellen!$D$44,'wgl tot'!H38*tabellen!$D$44,('wgl tot'!L38+'wgl tot'!P38)*BE38),2)</f>
        <v>0</v>
      </c>
      <c r="O38" s="173">
        <f>ROUND(+('wgl tot'!L38+'wgl tot'!P38)*BF38,2)</f>
        <v>0</v>
      </c>
      <c r="P38" s="173">
        <f>ROUND(IF(I38="j",VLOOKUP(BC38,uitlooptoeslag,2,FALSE))*IF('wgl tot'!H38&gt;1,1,'wgl tot'!H38),2)</f>
        <v>0</v>
      </c>
      <c r="Q38" s="173">
        <f>ROUND(IF(BH38="j",tabellen!$D$55*IF('wgl tot'!H38&gt;1,1,'wgl tot'!H38),0),2)</f>
        <v>0</v>
      </c>
      <c r="R38" s="173">
        <f>VLOOKUP(BG38,eindejaarsuitkering_OOP,2,TRUE)*'wgl tot'!H38/12</f>
        <v>0</v>
      </c>
      <c r="S38" s="173">
        <f>ROUND(H38*tabellen!$D$51,2)</f>
        <v>0</v>
      </c>
      <c r="T38" s="173">
        <f>ROUND(H38*tabellen!C$39,2)</f>
        <v>0</v>
      </c>
      <c r="U38" s="173">
        <f t="shared" si="12"/>
        <v>0</v>
      </c>
      <c r="V38" s="174">
        <f t="shared" si="1"/>
        <v>0</v>
      </c>
      <c r="W38" s="173">
        <f>('wgl tot'!L38+'wgl tot'!P38)*tabellen!$C$37*12</f>
        <v>0</v>
      </c>
      <c r="X38" s="155">
        <f t="shared" si="2"/>
        <v>0</v>
      </c>
      <c r="Y38" s="143"/>
      <c r="Z38" s="174">
        <f t="shared" si="19"/>
        <v>0</v>
      </c>
      <c r="AA38" s="207">
        <f>+'wgl tot'!W38/12</f>
        <v>0</v>
      </c>
      <c r="AB38" s="143"/>
      <c r="AC38" s="173">
        <f>IF(F38="",0,(IF('wgl tot'!V38/'wgl tot'!H38&lt;tabellen!$E$6,0,('wgl tot'!V38-tabellen!$E$6*'wgl tot'!H38)/12)*tabellen!$C$6))</f>
        <v>0</v>
      </c>
      <c r="AD38" s="173">
        <f>IF(F38="",0,(IF('wgl tot'!V38/'wgl tot'!H38&lt;tabellen!$E$7,0,(+'wgl tot'!V38-tabellen!$E$7*'wgl tot'!H38)/12)*tabellen!$C$7))</f>
        <v>0</v>
      </c>
      <c r="AE38" s="173">
        <f>'wgl tot'!V38/12*tabellen!$C$8</f>
        <v>0</v>
      </c>
      <c r="AF38" s="173">
        <f>IF(H38=0,0,IF(BM38&gt;tabellen!$G$9/12,tabellen!$G$9/12,BM38)*(tabellen!$C$9+tabellen!$C$10))</f>
        <v>0</v>
      </c>
      <c r="AG38" s="173">
        <f>IF(F38="",0,('wgl tot'!BN38))</f>
        <v>0</v>
      </c>
      <c r="AH38" s="175">
        <f>IF(F38="",0,(IF('wgl tot'!BM38&gt;tabellen!$G$12*'wgl tot'!H38/12,tabellen!$G$12*'wgl tot'!H38/12,'wgl tot'!BM38)*tabellen!$C$12))</f>
        <v>0</v>
      </c>
      <c r="AI38" s="143"/>
      <c r="AJ38" s="175">
        <f>IF(F38="",0,(L38+N38)*IF(J38=1,tabellen!$C$13,IF(J38=2,tabellen!$C$14,IF(J38=3,tabellen!$C$15,IF(J38=5,tabellen!$C$17,IF(J38=6,tabellen!$C$18,IF(J38=7,tabellen!$C$19,IF(J38=8,tabellen!$C$20,tabellen!$C$16))))))))</f>
        <v>0</v>
      </c>
      <c r="AK38" s="175">
        <f>IF(F38="",0,((L38+N38)*tabellen!$C$21))</f>
        <v>0</v>
      </c>
      <c r="AL38" s="224">
        <v>0</v>
      </c>
      <c r="AM38" s="143"/>
      <c r="AN38" s="224">
        <v>0</v>
      </c>
      <c r="AO38" s="143"/>
      <c r="AP38" s="155">
        <f t="shared" si="20"/>
        <v>0</v>
      </c>
      <c r="AQ38" s="155">
        <f t="shared" si="21"/>
        <v>0</v>
      </c>
      <c r="AR38" s="143"/>
      <c r="AS38" s="179" t="str">
        <f t="shared" si="4"/>
        <v/>
      </c>
      <c r="AT38" s="179" t="str">
        <f t="shared" si="5"/>
        <v/>
      </c>
      <c r="AU38" s="143"/>
      <c r="AV38" s="121"/>
      <c r="AW38" s="113"/>
      <c r="AX38" s="113"/>
      <c r="AY38" s="157">
        <f ca="1">YEAR('wgl tot'!$AY$9)-YEAR('wgl tot'!E38)</f>
        <v>120</v>
      </c>
      <c r="AZ38" s="157">
        <f ca="1">MONTH('wgl tot'!$AY$9)-MONTH('wgl tot'!E38)</f>
        <v>1</v>
      </c>
      <c r="BA38" s="157">
        <f ca="1">DAY('wgl tot'!$AY$9)-DAY('wgl tot'!E38)</f>
        <v>18</v>
      </c>
      <c r="BB38" s="122">
        <f>IF(AND('wgl tot'!F38&gt;0,'wgl tot'!F38&lt;17),0,100)</f>
        <v>100</v>
      </c>
      <c r="BC38" s="122">
        <f t="shared" si="6"/>
        <v>0</v>
      </c>
      <c r="BD38" s="140">
        <v>42583</v>
      </c>
      <c r="BE38" s="158">
        <f t="shared" si="18"/>
        <v>0.08</v>
      </c>
      <c r="BF38" s="159">
        <f>+tabellen!$D$45</f>
        <v>6.3E-2</v>
      </c>
      <c r="BG38" s="157">
        <f>IF('wgl tot'!BB38=100,0,'wgl tot'!F38)</f>
        <v>0</v>
      </c>
      <c r="BH38" s="159" t="str">
        <f>IF(OR('wgl tot'!F38="DA",'wgl tot'!F38="DB",'wgl tot'!F38="DBuit",'wgl tot'!F38="DC",'wgl tot'!F38="DCuit",MID('wgl tot'!F38,1,5)="meerh"),"j","n")</f>
        <v>n</v>
      </c>
      <c r="BI38" s="161" t="e">
        <f>IF('wgl tot'!V38/'wgl tot'!H38&lt;tabellen!$E$6,0,(+'wgl tot'!V38-tabellen!$E$6*'wgl tot'!H38)/12*tabellen!$D$6)</f>
        <v>#DIV/0!</v>
      </c>
      <c r="BJ38" s="161" t="e">
        <f>IF('wgl tot'!V38/'wgl tot'!H38&lt;tabellen!$E$7,0,(+'wgl tot'!V38-tabellen!$E$7*'wgl tot'!H38)/12*tabellen!$D$7)</f>
        <v>#DIV/0!</v>
      </c>
      <c r="BK38" s="161">
        <f>'wgl tot'!V38/12*tabellen!$D$8</f>
        <v>0</v>
      </c>
      <c r="BL38" s="162" t="e">
        <f t="shared" si="22"/>
        <v>#DIV/0!</v>
      </c>
      <c r="BM38" s="163" t="e">
        <f>+X38/12-'wgl tot'!BL38</f>
        <v>#DIV/0!</v>
      </c>
      <c r="BN38" s="163" t="e">
        <f>ROUND(IF('wgl tot'!BM38&gt;tabellen!$H$11,tabellen!$H$11,'wgl tot'!BM38)*tabellen!$C$11,2)</f>
        <v>#DIV/0!</v>
      </c>
      <c r="BO38" s="163" t="e">
        <f>+'wgl tot'!BM38+'wgl tot'!BN38</f>
        <v>#DIV/0!</v>
      </c>
      <c r="BP38" s="164">
        <f t="shared" si="8"/>
        <v>1900</v>
      </c>
      <c r="BQ38" s="164">
        <f t="shared" si="9"/>
        <v>1</v>
      </c>
      <c r="BR38" s="157">
        <f t="shared" si="10"/>
        <v>0</v>
      </c>
      <c r="BS38" s="140">
        <f t="shared" si="16"/>
        <v>24227</v>
      </c>
      <c r="BT38" s="140">
        <f t="shared" ca="1" si="17"/>
        <v>43879.576672800926</v>
      </c>
      <c r="BU38" s="122"/>
      <c r="BV38" s="140"/>
      <c r="BW38" s="122"/>
      <c r="BX38" s="160"/>
      <c r="BY38" s="160"/>
      <c r="BZ38" s="160"/>
      <c r="CA38" s="160"/>
      <c r="CB38" s="160"/>
      <c r="CC38" s="160"/>
      <c r="CD38" s="113"/>
      <c r="CE38" s="113"/>
    </row>
    <row r="39" spans="1:83" s="124" customFormat="1" ht="12" customHeight="1" x14ac:dyDescent="0.2">
      <c r="A39" s="113"/>
      <c r="B39" s="114"/>
      <c r="C39" s="143"/>
      <c r="D39" s="149"/>
      <c r="E39" s="150"/>
      <c r="F39" s="151"/>
      <c r="G39" s="151"/>
      <c r="H39" s="152"/>
      <c r="I39" s="151"/>
      <c r="J39" s="153"/>
      <c r="K39" s="173">
        <f>IF(F39="",0,(VLOOKUP('wgl tot'!F39,saltab2020,'wgl tot'!G39+1,FALSE)))</f>
        <v>0</v>
      </c>
      <c r="L39" s="155">
        <f t="shared" si="0"/>
        <v>0</v>
      </c>
      <c r="M39" s="143"/>
      <c r="N39" s="173">
        <f>ROUND(IF(('wgl tot'!L39+'wgl tot'!P39)*BE39&lt;'wgl tot'!H39*tabellen!$D$44,'wgl tot'!H39*tabellen!$D$44,('wgl tot'!L39+'wgl tot'!P39)*BE39),2)</f>
        <v>0</v>
      </c>
      <c r="O39" s="173">
        <f>ROUND(+('wgl tot'!L39+'wgl tot'!P39)*BF39,2)</f>
        <v>0</v>
      </c>
      <c r="P39" s="173">
        <f>ROUND(IF(I39="j",VLOOKUP(BC39,uitlooptoeslag,2,FALSE))*IF('wgl tot'!H39&gt;1,1,'wgl tot'!H39),2)</f>
        <v>0</v>
      </c>
      <c r="Q39" s="173">
        <f>ROUND(IF(BH39="j",tabellen!$D$55*IF('wgl tot'!H39&gt;1,1,'wgl tot'!H39),0),2)</f>
        <v>0</v>
      </c>
      <c r="R39" s="173">
        <f>VLOOKUP(BG39,eindejaarsuitkering_OOP,2,TRUE)*'wgl tot'!H39/12</f>
        <v>0</v>
      </c>
      <c r="S39" s="173">
        <f>ROUND(H39*tabellen!$D$51,2)</f>
        <v>0</v>
      </c>
      <c r="T39" s="173">
        <f>ROUND(H39*tabellen!C$39,2)</f>
        <v>0</v>
      </c>
      <c r="U39" s="173">
        <f t="shared" si="12"/>
        <v>0</v>
      </c>
      <c r="V39" s="174">
        <f t="shared" si="1"/>
        <v>0</v>
      </c>
      <c r="W39" s="173">
        <f>('wgl tot'!L39+'wgl tot'!P39)*tabellen!$C$37*12</f>
        <v>0</v>
      </c>
      <c r="X39" s="155">
        <f t="shared" si="2"/>
        <v>0</v>
      </c>
      <c r="Y39" s="143"/>
      <c r="Z39" s="174">
        <f t="shared" si="19"/>
        <v>0</v>
      </c>
      <c r="AA39" s="207">
        <f>+'wgl tot'!W39/12</f>
        <v>0</v>
      </c>
      <c r="AB39" s="143"/>
      <c r="AC39" s="173">
        <f>IF(F39="",0,(IF('wgl tot'!V39/'wgl tot'!H39&lt;tabellen!$E$6,0,('wgl tot'!V39-tabellen!$E$6*'wgl tot'!H39)/12)*tabellen!$C$6))</f>
        <v>0</v>
      </c>
      <c r="AD39" s="173">
        <f>IF(F39="",0,(IF('wgl tot'!V39/'wgl tot'!H39&lt;tabellen!$E$7,0,(+'wgl tot'!V39-tabellen!$E$7*'wgl tot'!H39)/12)*tabellen!$C$7))</f>
        <v>0</v>
      </c>
      <c r="AE39" s="173">
        <f>'wgl tot'!V39/12*tabellen!$C$8</f>
        <v>0</v>
      </c>
      <c r="AF39" s="173">
        <f>IF(H39=0,0,IF(BM39&gt;tabellen!$G$9/12,tabellen!$G$9/12,BM39)*(tabellen!$C$9+tabellen!$C$10))</f>
        <v>0</v>
      </c>
      <c r="AG39" s="173">
        <f>IF(F39="",0,('wgl tot'!BN39))</f>
        <v>0</v>
      </c>
      <c r="AH39" s="175">
        <f>IF(F39="",0,(IF('wgl tot'!BM39&gt;tabellen!$G$12*'wgl tot'!H39/12,tabellen!$G$12*'wgl tot'!H39/12,'wgl tot'!BM39)*tabellen!$C$12))</f>
        <v>0</v>
      </c>
      <c r="AI39" s="143"/>
      <c r="AJ39" s="175">
        <f>IF(F39="",0,(L39+N39)*IF(J39=1,tabellen!$C$13,IF(J39=2,tabellen!$C$14,IF(J39=3,tabellen!$C$15,IF(J39=5,tabellen!$C$17,IF(J39=6,tabellen!$C$18,IF(J39=7,tabellen!$C$19,IF(J39=8,tabellen!$C$20,tabellen!$C$16))))))))</f>
        <v>0</v>
      </c>
      <c r="AK39" s="175">
        <f>IF(F39="",0,((L39+N39)*tabellen!$C$21))</f>
        <v>0</v>
      </c>
      <c r="AL39" s="224">
        <v>0</v>
      </c>
      <c r="AM39" s="143"/>
      <c r="AN39" s="224">
        <v>0</v>
      </c>
      <c r="AO39" s="143"/>
      <c r="AP39" s="155">
        <f t="shared" si="20"/>
        <v>0</v>
      </c>
      <c r="AQ39" s="155">
        <f t="shared" si="21"/>
        <v>0</v>
      </c>
      <c r="AR39" s="143"/>
      <c r="AS39" s="179" t="str">
        <f t="shared" si="4"/>
        <v/>
      </c>
      <c r="AT39" s="179" t="str">
        <f t="shared" si="5"/>
        <v/>
      </c>
      <c r="AU39" s="143"/>
      <c r="AV39" s="121"/>
      <c r="AW39" s="113"/>
      <c r="AX39" s="113"/>
      <c r="AY39" s="157">
        <f ca="1">YEAR('wgl tot'!$AY$9)-YEAR('wgl tot'!E39)</f>
        <v>120</v>
      </c>
      <c r="AZ39" s="157">
        <f ca="1">MONTH('wgl tot'!$AY$9)-MONTH('wgl tot'!E39)</f>
        <v>1</v>
      </c>
      <c r="BA39" s="157">
        <f ca="1">DAY('wgl tot'!$AY$9)-DAY('wgl tot'!E39)</f>
        <v>18</v>
      </c>
      <c r="BB39" s="122">
        <f>IF(AND('wgl tot'!F39&gt;0,'wgl tot'!F39&lt;17),0,100)</f>
        <v>100</v>
      </c>
      <c r="BC39" s="122">
        <f t="shared" si="6"/>
        <v>0</v>
      </c>
      <c r="BD39" s="140">
        <v>42583</v>
      </c>
      <c r="BE39" s="158">
        <f t="shared" si="18"/>
        <v>0.08</v>
      </c>
      <c r="BF39" s="159">
        <f>+tabellen!$D$45</f>
        <v>6.3E-2</v>
      </c>
      <c r="BG39" s="157">
        <f>IF('wgl tot'!BB39=100,0,'wgl tot'!F39)</f>
        <v>0</v>
      </c>
      <c r="BH39" s="159" t="str">
        <f>IF(OR('wgl tot'!F39="DA",'wgl tot'!F39="DB",'wgl tot'!F39="DBuit",'wgl tot'!F39="DC",'wgl tot'!F39="DCuit",MID('wgl tot'!F39,1,5)="meerh"),"j","n")</f>
        <v>n</v>
      </c>
      <c r="BI39" s="161" t="e">
        <f>IF('wgl tot'!V39/'wgl tot'!H39&lt;tabellen!$E$6,0,(+'wgl tot'!V39-tabellen!$E$6*'wgl tot'!H39)/12*tabellen!$D$6)</f>
        <v>#DIV/0!</v>
      </c>
      <c r="BJ39" s="161" t="e">
        <f>IF('wgl tot'!V39/'wgl tot'!H39&lt;tabellen!$E$7,0,(+'wgl tot'!V39-tabellen!$E$7*'wgl tot'!H39)/12*tabellen!$D$7)</f>
        <v>#DIV/0!</v>
      </c>
      <c r="BK39" s="161">
        <f>'wgl tot'!V39/12*tabellen!$D$8</f>
        <v>0</v>
      </c>
      <c r="BL39" s="162" t="e">
        <f t="shared" si="22"/>
        <v>#DIV/0!</v>
      </c>
      <c r="BM39" s="163" t="e">
        <f>+X39/12-'wgl tot'!BL39</f>
        <v>#DIV/0!</v>
      </c>
      <c r="BN39" s="163" t="e">
        <f>ROUND(IF('wgl tot'!BM39&gt;tabellen!$H$11,tabellen!$H$11,'wgl tot'!BM39)*tabellen!$C$11,2)</f>
        <v>#DIV/0!</v>
      </c>
      <c r="BO39" s="163" t="e">
        <f>+'wgl tot'!BM39+'wgl tot'!BN39</f>
        <v>#DIV/0!</v>
      </c>
      <c r="BP39" s="164">
        <f t="shared" si="8"/>
        <v>1900</v>
      </c>
      <c r="BQ39" s="164">
        <f t="shared" si="9"/>
        <v>1</v>
      </c>
      <c r="BR39" s="157">
        <f t="shared" si="10"/>
        <v>0</v>
      </c>
      <c r="BS39" s="140">
        <f t="shared" si="16"/>
        <v>24227</v>
      </c>
      <c r="BT39" s="140">
        <f t="shared" ca="1" si="17"/>
        <v>43879.576672800926</v>
      </c>
      <c r="BU39" s="122"/>
      <c r="BV39" s="140"/>
      <c r="BW39" s="122"/>
      <c r="BX39" s="160"/>
      <c r="BY39" s="160"/>
      <c r="BZ39" s="160"/>
      <c r="CA39" s="160"/>
      <c r="CB39" s="160"/>
      <c r="CC39" s="160"/>
      <c r="CD39" s="113"/>
      <c r="CE39" s="113"/>
    </row>
    <row r="40" spans="1:83" s="124" customFormat="1" ht="12" customHeight="1" x14ac:dyDescent="0.2">
      <c r="A40" s="113"/>
      <c r="B40" s="114"/>
      <c r="C40" s="143"/>
      <c r="D40" s="149"/>
      <c r="E40" s="150"/>
      <c r="F40" s="151"/>
      <c r="G40" s="151"/>
      <c r="H40" s="152"/>
      <c r="I40" s="151"/>
      <c r="J40" s="153"/>
      <c r="K40" s="173">
        <f>IF(F40="",0,(VLOOKUP('wgl tot'!F40,saltab2020,'wgl tot'!G40+1,FALSE)))</f>
        <v>0</v>
      </c>
      <c r="L40" s="155">
        <f t="shared" si="0"/>
        <v>0</v>
      </c>
      <c r="M40" s="143"/>
      <c r="N40" s="173">
        <f>ROUND(IF(('wgl tot'!L40+'wgl tot'!P40)*BE40&lt;'wgl tot'!H40*tabellen!$D$44,'wgl tot'!H40*tabellen!$D$44,('wgl tot'!L40+'wgl tot'!P40)*BE40),2)</f>
        <v>0</v>
      </c>
      <c r="O40" s="173">
        <f>ROUND(+('wgl tot'!L40+'wgl tot'!P40)*BF40,2)</f>
        <v>0</v>
      </c>
      <c r="P40" s="173">
        <f>ROUND(IF(I40="j",VLOOKUP(BC40,uitlooptoeslag,2,FALSE))*IF('wgl tot'!H40&gt;1,1,'wgl tot'!H40),2)</f>
        <v>0</v>
      </c>
      <c r="Q40" s="173">
        <f>ROUND(IF(BH40="j",tabellen!$D$55*IF('wgl tot'!H40&gt;1,1,'wgl tot'!H40),0),2)</f>
        <v>0</v>
      </c>
      <c r="R40" s="173">
        <f>VLOOKUP(BG40,eindejaarsuitkering_OOP,2,TRUE)*'wgl tot'!H40/12</f>
        <v>0</v>
      </c>
      <c r="S40" s="173">
        <f>ROUND(H40*tabellen!$D$51,2)</f>
        <v>0</v>
      </c>
      <c r="T40" s="173">
        <f>ROUND(H40*tabellen!C$39,2)</f>
        <v>0</v>
      </c>
      <c r="U40" s="173">
        <f t="shared" si="12"/>
        <v>0</v>
      </c>
      <c r="V40" s="174">
        <f t="shared" si="1"/>
        <v>0</v>
      </c>
      <c r="W40" s="173">
        <f>('wgl tot'!L40+'wgl tot'!P40)*tabellen!$C$37*12</f>
        <v>0</v>
      </c>
      <c r="X40" s="155">
        <f t="shared" si="2"/>
        <v>0</v>
      </c>
      <c r="Y40" s="143"/>
      <c r="Z40" s="174">
        <f t="shared" si="19"/>
        <v>0</v>
      </c>
      <c r="AA40" s="207">
        <f>+'wgl tot'!W40/12</f>
        <v>0</v>
      </c>
      <c r="AB40" s="143"/>
      <c r="AC40" s="173">
        <f>IF(F40="",0,(IF('wgl tot'!V40/'wgl tot'!H40&lt;tabellen!$E$6,0,('wgl tot'!V40-tabellen!$E$6*'wgl tot'!H40)/12)*tabellen!$C$6))</f>
        <v>0</v>
      </c>
      <c r="AD40" s="173">
        <f>IF(F40="",0,(IF('wgl tot'!V40/'wgl tot'!H40&lt;tabellen!$E$7,0,(+'wgl tot'!V40-tabellen!$E$7*'wgl tot'!H40)/12)*tabellen!$C$7))</f>
        <v>0</v>
      </c>
      <c r="AE40" s="173">
        <f>'wgl tot'!V40/12*tabellen!$C$8</f>
        <v>0</v>
      </c>
      <c r="AF40" s="173">
        <f>IF(H40=0,0,IF(BM40&gt;tabellen!$G$9/12,tabellen!$G$9/12,BM40)*(tabellen!$C$9+tabellen!$C$10))</f>
        <v>0</v>
      </c>
      <c r="AG40" s="173">
        <f>IF(F40="",0,('wgl tot'!BN40))</f>
        <v>0</v>
      </c>
      <c r="AH40" s="175">
        <f>IF(F40="",0,(IF('wgl tot'!BM40&gt;tabellen!$G$12*'wgl tot'!H40/12,tabellen!$G$12*'wgl tot'!H40/12,'wgl tot'!BM40)*tabellen!$C$12))</f>
        <v>0</v>
      </c>
      <c r="AI40" s="143"/>
      <c r="AJ40" s="175">
        <f>IF(F40="",0,(L40+N40)*IF(J40=1,tabellen!$C$13,IF(J40=2,tabellen!$C$14,IF(J40=3,tabellen!$C$15,IF(J40=5,tabellen!$C$17,IF(J40=6,tabellen!$C$18,IF(J40=7,tabellen!$C$19,IF(J40=8,tabellen!$C$20,tabellen!$C$16))))))))</f>
        <v>0</v>
      </c>
      <c r="AK40" s="175">
        <f>IF(F40="",0,((L40+N40)*tabellen!$C$21))</f>
        <v>0</v>
      </c>
      <c r="AL40" s="224">
        <v>0</v>
      </c>
      <c r="AM40" s="143"/>
      <c r="AN40" s="224">
        <v>0</v>
      </c>
      <c r="AO40" s="143"/>
      <c r="AP40" s="155">
        <f t="shared" si="20"/>
        <v>0</v>
      </c>
      <c r="AQ40" s="155">
        <f t="shared" si="21"/>
        <v>0</v>
      </c>
      <c r="AR40" s="143"/>
      <c r="AS40" s="179" t="str">
        <f t="shared" si="4"/>
        <v/>
      </c>
      <c r="AT40" s="179" t="str">
        <f t="shared" si="5"/>
        <v/>
      </c>
      <c r="AU40" s="143"/>
      <c r="AV40" s="121"/>
      <c r="AW40" s="113"/>
      <c r="AX40" s="113"/>
      <c r="AY40" s="157">
        <f ca="1">YEAR('wgl tot'!$AY$9)-YEAR('wgl tot'!E40)</f>
        <v>120</v>
      </c>
      <c r="AZ40" s="157">
        <f ca="1">MONTH('wgl tot'!$AY$9)-MONTH('wgl tot'!E40)</f>
        <v>1</v>
      </c>
      <c r="BA40" s="157">
        <f ca="1">DAY('wgl tot'!$AY$9)-DAY('wgl tot'!E40)</f>
        <v>18</v>
      </c>
      <c r="BB40" s="122">
        <f>IF(AND('wgl tot'!F40&gt;0,'wgl tot'!F40&lt;17),0,100)</f>
        <v>100</v>
      </c>
      <c r="BC40" s="122">
        <f t="shared" si="6"/>
        <v>0</v>
      </c>
      <c r="BD40" s="140">
        <v>42583</v>
      </c>
      <c r="BE40" s="158">
        <f t="shared" si="18"/>
        <v>0.08</v>
      </c>
      <c r="BF40" s="159">
        <f>+tabellen!$D$45</f>
        <v>6.3E-2</v>
      </c>
      <c r="BG40" s="157">
        <f>IF('wgl tot'!BB40=100,0,'wgl tot'!F40)</f>
        <v>0</v>
      </c>
      <c r="BH40" s="159" t="str">
        <f>IF(OR('wgl tot'!F40="DA",'wgl tot'!F40="DB",'wgl tot'!F40="DBuit",'wgl tot'!F40="DC",'wgl tot'!F40="DCuit",MID('wgl tot'!F40,1,5)="meerh"),"j","n")</f>
        <v>n</v>
      </c>
      <c r="BI40" s="161" t="e">
        <f>IF('wgl tot'!V40/'wgl tot'!H40&lt;tabellen!$E$6,0,(+'wgl tot'!V40-tabellen!$E$6*'wgl tot'!H40)/12*tabellen!$D$6)</f>
        <v>#DIV/0!</v>
      </c>
      <c r="BJ40" s="161" t="e">
        <f>IF('wgl tot'!V40/'wgl tot'!H40&lt;tabellen!$E$7,0,(+'wgl tot'!V40-tabellen!$E$7*'wgl tot'!H40)/12*tabellen!$D$7)</f>
        <v>#DIV/0!</v>
      </c>
      <c r="BK40" s="161">
        <f>'wgl tot'!V40/12*tabellen!$D$8</f>
        <v>0</v>
      </c>
      <c r="BL40" s="162" t="e">
        <f t="shared" si="22"/>
        <v>#DIV/0!</v>
      </c>
      <c r="BM40" s="163" t="e">
        <f>+X40/12-'wgl tot'!BL40</f>
        <v>#DIV/0!</v>
      </c>
      <c r="BN40" s="163" t="e">
        <f>ROUND(IF('wgl tot'!BM40&gt;tabellen!$H$11,tabellen!$H$11,'wgl tot'!BM40)*tabellen!$C$11,2)</f>
        <v>#DIV/0!</v>
      </c>
      <c r="BO40" s="163" t="e">
        <f>+'wgl tot'!BM40+'wgl tot'!BN40</f>
        <v>#DIV/0!</v>
      </c>
      <c r="BP40" s="164">
        <f t="shared" si="8"/>
        <v>1900</v>
      </c>
      <c r="BQ40" s="164">
        <f t="shared" si="9"/>
        <v>1</v>
      </c>
      <c r="BR40" s="157">
        <f t="shared" si="10"/>
        <v>0</v>
      </c>
      <c r="BS40" s="140">
        <f t="shared" si="16"/>
        <v>24227</v>
      </c>
      <c r="BT40" s="140">
        <f t="shared" ca="1" si="17"/>
        <v>43879.576672800926</v>
      </c>
      <c r="BU40" s="122"/>
      <c r="BV40" s="140"/>
      <c r="BW40" s="122"/>
      <c r="BX40" s="160"/>
      <c r="BY40" s="160"/>
      <c r="BZ40" s="160"/>
      <c r="CA40" s="160"/>
      <c r="CB40" s="160"/>
      <c r="CC40" s="160"/>
      <c r="CD40" s="113"/>
      <c r="CE40" s="113"/>
    </row>
    <row r="41" spans="1:83" s="124" customFormat="1" ht="12" customHeight="1" x14ac:dyDescent="0.2">
      <c r="A41" s="113"/>
      <c r="B41" s="114"/>
      <c r="C41" s="143"/>
      <c r="D41" s="149"/>
      <c r="E41" s="150"/>
      <c r="F41" s="151"/>
      <c r="G41" s="151"/>
      <c r="H41" s="152"/>
      <c r="I41" s="151"/>
      <c r="J41" s="153"/>
      <c r="K41" s="173">
        <f>IF(F41="",0,(VLOOKUP('wgl tot'!F41,saltab2020,'wgl tot'!G41+1,FALSE)))</f>
        <v>0</v>
      </c>
      <c r="L41" s="155">
        <f t="shared" si="0"/>
        <v>0</v>
      </c>
      <c r="M41" s="143"/>
      <c r="N41" s="173">
        <f>ROUND(IF(('wgl tot'!L41+'wgl tot'!P41)*BE41&lt;'wgl tot'!H41*tabellen!$D$44,'wgl tot'!H41*tabellen!$D$44,('wgl tot'!L41+'wgl tot'!P41)*BE41),2)</f>
        <v>0</v>
      </c>
      <c r="O41" s="173">
        <f>ROUND(+('wgl tot'!L41+'wgl tot'!P41)*BF41,2)</f>
        <v>0</v>
      </c>
      <c r="P41" s="173">
        <f>ROUND(IF(I41="j",VLOOKUP(BC41,uitlooptoeslag,2,FALSE))*IF('wgl tot'!H41&gt;1,1,'wgl tot'!H41),2)</f>
        <v>0</v>
      </c>
      <c r="Q41" s="173">
        <f>ROUND(IF(BH41="j",tabellen!$D$55*IF('wgl tot'!H41&gt;1,1,'wgl tot'!H41),0),2)</f>
        <v>0</v>
      </c>
      <c r="R41" s="173">
        <f>VLOOKUP(BG41,eindejaarsuitkering_OOP,2,TRUE)*'wgl tot'!H41/12</f>
        <v>0</v>
      </c>
      <c r="S41" s="173">
        <f>ROUND(H41*tabellen!$D$51,2)</f>
        <v>0</v>
      </c>
      <c r="T41" s="173">
        <f>ROUND(H41*tabellen!C$39,2)</f>
        <v>0</v>
      </c>
      <c r="U41" s="173">
        <f t="shared" si="12"/>
        <v>0</v>
      </c>
      <c r="V41" s="174">
        <f t="shared" si="1"/>
        <v>0</v>
      </c>
      <c r="W41" s="173">
        <f>('wgl tot'!L41+'wgl tot'!P41)*tabellen!$C$37*12</f>
        <v>0</v>
      </c>
      <c r="X41" s="155">
        <f t="shared" si="2"/>
        <v>0</v>
      </c>
      <c r="Y41" s="143"/>
      <c r="Z41" s="174">
        <f t="shared" si="19"/>
        <v>0</v>
      </c>
      <c r="AA41" s="207">
        <f>+'wgl tot'!W41/12</f>
        <v>0</v>
      </c>
      <c r="AB41" s="143"/>
      <c r="AC41" s="173">
        <f>IF(F41="",0,(IF('wgl tot'!V41/'wgl tot'!H41&lt;tabellen!$E$6,0,('wgl tot'!V41-tabellen!$E$6*'wgl tot'!H41)/12)*tabellen!$C$6))</f>
        <v>0</v>
      </c>
      <c r="AD41" s="173">
        <f>IF(F41="",0,(IF('wgl tot'!V41/'wgl tot'!H41&lt;tabellen!$E$7,0,(+'wgl tot'!V41-tabellen!$E$7*'wgl tot'!H41)/12)*tabellen!$C$7))</f>
        <v>0</v>
      </c>
      <c r="AE41" s="173">
        <f>'wgl tot'!V41/12*tabellen!$C$8</f>
        <v>0</v>
      </c>
      <c r="AF41" s="173">
        <f>IF(H41=0,0,IF(BM41&gt;tabellen!$G$9/12,tabellen!$G$9/12,BM41)*(tabellen!$C$9+tabellen!$C$10))</f>
        <v>0</v>
      </c>
      <c r="AG41" s="173">
        <f>IF(F41="",0,('wgl tot'!BN41))</f>
        <v>0</v>
      </c>
      <c r="AH41" s="175">
        <f>IF(F41="",0,(IF('wgl tot'!BM41&gt;tabellen!$G$12*'wgl tot'!H41/12,tabellen!$G$12*'wgl tot'!H41/12,'wgl tot'!BM41)*tabellen!$C$12))</f>
        <v>0</v>
      </c>
      <c r="AI41" s="143"/>
      <c r="AJ41" s="175">
        <f>IF(F41="",0,(L41+N41)*IF(J41=1,tabellen!$C$13,IF(J41=2,tabellen!$C$14,IF(J41=3,tabellen!$C$15,IF(J41=5,tabellen!$C$17,IF(J41=6,tabellen!$C$18,IF(J41=7,tabellen!$C$19,IF(J41=8,tabellen!$C$20,tabellen!$C$16))))))))</f>
        <v>0</v>
      </c>
      <c r="AK41" s="175">
        <f>IF(F41="",0,((L41+N41)*tabellen!$C$21))</f>
        <v>0</v>
      </c>
      <c r="AL41" s="224">
        <v>0</v>
      </c>
      <c r="AM41" s="143"/>
      <c r="AN41" s="224">
        <v>0</v>
      </c>
      <c r="AO41" s="143"/>
      <c r="AP41" s="155">
        <f t="shared" si="20"/>
        <v>0</v>
      </c>
      <c r="AQ41" s="155">
        <f t="shared" si="21"/>
        <v>0</v>
      </c>
      <c r="AR41" s="143"/>
      <c r="AS41" s="179" t="str">
        <f t="shared" si="4"/>
        <v/>
      </c>
      <c r="AT41" s="179" t="str">
        <f t="shared" si="5"/>
        <v/>
      </c>
      <c r="AU41" s="143"/>
      <c r="AV41" s="121"/>
      <c r="AW41" s="113"/>
      <c r="AX41" s="113"/>
      <c r="AY41" s="157">
        <f ca="1">YEAR('wgl tot'!$AY$9)-YEAR('wgl tot'!E41)</f>
        <v>120</v>
      </c>
      <c r="AZ41" s="157">
        <f ca="1">MONTH('wgl tot'!$AY$9)-MONTH('wgl tot'!E41)</f>
        <v>1</v>
      </c>
      <c r="BA41" s="157">
        <f ca="1">DAY('wgl tot'!$AY$9)-DAY('wgl tot'!E41)</f>
        <v>18</v>
      </c>
      <c r="BB41" s="122">
        <f>IF(AND('wgl tot'!F41&gt;0,'wgl tot'!F41&lt;17),0,100)</f>
        <v>100</v>
      </c>
      <c r="BC41" s="122">
        <f t="shared" si="6"/>
        <v>0</v>
      </c>
      <c r="BD41" s="140">
        <v>42583</v>
      </c>
      <c r="BE41" s="158">
        <f t="shared" si="18"/>
        <v>0.08</v>
      </c>
      <c r="BF41" s="159">
        <f>+tabellen!$D$45</f>
        <v>6.3E-2</v>
      </c>
      <c r="BG41" s="157">
        <f>IF('wgl tot'!BB41=100,0,'wgl tot'!F41)</f>
        <v>0</v>
      </c>
      <c r="BH41" s="159" t="str">
        <f>IF(OR('wgl tot'!F41="DA",'wgl tot'!F41="DB",'wgl tot'!F41="DBuit",'wgl tot'!F41="DC",'wgl tot'!F41="DCuit",MID('wgl tot'!F41,1,5)="meerh"),"j","n")</f>
        <v>n</v>
      </c>
      <c r="BI41" s="161" t="e">
        <f>IF('wgl tot'!V41/'wgl tot'!H41&lt;tabellen!$E$6,0,(+'wgl tot'!V41-tabellen!$E$6*'wgl tot'!H41)/12*tabellen!$D$6)</f>
        <v>#DIV/0!</v>
      </c>
      <c r="BJ41" s="161" t="e">
        <f>IF('wgl tot'!V41/'wgl tot'!H41&lt;tabellen!$E$7,0,(+'wgl tot'!V41-tabellen!$E$7*'wgl tot'!H41)/12*tabellen!$D$7)</f>
        <v>#DIV/0!</v>
      </c>
      <c r="BK41" s="161">
        <f>'wgl tot'!V41/12*tabellen!$D$8</f>
        <v>0</v>
      </c>
      <c r="BL41" s="162" t="e">
        <f t="shared" si="22"/>
        <v>#DIV/0!</v>
      </c>
      <c r="BM41" s="163" t="e">
        <f>+X41/12-'wgl tot'!BL41</f>
        <v>#DIV/0!</v>
      </c>
      <c r="BN41" s="163" t="e">
        <f>ROUND(IF('wgl tot'!BM41&gt;tabellen!$H$11,tabellen!$H$11,'wgl tot'!BM41)*tabellen!$C$11,2)</f>
        <v>#DIV/0!</v>
      </c>
      <c r="BO41" s="163" t="e">
        <f>+'wgl tot'!BM41+'wgl tot'!BN41</f>
        <v>#DIV/0!</v>
      </c>
      <c r="BP41" s="164">
        <f t="shared" si="8"/>
        <v>1900</v>
      </c>
      <c r="BQ41" s="164">
        <f t="shared" si="9"/>
        <v>1</v>
      </c>
      <c r="BR41" s="157">
        <f t="shared" si="10"/>
        <v>0</v>
      </c>
      <c r="BS41" s="140">
        <f t="shared" si="16"/>
        <v>24227</v>
      </c>
      <c r="BT41" s="140">
        <f t="shared" ca="1" si="17"/>
        <v>43879.576672800926</v>
      </c>
      <c r="BU41" s="122"/>
      <c r="BV41" s="140"/>
      <c r="BW41" s="122"/>
      <c r="BX41" s="160"/>
      <c r="BY41" s="160"/>
      <c r="BZ41" s="160"/>
      <c r="CA41" s="160"/>
      <c r="CB41" s="160"/>
      <c r="CC41" s="160"/>
      <c r="CD41" s="113"/>
      <c r="CE41" s="113"/>
    </row>
    <row r="42" spans="1:83" s="124" customFormat="1" ht="12" customHeight="1" x14ac:dyDescent="0.2">
      <c r="A42" s="113"/>
      <c r="B42" s="114"/>
      <c r="C42" s="143"/>
      <c r="D42" s="149"/>
      <c r="E42" s="150"/>
      <c r="F42" s="151"/>
      <c r="G42" s="151"/>
      <c r="H42" s="152"/>
      <c r="I42" s="151"/>
      <c r="J42" s="153"/>
      <c r="K42" s="173">
        <f>IF(F42="",0,(VLOOKUP('wgl tot'!F42,saltab2020,'wgl tot'!G42+1,FALSE)))</f>
        <v>0</v>
      </c>
      <c r="L42" s="155">
        <f t="shared" si="0"/>
        <v>0</v>
      </c>
      <c r="M42" s="143"/>
      <c r="N42" s="173">
        <f>ROUND(IF(('wgl tot'!L42+'wgl tot'!P42)*BE42&lt;'wgl tot'!H42*tabellen!$D$44,'wgl tot'!H42*tabellen!$D$44,('wgl tot'!L42+'wgl tot'!P42)*BE42),2)</f>
        <v>0</v>
      </c>
      <c r="O42" s="173">
        <f>ROUND(+('wgl tot'!L42+'wgl tot'!P42)*BF42,2)</f>
        <v>0</v>
      </c>
      <c r="P42" s="173">
        <f>ROUND(IF(I42="j",VLOOKUP(BC42,uitlooptoeslag,2,FALSE))*IF('wgl tot'!H42&gt;1,1,'wgl tot'!H42),2)</f>
        <v>0</v>
      </c>
      <c r="Q42" s="173">
        <f>ROUND(IF(BH42="j",tabellen!$D$55*IF('wgl tot'!H42&gt;1,1,'wgl tot'!H42),0),2)</f>
        <v>0</v>
      </c>
      <c r="R42" s="173">
        <f>VLOOKUP(BG42,eindejaarsuitkering_OOP,2,TRUE)*'wgl tot'!H42/12</f>
        <v>0</v>
      </c>
      <c r="S42" s="173">
        <f>ROUND(H42*tabellen!$D$51,2)</f>
        <v>0</v>
      </c>
      <c r="T42" s="173">
        <f>ROUND(H42*tabellen!C$39,2)</f>
        <v>0</v>
      </c>
      <c r="U42" s="173">
        <f t="shared" si="12"/>
        <v>0</v>
      </c>
      <c r="V42" s="174">
        <f t="shared" si="1"/>
        <v>0</v>
      </c>
      <c r="W42" s="173">
        <f>('wgl tot'!L42+'wgl tot'!P42)*tabellen!$C$37*12</f>
        <v>0</v>
      </c>
      <c r="X42" s="155">
        <f t="shared" si="2"/>
        <v>0</v>
      </c>
      <c r="Y42" s="143"/>
      <c r="Z42" s="174">
        <f t="shared" si="19"/>
        <v>0</v>
      </c>
      <c r="AA42" s="207">
        <f>+'wgl tot'!W42/12</f>
        <v>0</v>
      </c>
      <c r="AB42" s="143"/>
      <c r="AC42" s="173">
        <f>IF(F42="",0,(IF('wgl tot'!V42/'wgl tot'!H42&lt;tabellen!$E$6,0,('wgl tot'!V42-tabellen!$E$6*'wgl tot'!H42)/12)*tabellen!$C$6))</f>
        <v>0</v>
      </c>
      <c r="AD42" s="173">
        <f>IF(F42="",0,(IF('wgl tot'!V42/'wgl tot'!H42&lt;tabellen!$E$7,0,(+'wgl tot'!V42-tabellen!$E$7*'wgl tot'!H42)/12)*tabellen!$C$7))</f>
        <v>0</v>
      </c>
      <c r="AE42" s="173">
        <f>'wgl tot'!V42/12*tabellen!$C$8</f>
        <v>0</v>
      </c>
      <c r="AF42" s="173">
        <f>IF(H42=0,0,IF(BM42&gt;tabellen!$G$9/12,tabellen!$G$9/12,BM42)*(tabellen!$C$9+tabellen!$C$10))</f>
        <v>0</v>
      </c>
      <c r="AG42" s="173">
        <f>IF(F42="",0,('wgl tot'!BN42))</f>
        <v>0</v>
      </c>
      <c r="AH42" s="175">
        <f>IF(F42="",0,(IF('wgl tot'!BM42&gt;tabellen!$G$12*'wgl tot'!H42/12,tabellen!$G$12*'wgl tot'!H42/12,'wgl tot'!BM42)*tabellen!$C$12))</f>
        <v>0</v>
      </c>
      <c r="AI42" s="143"/>
      <c r="AJ42" s="175">
        <f>IF(F42="",0,(L42+N42)*IF(J42=1,tabellen!$C$13,IF(J42=2,tabellen!$C$14,IF(J42=3,tabellen!$C$15,IF(J42=5,tabellen!$C$17,IF(J42=6,tabellen!$C$18,IF(J42=7,tabellen!$C$19,IF(J42=8,tabellen!$C$20,tabellen!$C$16))))))))</f>
        <v>0</v>
      </c>
      <c r="AK42" s="175">
        <f>IF(F42="",0,((L42+N42)*tabellen!$C$21))</f>
        <v>0</v>
      </c>
      <c r="AL42" s="224">
        <v>0</v>
      </c>
      <c r="AM42" s="143"/>
      <c r="AN42" s="224">
        <v>0</v>
      </c>
      <c r="AO42" s="143"/>
      <c r="AP42" s="155">
        <f t="shared" si="20"/>
        <v>0</v>
      </c>
      <c r="AQ42" s="155">
        <f t="shared" si="21"/>
        <v>0</v>
      </c>
      <c r="AR42" s="143"/>
      <c r="AS42" s="179" t="str">
        <f t="shared" si="4"/>
        <v/>
      </c>
      <c r="AT42" s="179" t="str">
        <f t="shared" si="5"/>
        <v/>
      </c>
      <c r="AU42" s="143"/>
      <c r="AV42" s="121"/>
      <c r="AW42" s="113"/>
      <c r="AX42" s="113"/>
      <c r="AY42" s="157">
        <f ca="1">YEAR('wgl tot'!$AY$9)-YEAR('wgl tot'!E42)</f>
        <v>120</v>
      </c>
      <c r="AZ42" s="157">
        <f ca="1">MONTH('wgl tot'!$AY$9)-MONTH('wgl tot'!E42)</f>
        <v>1</v>
      </c>
      <c r="BA42" s="157">
        <f ca="1">DAY('wgl tot'!$AY$9)-DAY('wgl tot'!E42)</f>
        <v>18</v>
      </c>
      <c r="BB42" s="122">
        <f>IF(AND('wgl tot'!F42&gt;0,'wgl tot'!F42&lt;17),0,100)</f>
        <v>100</v>
      </c>
      <c r="BC42" s="122">
        <f t="shared" si="6"/>
        <v>0</v>
      </c>
      <c r="BD42" s="140">
        <v>42583</v>
      </c>
      <c r="BE42" s="158">
        <f t="shared" si="18"/>
        <v>0.08</v>
      </c>
      <c r="BF42" s="159">
        <f>+tabellen!$D$45</f>
        <v>6.3E-2</v>
      </c>
      <c r="BG42" s="157">
        <f>IF('wgl tot'!BB42=100,0,'wgl tot'!F42)</f>
        <v>0</v>
      </c>
      <c r="BH42" s="159" t="str">
        <f>IF(OR('wgl tot'!F42="DA",'wgl tot'!F42="DB",'wgl tot'!F42="DBuit",'wgl tot'!F42="DC",'wgl tot'!F42="DCuit",MID('wgl tot'!F42,1,5)="meerh"),"j","n")</f>
        <v>n</v>
      </c>
      <c r="BI42" s="161" t="e">
        <f>IF('wgl tot'!V42/'wgl tot'!H42&lt;tabellen!$E$6,0,(+'wgl tot'!V42-tabellen!$E$6*'wgl tot'!H42)/12*tabellen!$D$6)</f>
        <v>#DIV/0!</v>
      </c>
      <c r="BJ42" s="161" t="e">
        <f>IF('wgl tot'!V42/'wgl tot'!H42&lt;tabellen!$E$7,0,(+'wgl tot'!V42-tabellen!$E$7*'wgl tot'!H42)/12*tabellen!$D$7)</f>
        <v>#DIV/0!</v>
      </c>
      <c r="BK42" s="161">
        <f>'wgl tot'!V42/12*tabellen!$D$8</f>
        <v>0</v>
      </c>
      <c r="BL42" s="162" t="e">
        <f t="shared" si="22"/>
        <v>#DIV/0!</v>
      </c>
      <c r="BM42" s="163" t="e">
        <f>+X42/12-'wgl tot'!BL42</f>
        <v>#DIV/0!</v>
      </c>
      <c r="BN42" s="163" t="e">
        <f>ROUND(IF('wgl tot'!BM42&gt;tabellen!$H$11,tabellen!$H$11,'wgl tot'!BM42)*tabellen!$C$11,2)</f>
        <v>#DIV/0!</v>
      </c>
      <c r="BO42" s="163" t="e">
        <f>+'wgl tot'!BM42+'wgl tot'!BN42</f>
        <v>#DIV/0!</v>
      </c>
      <c r="BP42" s="164">
        <f t="shared" si="8"/>
        <v>1900</v>
      </c>
      <c r="BQ42" s="164">
        <f t="shared" si="9"/>
        <v>1</v>
      </c>
      <c r="BR42" s="157">
        <f t="shared" si="10"/>
        <v>0</v>
      </c>
      <c r="BS42" s="140">
        <f t="shared" si="16"/>
        <v>24227</v>
      </c>
      <c r="BT42" s="140">
        <f t="shared" ca="1" si="17"/>
        <v>43879.576672800926</v>
      </c>
      <c r="BU42" s="122"/>
      <c r="BV42" s="140"/>
      <c r="BW42" s="122"/>
      <c r="BX42" s="160"/>
      <c r="BY42" s="160"/>
      <c r="BZ42" s="160"/>
      <c r="CA42" s="160"/>
      <c r="CB42" s="160"/>
      <c r="CC42" s="160"/>
      <c r="CD42" s="113"/>
      <c r="CE42" s="113"/>
    </row>
    <row r="43" spans="1:83" s="124" customFormat="1" ht="12" customHeight="1" x14ac:dyDescent="0.2">
      <c r="A43" s="113"/>
      <c r="B43" s="114"/>
      <c r="C43" s="143"/>
      <c r="D43" s="149"/>
      <c r="E43" s="150"/>
      <c r="F43" s="151"/>
      <c r="G43" s="151"/>
      <c r="H43" s="152"/>
      <c r="I43" s="151"/>
      <c r="J43" s="153"/>
      <c r="K43" s="173">
        <f>IF(F43="",0,(VLOOKUP('wgl tot'!F43,saltab2020,'wgl tot'!G43+1,FALSE)))</f>
        <v>0</v>
      </c>
      <c r="L43" s="155">
        <f t="shared" si="0"/>
        <v>0</v>
      </c>
      <c r="M43" s="143"/>
      <c r="N43" s="173">
        <f>ROUND(IF(('wgl tot'!L43+'wgl tot'!P43)*BE43&lt;'wgl tot'!H43*tabellen!$D$44,'wgl tot'!H43*tabellen!$D$44,('wgl tot'!L43+'wgl tot'!P43)*BE43),2)</f>
        <v>0</v>
      </c>
      <c r="O43" s="173">
        <f>ROUND(+('wgl tot'!L43+'wgl tot'!P43)*BF43,2)</f>
        <v>0</v>
      </c>
      <c r="P43" s="173">
        <f>ROUND(IF(I43="j",VLOOKUP(BC43,uitlooptoeslag,2,FALSE))*IF('wgl tot'!H43&gt;1,1,'wgl tot'!H43),2)</f>
        <v>0</v>
      </c>
      <c r="Q43" s="173">
        <f>ROUND(IF(BH43="j",tabellen!$D$55*IF('wgl tot'!H43&gt;1,1,'wgl tot'!H43),0),2)</f>
        <v>0</v>
      </c>
      <c r="R43" s="173">
        <f>VLOOKUP(BG43,eindejaarsuitkering_OOP,2,TRUE)*'wgl tot'!H43/12</f>
        <v>0</v>
      </c>
      <c r="S43" s="173">
        <f>ROUND(H43*tabellen!$D$51,2)</f>
        <v>0</v>
      </c>
      <c r="T43" s="173">
        <f>ROUND(H43*tabellen!C$39,2)</f>
        <v>0</v>
      </c>
      <c r="U43" s="173">
        <f t="shared" si="12"/>
        <v>0</v>
      </c>
      <c r="V43" s="174">
        <f t="shared" si="1"/>
        <v>0</v>
      </c>
      <c r="W43" s="173">
        <f>('wgl tot'!L43+'wgl tot'!P43)*tabellen!$C$37*12</f>
        <v>0</v>
      </c>
      <c r="X43" s="155">
        <f t="shared" si="2"/>
        <v>0</v>
      </c>
      <c r="Y43" s="143"/>
      <c r="Z43" s="174">
        <f t="shared" si="19"/>
        <v>0</v>
      </c>
      <c r="AA43" s="207">
        <f>+'wgl tot'!W43/12</f>
        <v>0</v>
      </c>
      <c r="AB43" s="143"/>
      <c r="AC43" s="173">
        <f>IF(F43="",0,(IF('wgl tot'!V43/'wgl tot'!H43&lt;tabellen!$E$6,0,('wgl tot'!V43-tabellen!$E$6*'wgl tot'!H43)/12)*tabellen!$C$6))</f>
        <v>0</v>
      </c>
      <c r="AD43" s="173">
        <f>IF(F43="",0,(IF('wgl tot'!V43/'wgl tot'!H43&lt;tabellen!$E$7,0,(+'wgl tot'!V43-tabellen!$E$7*'wgl tot'!H43)/12)*tabellen!$C$7))</f>
        <v>0</v>
      </c>
      <c r="AE43" s="173">
        <f>'wgl tot'!V43/12*tabellen!$C$8</f>
        <v>0</v>
      </c>
      <c r="AF43" s="173">
        <f>IF(H43=0,0,IF(BM43&gt;tabellen!$G$9/12,tabellen!$G$9/12,BM43)*(tabellen!$C$9+tabellen!$C$10))</f>
        <v>0</v>
      </c>
      <c r="AG43" s="173">
        <f>IF(F43="",0,('wgl tot'!BN43))</f>
        <v>0</v>
      </c>
      <c r="AH43" s="175">
        <f>IF(F43="",0,(IF('wgl tot'!BM43&gt;tabellen!$G$12*'wgl tot'!H43/12,tabellen!$G$12*'wgl tot'!H43/12,'wgl tot'!BM43)*tabellen!$C$12))</f>
        <v>0</v>
      </c>
      <c r="AI43" s="143"/>
      <c r="AJ43" s="175">
        <f>IF(F43="",0,(L43+N43)*IF(J43=1,tabellen!$C$13,IF(J43=2,tabellen!$C$14,IF(J43=3,tabellen!$C$15,IF(J43=5,tabellen!$C$17,IF(J43=6,tabellen!$C$18,IF(J43=7,tabellen!$C$19,IF(J43=8,tabellen!$C$20,tabellen!$C$16))))))))</f>
        <v>0</v>
      </c>
      <c r="AK43" s="175">
        <f>IF(F43="",0,((L43+N43)*tabellen!$C$21))</f>
        <v>0</v>
      </c>
      <c r="AL43" s="224">
        <v>0</v>
      </c>
      <c r="AM43" s="143"/>
      <c r="AN43" s="224">
        <v>0</v>
      </c>
      <c r="AO43" s="143"/>
      <c r="AP43" s="155">
        <f t="shared" si="20"/>
        <v>0</v>
      </c>
      <c r="AQ43" s="155">
        <f t="shared" si="21"/>
        <v>0</v>
      </c>
      <c r="AR43" s="143"/>
      <c r="AS43" s="179" t="str">
        <f t="shared" si="4"/>
        <v/>
      </c>
      <c r="AT43" s="179" t="str">
        <f t="shared" si="5"/>
        <v/>
      </c>
      <c r="AU43" s="143"/>
      <c r="AV43" s="121"/>
      <c r="AW43" s="113"/>
      <c r="AX43" s="113"/>
      <c r="AY43" s="157">
        <f ca="1">YEAR('wgl tot'!$AY$9)-YEAR('wgl tot'!E43)</f>
        <v>120</v>
      </c>
      <c r="AZ43" s="157">
        <f ca="1">MONTH('wgl tot'!$AY$9)-MONTH('wgl tot'!E43)</f>
        <v>1</v>
      </c>
      <c r="BA43" s="157">
        <f ca="1">DAY('wgl tot'!$AY$9)-DAY('wgl tot'!E43)</f>
        <v>18</v>
      </c>
      <c r="BB43" s="122">
        <f>IF(AND('wgl tot'!F43&gt;0,'wgl tot'!F43&lt;17),0,100)</f>
        <v>100</v>
      </c>
      <c r="BC43" s="122">
        <f t="shared" si="6"/>
        <v>0</v>
      </c>
      <c r="BD43" s="140">
        <v>42583</v>
      </c>
      <c r="BE43" s="158">
        <f t="shared" si="18"/>
        <v>0.08</v>
      </c>
      <c r="BF43" s="159">
        <f>+tabellen!$D$45</f>
        <v>6.3E-2</v>
      </c>
      <c r="BG43" s="157">
        <f>IF('wgl tot'!BB43=100,0,'wgl tot'!F43)</f>
        <v>0</v>
      </c>
      <c r="BH43" s="159" t="str">
        <f>IF(OR('wgl tot'!F43="DA",'wgl tot'!F43="DB",'wgl tot'!F43="DBuit",'wgl tot'!F43="DC",'wgl tot'!F43="DCuit",MID('wgl tot'!F43,1,5)="meerh"),"j","n")</f>
        <v>n</v>
      </c>
      <c r="BI43" s="161" t="e">
        <f>IF('wgl tot'!V43/'wgl tot'!H43&lt;tabellen!$E$6,0,(+'wgl tot'!V43-tabellen!$E$6*'wgl tot'!H43)/12*tabellen!$D$6)</f>
        <v>#DIV/0!</v>
      </c>
      <c r="BJ43" s="161" t="e">
        <f>IF('wgl tot'!V43/'wgl tot'!H43&lt;tabellen!$E$7,0,(+'wgl tot'!V43-tabellen!$E$7*'wgl tot'!H43)/12*tabellen!$D$7)</f>
        <v>#DIV/0!</v>
      </c>
      <c r="BK43" s="161">
        <f>'wgl tot'!V43/12*tabellen!$D$8</f>
        <v>0</v>
      </c>
      <c r="BL43" s="162" t="e">
        <f t="shared" si="22"/>
        <v>#DIV/0!</v>
      </c>
      <c r="BM43" s="163" t="e">
        <f>+X43/12-'wgl tot'!BL43</f>
        <v>#DIV/0!</v>
      </c>
      <c r="BN43" s="163" t="e">
        <f>ROUND(IF('wgl tot'!BM43&gt;tabellen!$H$11,tabellen!$H$11,'wgl tot'!BM43)*tabellen!$C$11,2)</f>
        <v>#DIV/0!</v>
      </c>
      <c r="BO43" s="163" t="e">
        <f>+'wgl tot'!BM43+'wgl tot'!BN43</f>
        <v>#DIV/0!</v>
      </c>
      <c r="BP43" s="164">
        <f t="shared" si="8"/>
        <v>1900</v>
      </c>
      <c r="BQ43" s="164">
        <f t="shared" si="9"/>
        <v>1</v>
      </c>
      <c r="BR43" s="157">
        <f t="shared" si="10"/>
        <v>0</v>
      </c>
      <c r="BS43" s="140">
        <f t="shared" si="16"/>
        <v>24227</v>
      </c>
      <c r="BT43" s="140">
        <f t="shared" ca="1" si="17"/>
        <v>43879.576672800926</v>
      </c>
      <c r="BU43" s="122"/>
      <c r="BV43" s="140"/>
      <c r="BW43" s="122"/>
      <c r="BX43" s="160"/>
      <c r="BY43" s="160"/>
      <c r="BZ43" s="160"/>
      <c r="CA43" s="160"/>
      <c r="CB43" s="160"/>
      <c r="CC43" s="160"/>
      <c r="CD43" s="113"/>
      <c r="CE43" s="113"/>
    </row>
    <row r="44" spans="1:83" s="124" customFormat="1" ht="12" customHeight="1" x14ac:dyDescent="0.2">
      <c r="A44" s="113"/>
      <c r="B44" s="114"/>
      <c r="C44" s="143"/>
      <c r="D44" s="149"/>
      <c r="E44" s="150"/>
      <c r="F44" s="151"/>
      <c r="G44" s="151"/>
      <c r="H44" s="152"/>
      <c r="I44" s="151"/>
      <c r="J44" s="153"/>
      <c r="K44" s="173">
        <f>IF(F44="",0,(VLOOKUP('wgl tot'!F44,saltab2020,'wgl tot'!G44+1,FALSE)))</f>
        <v>0</v>
      </c>
      <c r="L44" s="155">
        <f t="shared" si="0"/>
        <v>0</v>
      </c>
      <c r="M44" s="143"/>
      <c r="N44" s="173">
        <f>ROUND(IF(('wgl tot'!L44+'wgl tot'!P44)*BE44&lt;'wgl tot'!H44*tabellen!$D$44,'wgl tot'!H44*tabellen!$D$44,('wgl tot'!L44+'wgl tot'!P44)*BE44),2)</f>
        <v>0</v>
      </c>
      <c r="O44" s="173">
        <f>ROUND(+('wgl tot'!L44+'wgl tot'!P44)*BF44,2)</f>
        <v>0</v>
      </c>
      <c r="P44" s="173">
        <f>ROUND(IF(I44="j",VLOOKUP(BC44,uitlooptoeslag,2,FALSE))*IF('wgl tot'!H44&gt;1,1,'wgl tot'!H44),2)</f>
        <v>0</v>
      </c>
      <c r="Q44" s="173">
        <f>ROUND(IF(BH44="j",tabellen!$D$55*IF('wgl tot'!H44&gt;1,1,'wgl tot'!H44),0),2)</f>
        <v>0</v>
      </c>
      <c r="R44" s="173">
        <f>VLOOKUP(BG44,eindejaarsuitkering_OOP,2,TRUE)*'wgl tot'!H44/12</f>
        <v>0</v>
      </c>
      <c r="S44" s="173">
        <f>ROUND(H44*tabellen!$D$51,2)</f>
        <v>0</v>
      </c>
      <c r="T44" s="173">
        <f>ROUND(H44*tabellen!C$39,2)</f>
        <v>0</v>
      </c>
      <c r="U44" s="173">
        <f t="shared" si="12"/>
        <v>0</v>
      </c>
      <c r="V44" s="174">
        <f t="shared" ref="V44:V75" si="23">ROUND(((SUM(L44:R44)*12)+S44),0)</f>
        <v>0</v>
      </c>
      <c r="W44" s="173">
        <f>('wgl tot'!L44+'wgl tot'!P44)*tabellen!$C$37*12</f>
        <v>0</v>
      </c>
      <c r="X44" s="155">
        <f t="shared" ref="X44:X75" si="24">ROUND((SUM(L44:R44)*12+T44+U44+S44+W44),0)</f>
        <v>0</v>
      </c>
      <c r="Y44" s="143"/>
      <c r="Z44" s="174">
        <f t="shared" si="19"/>
        <v>0</v>
      </c>
      <c r="AA44" s="207">
        <f>+'wgl tot'!W44/12</f>
        <v>0</v>
      </c>
      <c r="AB44" s="143"/>
      <c r="AC44" s="173">
        <f>IF(F44="",0,(IF('wgl tot'!V44/'wgl tot'!H44&lt;tabellen!$E$6,0,('wgl tot'!V44-tabellen!$E$6*'wgl tot'!H44)/12)*tabellen!$C$6))</f>
        <v>0</v>
      </c>
      <c r="AD44" s="173">
        <f>IF(F44="",0,(IF('wgl tot'!V44/'wgl tot'!H44&lt;tabellen!$E$7,0,(+'wgl tot'!V44-tabellen!$E$7*'wgl tot'!H44)/12)*tabellen!$C$7))</f>
        <v>0</v>
      </c>
      <c r="AE44" s="173">
        <f>'wgl tot'!V44/12*tabellen!$C$8</f>
        <v>0</v>
      </c>
      <c r="AF44" s="173">
        <f>IF(H44=0,0,IF(BM44&gt;tabellen!$G$9/12,tabellen!$G$9/12,BM44)*(tabellen!$C$9+tabellen!$C$10))</f>
        <v>0</v>
      </c>
      <c r="AG44" s="173">
        <f>IF(F44="",0,('wgl tot'!BN44))</f>
        <v>0</v>
      </c>
      <c r="AH44" s="175">
        <f>IF(F44="",0,(IF('wgl tot'!BM44&gt;tabellen!$G$12*'wgl tot'!H44/12,tabellen!$G$12*'wgl tot'!H44/12,'wgl tot'!BM44)*tabellen!$C$12))</f>
        <v>0</v>
      </c>
      <c r="AI44" s="143"/>
      <c r="AJ44" s="175">
        <f>IF(F44="",0,(L44+N44)*IF(J44=1,tabellen!$C$13,IF(J44=2,tabellen!$C$14,IF(J44=3,tabellen!$C$15,IF(J44=5,tabellen!$C$17,IF(J44=6,tabellen!$C$18,IF(J44=7,tabellen!$C$19,IF(J44=8,tabellen!$C$20,tabellen!$C$16))))))))</f>
        <v>0</v>
      </c>
      <c r="AK44" s="175">
        <f>IF(F44="",0,((L44+N44)*tabellen!$C$21))</f>
        <v>0</v>
      </c>
      <c r="AL44" s="224">
        <v>0</v>
      </c>
      <c r="AM44" s="143"/>
      <c r="AN44" s="224">
        <v>0</v>
      </c>
      <c r="AO44" s="143"/>
      <c r="AP44" s="155">
        <f t="shared" si="20"/>
        <v>0</v>
      </c>
      <c r="AQ44" s="155">
        <f t="shared" si="21"/>
        <v>0</v>
      </c>
      <c r="AR44" s="143"/>
      <c r="AS44" s="179" t="str">
        <f t="shared" ref="AS44:AS75" si="25">IF(AP44=0,"",(AP44/L44-1))</f>
        <v/>
      </c>
      <c r="AT44" s="179" t="str">
        <f t="shared" ref="AT44:AT75" si="26">IF(AP44=0,"",(AP44/(X44/12))-1)</f>
        <v/>
      </c>
      <c r="AU44" s="143"/>
      <c r="AV44" s="121"/>
      <c r="AW44" s="113"/>
      <c r="AX44" s="113"/>
      <c r="AY44" s="157">
        <f ca="1">YEAR('wgl tot'!$AY$9)-YEAR('wgl tot'!E44)</f>
        <v>120</v>
      </c>
      <c r="AZ44" s="157">
        <f ca="1">MONTH('wgl tot'!$AY$9)-MONTH('wgl tot'!E44)</f>
        <v>1</v>
      </c>
      <c r="BA44" s="157">
        <f ca="1">DAY('wgl tot'!$AY$9)-DAY('wgl tot'!E44)</f>
        <v>18</v>
      </c>
      <c r="BB44" s="122">
        <f>IF(AND('wgl tot'!F44&gt;0,'wgl tot'!F44&lt;17),0,100)</f>
        <v>100</v>
      </c>
      <c r="BC44" s="122">
        <f t="shared" ref="BC44:BC75" si="27">F44</f>
        <v>0</v>
      </c>
      <c r="BD44" s="140">
        <v>42583</v>
      </c>
      <c r="BE44" s="158">
        <f t="shared" si="18"/>
        <v>0.08</v>
      </c>
      <c r="BF44" s="159">
        <f>+tabellen!$D$45</f>
        <v>6.3E-2</v>
      </c>
      <c r="BG44" s="157">
        <f>IF('wgl tot'!BB44=100,0,'wgl tot'!F44)</f>
        <v>0</v>
      </c>
      <c r="BH44" s="159" t="str">
        <f>IF(OR('wgl tot'!F44="DA",'wgl tot'!F44="DB",'wgl tot'!F44="DBuit",'wgl tot'!F44="DC",'wgl tot'!F44="DCuit",MID('wgl tot'!F44,1,5)="meerh"),"j","n")</f>
        <v>n</v>
      </c>
      <c r="BI44" s="161" t="e">
        <f>IF('wgl tot'!V44/'wgl tot'!H44&lt;tabellen!$E$6,0,(+'wgl tot'!V44-tabellen!$E$6*'wgl tot'!H44)/12*tabellen!$D$6)</f>
        <v>#DIV/0!</v>
      </c>
      <c r="BJ44" s="161" t="e">
        <f>IF('wgl tot'!V44/'wgl tot'!H44&lt;tabellen!$E$7,0,(+'wgl tot'!V44-tabellen!$E$7*'wgl tot'!H44)/12*tabellen!$D$7)</f>
        <v>#DIV/0!</v>
      </c>
      <c r="BK44" s="161">
        <f>'wgl tot'!V44/12*tabellen!$D$8</f>
        <v>0</v>
      </c>
      <c r="BL44" s="162" t="e">
        <f t="shared" si="22"/>
        <v>#DIV/0!</v>
      </c>
      <c r="BM44" s="163" t="e">
        <f>+X44/12-'wgl tot'!BL44</f>
        <v>#DIV/0!</v>
      </c>
      <c r="BN44" s="163" t="e">
        <f>ROUND(IF('wgl tot'!BM44&gt;tabellen!$H$11,tabellen!$H$11,'wgl tot'!BM44)*tabellen!$C$11,2)</f>
        <v>#DIV/0!</v>
      </c>
      <c r="BO44" s="163" t="e">
        <f>+'wgl tot'!BM44+'wgl tot'!BN44</f>
        <v>#DIV/0!</v>
      </c>
      <c r="BP44" s="164">
        <f t="shared" ref="BP44:BP75" si="28">YEAR(E44)</f>
        <v>1900</v>
      </c>
      <c r="BQ44" s="164">
        <f t="shared" ref="BQ44:BQ75" si="29">MONTH(E44)</f>
        <v>1</v>
      </c>
      <c r="BR44" s="157">
        <f t="shared" ref="BR44:BR75" si="30">DAY(E44)</f>
        <v>0</v>
      </c>
      <c r="BS44" s="140">
        <f t="shared" si="16"/>
        <v>24227</v>
      </c>
      <c r="BT44" s="140">
        <f t="shared" ca="1" si="17"/>
        <v>43879.576672800926</v>
      </c>
      <c r="BU44" s="122"/>
      <c r="BV44" s="140"/>
      <c r="BW44" s="122"/>
      <c r="BX44" s="160"/>
      <c r="BY44" s="160"/>
      <c r="BZ44" s="160"/>
      <c r="CA44" s="160"/>
      <c r="CB44" s="160"/>
      <c r="CC44" s="160"/>
      <c r="CD44" s="113"/>
      <c r="CE44" s="113"/>
    </row>
    <row r="45" spans="1:83" s="124" customFormat="1" ht="12" customHeight="1" x14ac:dyDescent="0.2">
      <c r="A45" s="113"/>
      <c r="B45" s="114"/>
      <c r="C45" s="143"/>
      <c r="D45" s="149"/>
      <c r="E45" s="150"/>
      <c r="F45" s="151"/>
      <c r="G45" s="151"/>
      <c r="H45" s="152"/>
      <c r="I45" s="151"/>
      <c r="J45" s="153"/>
      <c r="K45" s="173">
        <f>IF(F45="",0,(VLOOKUP('wgl tot'!F45,saltab2020,'wgl tot'!G45+1,FALSE)))</f>
        <v>0</v>
      </c>
      <c r="L45" s="155">
        <f t="shared" si="0"/>
        <v>0</v>
      </c>
      <c r="M45" s="143"/>
      <c r="N45" s="173">
        <f>ROUND(IF(('wgl tot'!L45+'wgl tot'!P45)*BE45&lt;'wgl tot'!H45*tabellen!$D$44,'wgl tot'!H45*tabellen!$D$44,('wgl tot'!L45+'wgl tot'!P45)*BE45),2)</f>
        <v>0</v>
      </c>
      <c r="O45" s="173">
        <f>ROUND(+('wgl tot'!L45+'wgl tot'!P45)*BF45,2)</f>
        <v>0</v>
      </c>
      <c r="P45" s="173">
        <f>ROUND(IF(I45="j",VLOOKUP(BC45,uitlooptoeslag,2,FALSE))*IF('wgl tot'!H45&gt;1,1,'wgl tot'!H45),2)</f>
        <v>0</v>
      </c>
      <c r="Q45" s="173">
        <f>ROUND(IF(BH45="j",tabellen!$D$55*IF('wgl tot'!H45&gt;1,1,'wgl tot'!H45),0),2)</f>
        <v>0</v>
      </c>
      <c r="R45" s="173">
        <f>VLOOKUP(BG45,eindejaarsuitkering_OOP,2,TRUE)*'wgl tot'!H45/12</f>
        <v>0</v>
      </c>
      <c r="S45" s="173">
        <f>ROUND(H45*tabellen!$D$51,2)</f>
        <v>0</v>
      </c>
      <c r="T45" s="173">
        <f>ROUND(H45*tabellen!C$39,2)</f>
        <v>0</v>
      </c>
      <c r="U45" s="173">
        <f t="shared" si="12"/>
        <v>0</v>
      </c>
      <c r="V45" s="174">
        <f t="shared" si="23"/>
        <v>0</v>
      </c>
      <c r="W45" s="173">
        <f>('wgl tot'!L45+'wgl tot'!P45)*tabellen!$C$37*12</f>
        <v>0</v>
      </c>
      <c r="X45" s="155">
        <f t="shared" si="24"/>
        <v>0</v>
      </c>
      <c r="Y45" s="143"/>
      <c r="Z45" s="174">
        <f t="shared" si="19"/>
        <v>0</v>
      </c>
      <c r="AA45" s="207">
        <f>+'wgl tot'!W45/12</f>
        <v>0</v>
      </c>
      <c r="AB45" s="143"/>
      <c r="AC45" s="173">
        <f>IF(F45="",0,(IF('wgl tot'!V45/'wgl tot'!H45&lt;tabellen!$E$6,0,('wgl tot'!V45-tabellen!$E$6*'wgl tot'!H45)/12)*tabellen!$C$6))</f>
        <v>0</v>
      </c>
      <c r="AD45" s="173">
        <f>IF(F45="",0,(IF('wgl tot'!V45/'wgl tot'!H45&lt;tabellen!$E$7,0,(+'wgl tot'!V45-tabellen!$E$7*'wgl tot'!H45)/12)*tabellen!$C$7))</f>
        <v>0</v>
      </c>
      <c r="AE45" s="173">
        <f>'wgl tot'!V45/12*tabellen!$C$8</f>
        <v>0</v>
      </c>
      <c r="AF45" s="173">
        <f>IF(H45=0,0,IF(BM45&gt;tabellen!$G$9/12,tabellen!$G$9/12,BM45)*(tabellen!$C$9+tabellen!$C$10))</f>
        <v>0</v>
      </c>
      <c r="AG45" s="173">
        <f>IF(F45="",0,('wgl tot'!BN45))</f>
        <v>0</v>
      </c>
      <c r="AH45" s="175">
        <f>IF(F45="",0,(IF('wgl tot'!BM45&gt;tabellen!$G$12*'wgl tot'!H45/12,tabellen!$G$12*'wgl tot'!H45/12,'wgl tot'!BM45)*tabellen!$C$12))</f>
        <v>0</v>
      </c>
      <c r="AI45" s="143"/>
      <c r="AJ45" s="175">
        <f>IF(F45="",0,(L45+N45)*IF(J45=1,tabellen!$C$13,IF(J45=2,tabellen!$C$14,IF(J45=3,tabellen!$C$15,IF(J45=5,tabellen!$C$17,IF(J45=6,tabellen!$C$18,IF(J45=7,tabellen!$C$19,IF(J45=8,tabellen!$C$20,tabellen!$C$16))))))))</f>
        <v>0</v>
      </c>
      <c r="AK45" s="175">
        <f>IF(F45="",0,((L45+N45)*tabellen!$C$21))</f>
        <v>0</v>
      </c>
      <c r="AL45" s="224">
        <v>0</v>
      </c>
      <c r="AM45" s="143"/>
      <c r="AN45" s="224">
        <v>0</v>
      </c>
      <c r="AO45" s="143"/>
      <c r="AP45" s="155">
        <f t="shared" si="20"/>
        <v>0</v>
      </c>
      <c r="AQ45" s="155">
        <f t="shared" si="21"/>
        <v>0</v>
      </c>
      <c r="AR45" s="143"/>
      <c r="AS45" s="179" t="str">
        <f t="shared" si="25"/>
        <v/>
      </c>
      <c r="AT45" s="179" t="str">
        <f t="shared" si="26"/>
        <v/>
      </c>
      <c r="AU45" s="143"/>
      <c r="AV45" s="121"/>
      <c r="AW45" s="113"/>
      <c r="AX45" s="113"/>
      <c r="AY45" s="157">
        <f ca="1">YEAR('wgl tot'!$AY$9)-YEAR('wgl tot'!E45)</f>
        <v>120</v>
      </c>
      <c r="AZ45" s="157">
        <f ca="1">MONTH('wgl tot'!$AY$9)-MONTH('wgl tot'!E45)</f>
        <v>1</v>
      </c>
      <c r="BA45" s="157">
        <f ca="1">DAY('wgl tot'!$AY$9)-DAY('wgl tot'!E45)</f>
        <v>18</v>
      </c>
      <c r="BB45" s="122">
        <f>IF(AND('wgl tot'!F45&gt;0,'wgl tot'!F45&lt;17),0,100)</f>
        <v>100</v>
      </c>
      <c r="BC45" s="122">
        <f t="shared" si="27"/>
        <v>0</v>
      </c>
      <c r="BD45" s="140">
        <v>42583</v>
      </c>
      <c r="BE45" s="158">
        <f t="shared" si="18"/>
        <v>0.08</v>
      </c>
      <c r="BF45" s="159">
        <f>+tabellen!$D$45</f>
        <v>6.3E-2</v>
      </c>
      <c r="BG45" s="157">
        <f>IF('wgl tot'!BB45=100,0,'wgl tot'!F45)</f>
        <v>0</v>
      </c>
      <c r="BH45" s="159" t="str">
        <f>IF(OR('wgl tot'!F45="DA",'wgl tot'!F45="DB",'wgl tot'!F45="DBuit",'wgl tot'!F45="DC",'wgl tot'!F45="DCuit",MID('wgl tot'!F45,1,5)="meerh"),"j","n")</f>
        <v>n</v>
      </c>
      <c r="BI45" s="161" t="e">
        <f>IF('wgl tot'!V45/'wgl tot'!H45&lt;tabellen!$E$6,0,(+'wgl tot'!V45-tabellen!$E$6*'wgl tot'!H45)/12*tabellen!$D$6)</f>
        <v>#DIV/0!</v>
      </c>
      <c r="BJ45" s="161" t="e">
        <f>IF('wgl tot'!V45/'wgl tot'!H45&lt;tabellen!$E$7,0,(+'wgl tot'!V45-tabellen!$E$7*'wgl tot'!H45)/12*tabellen!$D$7)</f>
        <v>#DIV/0!</v>
      </c>
      <c r="BK45" s="161">
        <f>'wgl tot'!V45/12*tabellen!$D$8</f>
        <v>0</v>
      </c>
      <c r="BL45" s="162" t="e">
        <f t="shared" si="22"/>
        <v>#DIV/0!</v>
      </c>
      <c r="BM45" s="163" t="e">
        <f>+X45/12-'wgl tot'!BL45</f>
        <v>#DIV/0!</v>
      </c>
      <c r="BN45" s="163" t="e">
        <f>ROUND(IF('wgl tot'!BM45&gt;tabellen!$H$11,tabellen!$H$11,'wgl tot'!BM45)*tabellen!$C$11,2)</f>
        <v>#DIV/0!</v>
      </c>
      <c r="BO45" s="163" t="e">
        <f>+'wgl tot'!BM45+'wgl tot'!BN45</f>
        <v>#DIV/0!</v>
      </c>
      <c r="BP45" s="164">
        <f t="shared" si="28"/>
        <v>1900</v>
      </c>
      <c r="BQ45" s="164">
        <f t="shared" si="29"/>
        <v>1</v>
      </c>
      <c r="BR45" s="157">
        <f t="shared" si="30"/>
        <v>0</v>
      </c>
      <c r="BS45" s="140">
        <f t="shared" si="16"/>
        <v>24227</v>
      </c>
      <c r="BT45" s="140">
        <f t="shared" ca="1" si="17"/>
        <v>43879.576672800926</v>
      </c>
      <c r="BU45" s="122"/>
      <c r="BV45" s="140"/>
      <c r="BW45" s="122"/>
      <c r="BX45" s="160"/>
      <c r="BY45" s="160"/>
      <c r="BZ45" s="160"/>
      <c r="CA45" s="160"/>
      <c r="CB45" s="160"/>
      <c r="CC45" s="160"/>
      <c r="CD45" s="113"/>
      <c r="CE45" s="113"/>
    </row>
    <row r="46" spans="1:83" s="124" customFormat="1" ht="12" customHeight="1" x14ac:dyDescent="0.2">
      <c r="A46" s="113"/>
      <c r="B46" s="114"/>
      <c r="C46" s="143"/>
      <c r="D46" s="149"/>
      <c r="E46" s="150"/>
      <c r="F46" s="151"/>
      <c r="G46" s="151"/>
      <c r="H46" s="152"/>
      <c r="I46" s="151"/>
      <c r="J46" s="153"/>
      <c r="K46" s="173">
        <f>IF(F46="",0,(VLOOKUP('wgl tot'!F46,saltab2020,'wgl tot'!G46+1,FALSE)))</f>
        <v>0</v>
      </c>
      <c r="L46" s="155">
        <f t="shared" si="0"/>
        <v>0</v>
      </c>
      <c r="M46" s="143"/>
      <c r="N46" s="173">
        <f>ROUND(IF(('wgl tot'!L46+'wgl tot'!P46)*BE46&lt;'wgl tot'!H46*tabellen!$D$44,'wgl tot'!H46*tabellen!$D$44,('wgl tot'!L46+'wgl tot'!P46)*BE46),2)</f>
        <v>0</v>
      </c>
      <c r="O46" s="173">
        <f>ROUND(+('wgl tot'!L46+'wgl tot'!P46)*BF46,2)</f>
        <v>0</v>
      </c>
      <c r="P46" s="173">
        <f>ROUND(IF(I46="j",VLOOKUP(BC46,uitlooptoeslag,2,FALSE))*IF('wgl tot'!H46&gt;1,1,'wgl tot'!H46),2)</f>
        <v>0</v>
      </c>
      <c r="Q46" s="173">
        <f>ROUND(IF(BH46="j",tabellen!$D$55*IF('wgl tot'!H46&gt;1,1,'wgl tot'!H46),0),2)</f>
        <v>0</v>
      </c>
      <c r="R46" s="173">
        <f>VLOOKUP(BG46,eindejaarsuitkering_OOP,2,TRUE)*'wgl tot'!H46/12</f>
        <v>0</v>
      </c>
      <c r="S46" s="173">
        <f>ROUND(H46*tabellen!$D$51,2)</f>
        <v>0</v>
      </c>
      <c r="T46" s="173">
        <f>ROUND(H46*tabellen!C$39,2)</f>
        <v>0</v>
      </c>
      <c r="U46" s="173">
        <f t="shared" si="12"/>
        <v>0</v>
      </c>
      <c r="V46" s="174">
        <f t="shared" si="23"/>
        <v>0</v>
      </c>
      <c r="W46" s="173">
        <f>('wgl tot'!L46+'wgl tot'!P46)*tabellen!$C$37*12</f>
        <v>0</v>
      </c>
      <c r="X46" s="155">
        <f t="shared" si="24"/>
        <v>0</v>
      </c>
      <c r="Y46" s="143"/>
      <c r="Z46" s="174">
        <f t="shared" si="19"/>
        <v>0</v>
      </c>
      <c r="AA46" s="207">
        <f>+'wgl tot'!W46/12</f>
        <v>0</v>
      </c>
      <c r="AB46" s="143"/>
      <c r="AC46" s="173">
        <f>IF(F46="",0,(IF('wgl tot'!V46/'wgl tot'!H46&lt;tabellen!$E$6,0,('wgl tot'!V46-tabellen!$E$6*'wgl tot'!H46)/12)*tabellen!$C$6))</f>
        <v>0</v>
      </c>
      <c r="AD46" s="173">
        <f>IF(F46="",0,(IF('wgl tot'!V46/'wgl tot'!H46&lt;tabellen!$E$7,0,(+'wgl tot'!V46-tabellen!$E$7*'wgl tot'!H46)/12)*tabellen!$C$7))</f>
        <v>0</v>
      </c>
      <c r="AE46" s="173">
        <f>'wgl tot'!V46/12*tabellen!$C$8</f>
        <v>0</v>
      </c>
      <c r="AF46" s="173">
        <f>IF(H46=0,0,IF(BM46&gt;tabellen!$G$9/12,tabellen!$G$9/12,BM46)*(tabellen!$C$9+tabellen!$C$10))</f>
        <v>0</v>
      </c>
      <c r="AG46" s="173">
        <f>IF(F46="",0,('wgl tot'!BN46))</f>
        <v>0</v>
      </c>
      <c r="AH46" s="175">
        <f>IF(F46="",0,(IF('wgl tot'!BM46&gt;tabellen!$G$12*'wgl tot'!H46/12,tabellen!$G$12*'wgl tot'!H46/12,'wgl tot'!BM46)*tabellen!$C$12))</f>
        <v>0</v>
      </c>
      <c r="AI46" s="143"/>
      <c r="AJ46" s="175">
        <f>IF(F46="",0,(L46+N46)*IF(J46=1,tabellen!$C$13,IF(J46=2,tabellen!$C$14,IF(J46=3,tabellen!$C$15,IF(J46=5,tabellen!$C$17,IF(J46=6,tabellen!$C$18,IF(J46=7,tabellen!$C$19,IF(J46=8,tabellen!$C$20,tabellen!$C$16))))))))</f>
        <v>0</v>
      </c>
      <c r="AK46" s="175">
        <f>IF(F46="",0,((L46+N46)*tabellen!$C$21))</f>
        <v>0</v>
      </c>
      <c r="AL46" s="224">
        <v>0</v>
      </c>
      <c r="AM46" s="143"/>
      <c r="AN46" s="224">
        <v>0</v>
      </c>
      <c r="AO46" s="143"/>
      <c r="AP46" s="155">
        <f t="shared" si="20"/>
        <v>0</v>
      </c>
      <c r="AQ46" s="155">
        <f t="shared" si="21"/>
        <v>0</v>
      </c>
      <c r="AR46" s="143"/>
      <c r="AS46" s="179" t="str">
        <f t="shared" si="25"/>
        <v/>
      </c>
      <c r="AT46" s="179" t="str">
        <f t="shared" si="26"/>
        <v/>
      </c>
      <c r="AU46" s="143"/>
      <c r="AV46" s="121"/>
      <c r="AW46" s="113"/>
      <c r="AX46" s="113"/>
      <c r="AY46" s="157">
        <f ca="1">YEAR('wgl tot'!$AY$9)-YEAR('wgl tot'!E46)</f>
        <v>120</v>
      </c>
      <c r="AZ46" s="157">
        <f ca="1">MONTH('wgl tot'!$AY$9)-MONTH('wgl tot'!E46)</f>
        <v>1</v>
      </c>
      <c r="BA46" s="157">
        <f ca="1">DAY('wgl tot'!$AY$9)-DAY('wgl tot'!E46)</f>
        <v>18</v>
      </c>
      <c r="BB46" s="122">
        <f>IF(AND('wgl tot'!F46&gt;0,'wgl tot'!F46&lt;17),0,100)</f>
        <v>100</v>
      </c>
      <c r="BC46" s="122">
        <f t="shared" si="27"/>
        <v>0</v>
      </c>
      <c r="BD46" s="140">
        <v>42583</v>
      </c>
      <c r="BE46" s="158">
        <f t="shared" si="18"/>
        <v>0.08</v>
      </c>
      <c r="BF46" s="159">
        <f>+tabellen!$D$45</f>
        <v>6.3E-2</v>
      </c>
      <c r="BG46" s="157">
        <f>IF('wgl tot'!BB46=100,0,'wgl tot'!F46)</f>
        <v>0</v>
      </c>
      <c r="BH46" s="159" t="str">
        <f>IF(OR('wgl tot'!F46="DA",'wgl tot'!F46="DB",'wgl tot'!F46="DBuit",'wgl tot'!F46="DC",'wgl tot'!F46="DCuit",MID('wgl tot'!F46,1,5)="meerh"),"j","n")</f>
        <v>n</v>
      </c>
      <c r="BI46" s="161" t="e">
        <f>IF('wgl tot'!V46/'wgl tot'!H46&lt;tabellen!$E$6,0,(+'wgl tot'!V46-tabellen!$E$6*'wgl tot'!H46)/12*tabellen!$D$6)</f>
        <v>#DIV/0!</v>
      </c>
      <c r="BJ46" s="161" t="e">
        <f>IF('wgl tot'!V46/'wgl tot'!H46&lt;tabellen!$E$7,0,(+'wgl tot'!V46-tabellen!$E$7*'wgl tot'!H46)/12*tabellen!$D$7)</f>
        <v>#DIV/0!</v>
      </c>
      <c r="BK46" s="161">
        <f>'wgl tot'!V46/12*tabellen!$D$8</f>
        <v>0</v>
      </c>
      <c r="BL46" s="162" t="e">
        <f t="shared" si="22"/>
        <v>#DIV/0!</v>
      </c>
      <c r="BM46" s="163" t="e">
        <f>+X46/12-'wgl tot'!BL46</f>
        <v>#DIV/0!</v>
      </c>
      <c r="BN46" s="163" t="e">
        <f>ROUND(IF('wgl tot'!BM46&gt;tabellen!$H$11,tabellen!$H$11,'wgl tot'!BM46)*tabellen!$C$11,2)</f>
        <v>#DIV/0!</v>
      </c>
      <c r="BO46" s="163" t="e">
        <f>+'wgl tot'!BM46+'wgl tot'!BN46</f>
        <v>#DIV/0!</v>
      </c>
      <c r="BP46" s="164">
        <f t="shared" si="28"/>
        <v>1900</v>
      </c>
      <c r="BQ46" s="164">
        <f t="shared" si="29"/>
        <v>1</v>
      </c>
      <c r="BR46" s="157">
        <f t="shared" si="30"/>
        <v>0</v>
      </c>
      <c r="BS46" s="140">
        <f t="shared" si="16"/>
        <v>24227</v>
      </c>
      <c r="BT46" s="140">
        <f t="shared" ca="1" si="17"/>
        <v>43879.576672800926</v>
      </c>
      <c r="BU46" s="122"/>
      <c r="BV46" s="140"/>
      <c r="BW46" s="122"/>
      <c r="BX46" s="160"/>
      <c r="BY46" s="160"/>
      <c r="BZ46" s="160"/>
      <c r="CA46" s="160"/>
      <c r="CB46" s="160"/>
      <c r="CC46" s="160"/>
      <c r="CD46" s="113"/>
      <c r="CE46" s="113"/>
    </row>
    <row r="47" spans="1:83" s="124" customFormat="1" ht="12" customHeight="1" x14ac:dyDescent="0.2">
      <c r="A47" s="113"/>
      <c r="B47" s="114"/>
      <c r="C47" s="143"/>
      <c r="D47" s="149"/>
      <c r="E47" s="150"/>
      <c r="F47" s="151"/>
      <c r="G47" s="151"/>
      <c r="H47" s="152"/>
      <c r="I47" s="151"/>
      <c r="J47" s="153"/>
      <c r="K47" s="173">
        <f>IF(F47="",0,(VLOOKUP('wgl tot'!F47,saltab2020,'wgl tot'!G47+1,FALSE)))</f>
        <v>0</v>
      </c>
      <c r="L47" s="155">
        <f t="shared" si="0"/>
        <v>0</v>
      </c>
      <c r="M47" s="143"/>
      <c r="N47" s="173">
        <f>ROUND(IF(('wgl tot'!L47+'wgl tot'!P47)*BE47&lt;'wgl tot'!H47*tabellen!$D$44,'wgl tot'!H47*tabellen!$D$44,('wgl tot'!L47+'wgl tot'!P47)*BE47),2)</f>
        <v>0</v>
      </c>
      <c r="O47" s="173">
        <f>ROUND(+('wgl tot'!L47+'wgl tot'!P47)*BF47,2)</f>
        <v>0</v>
      </c>
      <c r="P47" s="173">
        <f>ROUND(IF(I47="j",VLOOKUP(BC47,uitlooptoeslag,2,FALSE))*IF('wgl tot'!H47&gt;1,1,'wgl tot'!H47),2)</f>
        <v>0</v>
      </c>
      <c r="Q47" s="173">
        <f>ROUND(IF(BH47="j",tabellen!$D$55*IF('wgl tot'!H47&gt;1,1,'wgl tot'!H47),0),2)</f>
        <v>0</v>
      </c>
      <c r="R47" s="173">
        <f>VLOOKUP(BG47,eindejaarsuitkering_OOP,2,TRUE)*'wgl tot'!H47/12</f>
        <v>0</v>
      </c>
      <c r="S47" s="173">
        <f>ROUND(H47*tabellen!$D$51,2)</f>
        <v>0</v>
      </c>
      <c r="T47" s="173">
        <f>ROUND(H47*tabellen!C$39,2)</f>
        <v>0</v>
      </c>
      <c r="U47" s="173">
        <f t="shared" si="12"/>
        <v>0</v>
      </c>
      <c r="V47" s="174">
        <f t="shared" si="23"/>
        <v>0</v>
      </c>
      <c r="W47" s="173">
        <f>('wgl tot'!L47+'wgl tot'!P47)*tabellen!$C$37*12</f>
        <v>0</v>
      </c>
      <c r="X47" s="155">
        <f t="shared" si="24"/>
        <v>0</v>
      </c>
      <c r="Y47" s="143"/>
      <c r="Z47" s="174">
        <f t="shared" si="19"/>
        <v>0</v>
      </c>
      <c r="AA47" s="207">
        <f>+'wgl tot'!W47/12</f>
        <v>0</v>
      </c>
      <c r="AB47" s="143"/>
      <c r="AC47" s="173">
        <f>IF(F47="",0,(IF('wgl tot'!V47/'wgl tot'!H47&lt;tabellen!$E$6,0,('wgl tot'!V47-tabellen!$E$6*'wgl tot'!H47)/12)*tabellen!$C$6))</f>
        <v>0</v>
      </c>
      <c r="AD47" s="173">
        <f>IF(F47="",0,(IF('wgl tot'!V47/'wgl tot'!H47&lt;tabellen!$E$7,0,(+'wgl tot'!V47-tabellen!$E$7*'wgl tot'!H47)/12)*tabellen!$C$7))</f>
        <v>0</v>
      </c>
      <c r="AE47" s="173">
        <f>'wgl tot'!V47/12*tabellen!$C$8</f>
        <v>0</v>
      </c>
      <c r="AF47" s="173">
        <f>IF(H47=0,0,IF(BM47&gt;tabellen!$G$9/12,tabellen!$G$9/12,BM47)*(tabellen!$C$9+tabellen!$C$10))</f>
        <v>0</v>
      </c>
      <c r="AG47" s="173">
        <f>IF(F47="",0,('wgl tot'!BN47))</f>
        <v>0</v>
      </c>
      <c r="AH47" s="175">
        <f>IF(F47="",0,(IF('wgl tot'!BM47&gt;tabellen!$G$12*'wgl tot'!H47/12,tabellen!$G$12*'wgl tot'!H47/12,'wgl tot'!BM47)*tabellen!$C$12))</f>
        <v>0</v>
      </c>
      <c r="AI47" s="143"/>
      <c r="AJ47" s="175">
        <f>IF(F47="",0,(L47+N47)*IF(J47=1,tabellen!$C$13,IF(J47=2,tabellen!$C$14,IF(J47=3,tabellen!$C$15,IF(J47=5,tabellen!$C$17,IF(J47=6,tabellen!$C$18,IF(J47=7,tabellen!$C$19,IF(J47=8,tabellen!$C$20,tabellen!$C$16))))))))</f>
        <v>0</v>
      </c>
      <c r="AK47" s="175">
        <f>IF(F47="",0,((L47+N47)*tabellen!$C$21))</f>
        <v>0</v>
      </c>
      <c r="AL47" s="224">
        <v>0</v>
      </c>
      <c r="AM47" s="143"/>
      <c r="AN47" s="224">
        <v>0</v>
      </c>
      <c r="AO47" s="143"/>
      <c r="AP47" s="155">
        <f t="shared" si="20"/>
        <v>0</v>
      </c>
      <c r="AQ47" s="155">
        <f t="shared" si="21"/>
        <v>0</v>
      </c>
      <c r="AR47" s="143"/>
      <c r="AS47" s="179" t="str">
        <f t="shared" si="25"/>
        <v/>
      </c>
      <c r="AT47" s="179" t="str">
        <f t="shared" si="26"/>
        <v/>
      </c>
      <c r="AU47" s="143"/>
      <c r="AV47" s="121"/>
      <c r="AW47" s="113"/>
      <c r="AX47" s="113"/>
      <c r="AY47" s="157">
        <f ca="1">YEAR('wgl tot'!$AY$9)-YEAR('wgl tot'!E47)</f>
        <v>120</v>
      </c>
      <c r="AZ47" s="157">
        <f ca="1">MONTH('wgl tot'!$AY$9)-MONTH('wgl tot'!E47)</f>
        <v>1</v>
      </c>
      <c r="BA47" s="157">
        <f ca="1">DAY('wgl tot'!$AY$9)-DAY('wgl tot'!E47)</f>
        <v>18</v>
      </c>
      <c r="BB47" s="122">
        <f>IF(AND('wgl tot'!F47&gt;0,'wgl tot'!F47&lt;17),0,100)</f>
        <v>100</v>
      </c>
      <c r="BC47" s="122">
        <f t="shared" si="27"/>
        <v>0</v>
      </c>
      <c r="BD47" s="140">
        <v>42583</v>
      </c>
      <c r="BE47" s="158">
        <f t="shared" si="18"/>
        <v>0.08</v>
      </c>
      <c r="BF47" s="159">
        <f>+tabellen!$D$45</f>
        <v>6.3E-2</v>
      </c>
      <c r="BG47" s="157">
        <f>IF('wgl tot'!BB47=100,0,'wgl tot'!F47)</f>
        <v>0</v>
      </c>
      <c r="BH47" s="159" t="str">
        <f>IF(OR('wgl tot'!F47="DA",'wgl tot'!F47="DB",'wgl tot'!F47="DBuit",'wgl tot'!F47="DC",'wgl tot'!F47="DCuit",MID('wgl tot'!F47,1,5)="meerh"),"j","n")</f>
        <v>n</v>
      </c>
      <c r="BI47" s="161" t="e">
        <f>IF('wgl tot'!V47/'wgl tot'!H47&lt;tabellen!$E$6,0,(+'wgl tot'!V47-tabellen!$E$6*'wgl tot'!H47)/12*tabellen!$D$6)</f>
        <v>#DIV/0!</v>
      </c>
      <c r="BJ47" s="161" t="e">
        <f>IF('wgl tot'!V47/'wgl tot'!H47&lt;tabellen!$E$7,0,(+'wgl tot'!V47-tabellen!$E$7*'wgl tot'!H47)/12*tabellen!$D$7)</f>
        <v>#DIV/0!</v>
      </c>
      <c r="BK47" s="161">
        <f>'wgl tot'!V47/12*tabellen!$D$8</f>
        <v>0</v>
      </c>
      <c r="BL47" s="162" t="e">
        <f t="shared" si="22"/>
        <v>#DIV/0!</v>
      </c>
      <c r="BM47" s="163" t="e">
        <f>+X47/12-'wgl tot'!BL47</f>
        <v>#DIV/0!</v>
      </c>
      <c r="BN47" s="163" t="e">
        <f>ROUND(IF('wgl tot'!BM47&gt;tabellen!$H$11,tabellen!$H$11,'wgl tot'!BM47)*tabellen!$C$11,2)</f>
        <v>#DIV/0!</v>
      </c>
      <c r="BO47" s="163" t="e">
        <f>+'wgl tot'!BM47+'wgl tot'!BN47</f>
        <v>#DIV/0!</v>
      </c>
      <c r="BP47" s="164">
        <f t="shared" si="28"/>
        <v>1900</v>
      </c>
      <c r="BQ47" s="164">
        <f t="shared" si="29"/>
        <v>1</v>
      </c>
      <c r="BR47" s="157">
        <f t="shared" si="30"/>
        <v>0</v>
      </c>
      <c r="BS47" s="140">
        <f t="shared" si="16"/>
        <v>24227</v>
      </c>
      <c r="BT47" s="140">
        <f t="shared" ca="1" si="17"/>
        <v>43879.576672800926</v>
      </c>
      <c r="BU47" s="122"/>
      <c r="BV47" s="140"/>
      <c r="BW47" s="122"/>
      <c r="BX47" s="160"/>
      <c r="BY47" s="160"/>
      <c r="BZ47" s="160"/>
      <c r="CA47" s="160"/>
      <c r="CB47" s="160"/>
      <c r="CC47" s="160"/>
      <c r="CD47" s="113"/>
      <c r="CE47" s="113"/>
    </row>
    <row r="48" spans="1:83" s="124" customFormat="1" ht="12" customHeight="1" x14ac:dyDescent="0.2">
      <c r="A48" s="113"/>
      <c r="B48" s="114"/>
      <c r="C48" s="143"/>
      <c r="D48" s="149"/>
      <c r="E48" s="150"/>
      <c r="F48" s="151"/>
      <c r="G48" s="151"/>
      <c r="H48" s="152"/>
      <c r="I48" s="151"/>
      <c r="J48" s="153"/>
      <c r="K48" s="173">
        <f>IF(F48="",0,(VLOOKUP('wgl tot'!F48,saltab2020,'wgl tot'!G48+1,FALSE)))</f>
        <v>0</v>
      </c>
      <c r="L48" s="155">
        <f t="shared" si="0"/>
        <v>0</v>
      </c>
      <c r="M48" s="143"/>
      <c r="N48" s="173">
        <f>ROUND(IF(('wgl tot'!L48+'wgl tot'!P48)*BE48&lt;'wgl tot'!H48*tabellen!$D$44,'wgl tot'!H48*tabellen!$D$44,('wgl tot'!L48+'wgl tot'!P48)*BE48),2)</f>
        <v>0</v>
      </c>
      <c r="O48" s="173">
        <f>ROUND(+('wgl tot'!L48+'wgl tot'!P48)*BF48,2)</f>
        <v>0</v>
      </c>
      <c r="P48" s="173">
        <f>ROUND(IF(I48="j",VLOOKUP(BC48,uitlooptoeslag,2,FALSE))*IF('wgl tot'!H48&gt;1,1,'wgl tot'!H48),2)</f>
        <v>0</v>
      </c>
      <c r="Q48" s="173">
        <f>ROUND(IF(BH48="j",tabellen!$D$55*IF('wgl tot'!H48&gt;1,1,'wgl tot'!H48),0),2)</f>
        <v>0</v>
      </c>
      <c r="R48" s="173">
        <f>VLOOKUP(BG48,eindejaarsuitkering_OOP,2,TRUE)*'wgl tot'!H48/12</f>
        <v>0</v>
      </c>
      <c r="S48" s="173">
        <f>ROUND(H48*tabellen!$D$51,2)</f>
        <v>0</v>
      </c>
      <c r="T48" s="173">
        <f>ROUND(H48*tabellen!C$39,2)</f>
        <v>0</v>
      </c>
      <c r="U48" s="173">
        <f t="shared" si="12"/>
        <v>0</v>
      </c>
      <c r="V48" s="174">
        <f t="shared" si="23"/>
        <v>0</v>
      </c>
      <c r="W48" s="173">
        <f>('wgl tot'!L48+'wgl tot'!P48)*tabellen!$C$37*12</f>
        <v>0</v>
      </c>
      <c r="X48" s="155">
        <f t="shared" si="24"/>
        <v>0</v>
      </c>
      <c r="Y48" s="143"/>
      <c r="Z48" s="174">
        <f t="shared" si="19"/>
        <v>0</v>
      </c>
      <c r="AA48" s="207">
        <f>+'wgl tot'!W48/12</f>
        <v>0</v>
      </c>
      <c r="AB48" s="143"/>
      <c r="AC48" s="173">
        <f>IF(F48="",0,(IF('wgl tot'!V48/'wgl tot'!H48&lt;tabellen!$E$6,0,('wgl tot'!V48-tabellen!$E$6*'wgl tot'!H48)/12)*tabellen!$C$6))</f>
        <v>0</v>
      </c>
      <c r="AD48" s="173">
        <f>IF(F48="",0,(IF('wgl tot'!V48/'wgl tot'!H48&lt;tabellen!$E$7,0,(+'wgl tot'!V48-tabellen!$E$7*'wgl tot'!H48)/12)*tabellen!$C$7))</f>
        <v>0</v>
      </c>
      <c r="AE48" s="173">
        <f>'wgl tot'!V48/12*tabellen!$C$8</f>
        <v>0</v>
      </c>
      <c r="AF48" s="173">
        <f>IF(H48=0,0,IF(BM48&gt;tabellen!$G$9/12,tabellen!$G$9/12,BM48)*(tabellen!$C$9+tabellen!$C$10))</f>
        <v>0</v>
      </c>
      <c r="AG48" s="173">
        <f>IF(F48="",0,('wgl tot'!BN48))</f>
        <v>0</v>
      </c>
      <c r="AH48" s="175">
        <f>IF(F48="",0,(IF('wgl tot'!BM48&gt;tabellen!$G$12*'wgl tot'!H48/12,tabellen!$G$12*'wgl tot'!H48/12,'wgl tot'!BM48)*tabellen!$C$12))</f>
        <v>0</v>
      </c>
      <c r="AI48" s="143"/>
      <c r="AJ48" s="175">
        <f>IF(F48="",0,(L48+N48)*IF(J48=1,tabellen!$C$13,IF(J48=2,tabellen!$C$14,IF(J48=3,tabellen!$C$15,IF(J48=5,tabellen!$C$17,IF(J48=6,tabellen!$C$18,IF(J48=7,tabellen!$C$19,IF(J48=8,tabellen!$C$20,tabellen!$C$16))))))))</f>
        <v>0</v>
      </c>
      <c r="AK48" s="175">
        <f>IF(F48="",0,((L48+N48)*tabellen!$C$21))</f>
        <v>0</v>
      </c>
      <c r="AL48" s="224">
        <v>0</v>
      </c>
      <c r="AM48" s="143"/>
      <c r="AN48" s="224">
        <v>0</v>
      </c>
      <c r="AO48" s="143"/>
      <c r="AP48" s="155">
        <f t="shared" si="20"/>
        <v>0</v>
      </c>
      <c r="AQ48" s="155">
        <f t="shared" si="21"/>
        <v>0</v>
      </c>
      <c r="AR48" s="143"/>
      <c r="AS48" s="179" t="str">
        <f t="shared" si="25"/>
        <v/>
      </c>
      <c r="AT48" s="179" t="str">
        <f t="shared" si="26"/>
        <v/>
      </c>
      <c r="AU48" s="143"/>
      <c r="AV48" s="121"/>
      <c r="AW48" s="113"/>
      <c r="AX48" s="113"/>
      <c r="AY48" s="157">
        <f ca="1">YEAR('wgl tot'!$AY$9)-YEAR('wgl tot'!E48)</f>
        <v>120</v>
      </c>
      <c r="AZ48" s="157">
        <f ca="1">MONTH('wgl tot'!$AY$9)-MONTH('wgl tot'!E48)</f>
        <v>1</v>
      </c>
      <c r="BA48" s="157">
        <f ca="1">DAY('wgl tot'!$AY$9)-DAY('wgl tot'!E48)</f>
        <v>18</v>
      </c>
      <c r="BB48" s="122">
        <f>IF(AND('wgl tot'!F48&gt;0,'wgl tot'!F48&lt;17),0,100)</f>
        <v>100</v>
      </c>
      <c r="BC48" s="122">
        <f t="shared" si="27"/>
        <v>0</v>
      </c>
      <c r="BD48" s="140">
        <v>42583</v>
      </c>
      <c r="BE48" s="158">
        <f t="shared" si="18"/>
        <v>0.08</v>
      </c>
      <c r="BF48" s="159">
        <f>+tabellen!$D$45</f>
        <v>6.3E-2</v>
      </c>
      <c r="BG48" s="157">
        <f>IF('wgl tot'!BB48=100,0,'wgl tot'!F48)</f>
        <v>0</v>
      </c>
      <c r="BH48" s="159" t="str">
        <f>IF(OR('wgl tot'!F48="DA",'wgl tot'!F48="DB",'wgl tot'!F48="DBuit",'wgl tot'!F48="DC",'wgl tot'!F48="DCuit",MID('wgl tot'!F48,1,5)="meerh"),"j","n")</f>
        <v>n</v>
      </c>
      <c r="BI48" s="161" t="e">
        <f>IF('wgl tot'!V48/'wgl tot'!H48&lt;tabellen!$E$6,0,(+'wgl tot'!V48-tabellen!$E$6*'wgl tot'!H48)/12*tabellen!$D$6)</f>
        <v>#DIV/0!</v>
      </c>
      <c r="BJ48" s="161" t="e">
        <f>IF('wgl tot'!V48/'wgl tot'!H48&lt;tabellen!$E$7,0,(+'wgl tot'!V48-tabellen!$E$7*'wgl tot'!H48)/12*tabellen!$D$7)</f>
        <v>#DIV/0!</v>
      </c>
      <c r="BK48" s="161">
        <f>'wgl tot'!V48/12*tabellen!$D$8</f>
        <v>0</v>
      </c>
      <c r="BL48" s="162" t="e">
        <f t="shared" si="22"/>
        <v>#DIV/0!</v>
      </c>
      <c r="BM48" s="163" t="e">
        <f>+X48/12-'wgl tot'!BL48</f>
        <v>#DIV/0!</v>
      </c>
      <c r="BN48" s="163" t="e">
        <f>ROUND(IF('wgl tot'!BM48&gt;tabellen!$H$11,tabellen!$H$11,'wgl tot'!BM48)*tabellen!$C$11,2)</f>
        <v>#DIV/0!</v>
      </c>
      <c r="BO48" s="163" t="e">
        <f>+'wgl tot'!BM48+'wgl tot'!BN48</f>
        <v>#DIV/0!</v>
      </c>
      <c r="BP48" s="164">
        <f t="shared" si="28"/>
        <v>1900</v>
      </c>
      <c r="BQ48" s="164">
        <f t="shared" si="29"/>
        <v>1</v>
      </c>
      <c r="BR48" s="157">
        <f t="shared" si="30"/>
        <v>0</v>
      </c>
      <c r="BS48" s="140">
        <f t="shared" si="16"/>
        <v>24227</v>
      </c>
      <c r="BT48" s="140">
        <f t="shared" ca="1" si="17"/>
        <v>43879.576672800926</v>
      </c>
      <c r="BU48" s="122"/>
      <c r="BV48" s="140"/>
      <c r="BW48" s="122"/>
      <c r="BX48" s="160"/>
      <c r="BY48" s="160"/>
      <c r="BZ48" s="160"/>
      <c r="CA48" s="160"/>
      <c r="CB48" s="160"/>
      <c r="CC48" s="160"/>
      <c r="CD48" s="113"/>
      <c r="CE48" s="113"/>
    </row>
    <row r="49" spans="1:83" s="124" customFormat="1" ht="12" customHeight="1" x14ac:dyDescent="0.2">
      <c r="A49" s="113"/>
      <c r="B49" s="114"/>
      <c r="C49" s="143"/>
      <c r="D49" s="149"/>
      <c r="E49" s="150"/>
      <c r="F49" s="151"/>
      <c r="G49" s="151"/>
      <c r="H49" s="152"/>
      <c r="I49" s="151"/>
      <c r="J49" s="153"/>
      <c r="K49" s="173">
        <f>IF(F49="",0,(VLOOKUP('wgl tot'!F49,saltab2020,'wgl tot'!G49+1,FALSE)))</f>
        <v>0</v>
      </c>
      <c r="L49" s="155">
        <f t="shared" si="0"/>
        <v>0</v>
      </c>
      <c r="M49" s="143"/>
      <c r="N49" s="173">
        <f>ROUND(IF(('wgl tot'!L49+'wgl tot'!P49)*BE49&lt;'wgl tot'!H49*tabellen!$D$44,'wgl tot'!H49*tabellen!$D$44,('wgl tot'!L49+'wgl tot'!P49)*BE49),2)</f>
        <v>0</v>
      </c>
      <c r="O49" s="173">
        <f>ROUND(+('wgl tot'!L49+'wgl tot'!P49)*BF49,2)</f>
        <v>0</v>
      </c>
      <c r="P49" s="173">
        <f>ROUND(IF(I49="j",VLOOKUP(BC49,uitlooptoeslag,2,FALSE))*IF('wgl tot'!H49&gt;1,1,'wgl tot'!H49),2)</f>
        <v>0</v>
      </c>
      <c r="Q49" s="173">
        <f>ROUND(IF(BH49="j",tabellen!$D$55*IF('wgl tot'!H49&gt;1,1,'wgl tot'!H49),0),2)</f>
        <v>0</v>
      </c>
      <c r="R49" s="173">
        <f>VLOOKUP(BG49,eindejaarsuitkering_OOP,2,TRUE)*'wgl tot'!H49/12</f>
        <v>0</v>
      </c>
      <c r="S49" s="173">
        <f>ROUND(H49*tabellen!$D$51,2)</f>
        <v>0</v>
      </c>
      <c r="T49" s="173">
        <f>ROUND(H49*tabellen!C$39,2)</f>
        <v>0</v>
      </c>
      <c r="U49" s="173">
        <f t="shared" si="12"/>
        <v>0</v>
      </c>
      <c r="V49" s="174">
        <f t="shared" si="23"/>
        <v>0</v>
      </c>
      <c r="W49" s="173">
        <f>('wgl tot'!L49+'wgl tot'!P49)*tabellen!$C$37*12</f>
        <v>0</v>
      </c>
      <c r="X49" s="155">
        <f t="shared" si="24"/>
        <v>0</v>
      </c>
      <c r="Y49" s="143"/>
      <c r="Z49" s="174">
        <f t="shared" si="19"/>
        <v>0</v>
      </c>
      <c r="AA49" s="207">
        <f>+'wgl tot'!W49/12</f>
        <v>0</v>
      </c>
      <c r="AB49" s="143"/>
      <c r="AC49" s="173">
        <f>IF(F49="",0,(IF('wgl tot'!V49/'wgl tot'!H49&lt;tabellen!$E$6,0,('wgl tot'!V49-tabellen!$E$6*'wgl tot'!H49)/12)*tabellen!$C$6))</f>
        <v>0</v>
      </c>
      <c r="AD49" s="173">
        <f>IF(F49="",0,(IF('wgl tot'!V49/'wgl tot'!H49&lt;tabellen!$E$7,0,(+'wgl tot'!V49-tabellen!$E$7*'wgl tot'!H49)/12)*tabellen!$C$7))</f>
        <v>0</v>
      </c>
      <c r="AE49" s="173">
        <f>'wgl tot'!V49/12*tabellen!$C$8</f>
        <v>0</v>
      </c>
      <c r="AF49" s="173">
        <f>IF(H49=0,0,IF(BM49&gt;tabellen!$G$9/12,tabellen!$G$9/12,BM49)*(tabellen!$C$9+tabellen!$C$10))</f>
        <v>0</v>
      </c>
      <c r="AG49" s="173">
        <f>IF(F49="",0,('wgl tot'!BN49))</f>
        <v>0</v>
      </c>
      <c r="AH49" s="175">
        <f>IF(F49="",0,(IF('wgl tot'!BM49&gt;tabellen!$G$12*'wgl tot'!H49/12,tabellen!$G$12*'wgl tot'!H49/12,'wgl tot'!BM49)*tabellen!$C$12))</f>
        <v>0</v>
      </c>
      <c r="AI49" s="143"/>
      <c r="AJ49" s="175">
        <f>IF(F49="",0,(L49+N49)*IF(J49=1,tabellen!$C$13,IF(J49=2,tabellen!$C$14,IF(J49=3,tabellen!$C$15,IF(J49=5,tabellen!$C$17,IF(J49=6,tabellen!$C$18,IF(J49=7,tabellen!$C$19,IF(J49=8,tabellen!$C$20,tabellen!$C$16))))))))</f>
        <v>0</v>
      </c>
      <c r="AK49" s="175">
        <f>IF(F49="",0,((L49+N49)*tabellen!$C$21))</f>
        <v>0</v>
      </c>
      <c r="AL49" s="224">
        <v>0</v>
      </c>
      <c r="AM49" s="143"/>
      <c r="AN49" s="224">
        <v>0</v>
      </c>
      <c r="AO49" s="143"/>
      <c r="AP49" s="155">
        <f t="shared" si="20"/>
        <v>0</v>
      </c>
      <c r="AQ49" s="155">
        <f t="shared" si="21"/>
        <v>0</v>
      </c>
      <c r="AR49" s="143"/>
      <c r="AS49" s="179" t="str">
        <f t="shared" si="25"/>
        <v/>
      </c>
      <c r="AT49" s="179" t="str">
        <f t="shared" si="26"/>
        <v/>
      </c>
      <c r="AU49" s="143"/>
      <c r="AV49" s="121"/>
      <c r="AW49" s="113"/>
      <c r="AX49" s="113"/>
      <c r="AY49" s="157">
        <f ca="1">YEAR('wgl tot'!$AY$9)-YEAR('wgl tot'!E49)</f>
        <v>120</v>
      </c>
      <c r="AZ49" s="157">
        <f ca="1">MONTH('wgl tot'!$AY$9)-MONTH('wgl tot'!E49)</f>
        <v>1</v>
      </c>
      <c r="BA49" s="157">
        <f ca="1">DAY('wgl tot'!$AY$9)-DAY('wgl tot'!E49)</f>
        <v>18</v>
      </c>
      <c r="BB49" s="122">
        <f>IF(AND('wgl tot'!F49&gt;0,'wgl tot'!F49&lt;17),0,100)</f>
        <v>100</v>
      </c>
      <c r="BC49" s="122">
        <f t="shared" si="27"/>
        <v>0</v>
      </c>
      <c r="BD49" s="140">
        <v>42583</v>
      </c>
      <c r="BE49" s="158">
        <f t="shared" si="18"/>
        <v>0.08</v>
      </c>
      <c r="BF49" s="159">
        <f>+tabellen!$D$45</f>
        <v>6.3E-2</v>
      </c>
      <c r="BG49" s="157">
        <f>IF('wgl tot'!BB49=100,0,'wgl tot'!F49)</f>
        <v>0</v>
      </c>
      <c r="BH49" s="159" t="str">
        <f>IF(OR('wgl tot'!F49="DA",'wgl tot'!F49="DB",'wgl tot'!F49="DBuit",'wgl tot'!F49="DC",'wgl tot'!F49="DCuit",MID('wgl tot'!F49,1,5)="meerh"),"j","n")</f>
        <v>n</v>
      </c>
      <c r="BI49" s="161" t="e">
        <f>IF('wgl tot'!V49/'wgl tot'!H49&lt;tabellen!$E$6,0,(+'wgl tot'!V49-tabellen!$E$6*'wgl tot'!H49)/12*tabellen!$D$6)</f>
        <v>#DIV/0!</v>
      </c>
      <c r="BJ49" s="161" t="e">
        <f>IF('wgl tot'!V49/'wgl tot'!H49&lt;tabellen!$E$7,0,(+'wgl tot'!V49-tabellen!$E$7*'wgl tot'!H49)/12*tabellen!$D$7)</f>
        <v>#DIV/0!</v>
      </c>
      <c r="BK49" s="161">
        <f>'wgl tot'!V49/12*tabellen!$D$8</f>
        <v>0</v>
      </c>
      <c r="BL49" s="162" t="e">
        <f t="shared" si="22"/>
        <v>#DIV/0!</v>
      </c>
      <c r="BM49" s="163" t="e">
        <f>+X49/12-'wgl tot'!BL49</f>
        <v>#DIV/0!</v>
      </c>
      <c r="BN49" s="163" t="e">
        <f>ROUND(IF('wgl tot'!BM49&gt;tabellen!$H$11,tabellen!$H$11,'wgl tot'!BM49)*tabellen!$C$11,2)</f>
        <v>#DIV/0!</v>
      </c>
      <c r="BO49" s="163" t="e">
        <f>+'wgl tot'!BM49+'wgl tot'!BN49</f>
        <v>#DIV/0!</v>
      </c>
      <c r="BP49" s="164">
        <f t="shared" si="28"/>
        <v>1900</v>
      </c>
      <c r="BQ49" s="164">
        <f t="shared" si="29"/>
        <v>1</v>
      </c>
      <c r="BR49" s="157">
        <f t="shared" si="30"/>
        <v>0</v>
      </c>
      <c r="BS49" s="140">
        <f t="shared" si="16"/>
        <v>24227</v>
      </c>
      <c r="BT49" s="140">
        <f t="shared" ca="1" si="17"/>
        <v>43879.576672800926</v>
      </c>
      <c r="BU49" s="122"/>
      <c r="BV49" s="140"/>
      <c r="BW49" s="122"/>
      <c r="BX49" s="160"/>
      <c r="BY49" s="160"/>
      <c r="BZ49" s="160"/>
      <c r="CA49" s="160"/>
      <c r="CB49" s="160"/>
      <c r="CC49" s="160"/>
      <c r="CD49" s="113"/>
      <c r="CE49" s="113"/>
    </row>
    <row r="50" spans="1:83" s="124" customFormat="1" ht="12" customHeight="1" x14ac:dyDescent="0.2">
      <c r="A50" s="113"/>
      <c r="B50" s="114"/>
      <c r="C50" s="143"/>
      <c r="D50" s="149"/>
      <c r="E50" s="150"/>
      <c r="F50" s="151"/>
      <c r="G50" s="151"/>
      <c r="H50" s="152"/>
      <c r="I50" s="151"/>
      <c r="J50" s="153"/>
      <c r="K50" s="173">
        <f>IF(F50="",0,(VLOOKUP('wgl tot'!F50,saltab2020,'wgl tot'!G50+1,FALSE)))</f>
        <v>0</v>
      </c>
      <c r="L50" s="155">
        <f t="shared" si="0"/>
        <v>0</v>
      </c>
      <c r="M50" s="143"/>
      <c r="N50" s="173">
        <f>ROUND(IF(('wgl tot'!L50+'wgl tot'!P50)*BE50&lt;'wgl tot'!H50*tabellen!$D$44,'wgl tot'!H50*tabellen!$D$44,('wgl tot'!L50+'wgl tot'!P50)*BE50),2)</f>
        <v>0</v>
      </c>
      <c r="O50" s="173">
        <f>ROUND(+('wgl tot'!L50+'wgl tot'!P50)*BF50,2)</f>
        <v>0</v>
      </c>
      <c r="P50" s="173">
        <f>ROUND(IF(I50="j",VLOOKUP(BC50,uitlooptoeslag,2,FALSE))*IF('wgl tot'!H50&gt;1,1,'wgl tot'!H50),2)</f>
        <v>0</v>
      </c>
      <c r="Q50" s="173">
        <f>ROUND(IF(BH50="j",tabellen!$D$55*IF('wgl tot'!H50&gt;1,1,'wgl tot'!H50),0),2)</f>
        <v>0</v>
      </c>
      <c r="R50" s="173">
        <f>VLOOKUP(BG50,eindejaarsuitkering_OOP,2,TRUE)*'wgl tot'!H50/12</f>
        <v>0</v>
      </c>
      <c r="S50" s="173">
        <f>ROUND(H50*tabellen!$D$51,2)</f>
        <v>0</v>
      </c>
      <c r="T50" s="173">
        <f>ROUND(H50*tabellen!C$39,2)</f>
        <v>0</v>
      </c>
      <c r="U50" s="173">
        <f t="shared" si="12"/>
        <v>0</v>
      </c>
      <c r="V50" s="174">
        <f t="shared" si="23"/>
        <v>0</v>
      </c>
      <c r="W50" s="173">
        <f>('wgl tot'!L50+'wgl tot'!P50)*tabellen!$C$37*12</f>
        <v>0</v>
      </c>
      <c r="X50" s="155">
        <f t="shared" si="24"/>
        <v>0</v>
      </c>
      <c r="Y50" s="143"/>
      <c r="Z50" s="174">
        <f t="shared" si="19"/>
        <v>0</v>
      </c>
      <c r="AA50" s="207">
        <f>+'wgl tot'!W50/12</f>
        <v>0</v>
      </c>
      <c r="AB50" s="143"/>
      <c r="AC50" s="173">
        <f>IF(F50="",0,(IF('wgl tot'!V50/'wgl tot'!H50&lt;tabellen!$E$6,0,('wgl tot'!V50-tabellen!$E$6*'wgl tot'!H50)/12)*tabellen!$C$6))</f>
        <v>0</v>
      </c>
      <c r="AD50" s="173">
        <f>IF(F50="",0,(IF('wgl tot'!V50/'wgl tot'!H50&lt;tabellen!$E$7,0,(+'wgl tot'!V50-tabellen!$E$7*'wgl tot'!H50)/12)*tabellen!$C$7))</f>
        <v>0</v>
      </c>
      <c r="AE50" s="173">
        <f>'wgl tot'!V50/12*tabellen!$C$8</f>
        <v>0</v>
      </c>
      <c r="AF50" s="173">
        <f>IF(H50=0,0,IF(BM50&gt;tabellen!$G$9/12,tabellen!$G$9/12,BM50)*(tabellen!$C$9+tabellen!$C$10))</f>
        <v>0</v>
      </c>
      <c r="AG50" s="173">
        <f>IF(F50="",0,('wgl tot'!BN50))</f>
        <v>0</v>
      </c>
      <c r="AH50" s="175">
        <f>IF(F50="",0,(IF('wgl tot'!BM50&gt;tabellen!$G$12*'wgl tot'!H50/12,tabellen!$G$12*'wgl tot'!H50/12,'wgl tot'!BM50)*tabellen!$C$12))</f>
        <v>0</v>
      </c>
      <c r="AI50" s="143"/>
      <c r="AJ50" s="175">
        <f>IF(F50="",0,(L50+N50)*IF(J50=1,tabellen!$C$13,IF(J50=2,tabellen!$C$14,IF(J50=3,tabellen!$C$15,IF(J50=5,tabellen!$C$17,IF(J50=6,tabellen!$C$18,IF(J50=7,tabellen!$C$19,IF(J50=8,tabellen!$C$20,tabellen!$C$16))))))))</f>
        <v>0</v>
      </c>
      <c r="AK50" s="175">
        <f>IF(F50="",0,((L50+N50)*tabellen!$C$21))</f>
        <v>0</v>
      </c>
      <c r="AL50" s="224">
        <v>0</v>
      </c>
      <c r="AM50" s="143"/>
      <c r="AN50" s="224">
        <v>0</v>
      </c>
      <c r="AO50" s="143"/>
      <c r="AP50" s="155">
        <f t="shared" si="20"/>
        <v>0</v>
      </c>
      <c r="AQ50" s="155">
        <f t="shared" si="21"/>
        <v>0</v>
      </c>
      <c r="AR50" s="143"/>
      <c r="AS50" s="179" t="str">
        <f t="shared" si="25"/>
        <v/>
      </c>
      <c r="AT50" s="179" t="str">
        <f t="shared" si="26"/>
        <v/>
      </c>
      <c r="AU50" s="143"/>
      <c r="AV50" s="121"/>
      <c r="AW50" s="113"/>
      <c r="AX50" s="113"/>
      <c r="AY50" s="157">
        <f ca="1">YEAR('wgl tot'!$AY$9)-YEAR('wgl tot'!E50)</f>
        <v>120</v>
      </c>
      <c r="AZ50" s="157">
        <f ca="1">MONTH('wgl tot'!$AY$9)-MONTH('wgl tot'!E50)</f>
        <v>1</v>
      </c>
      <c r="BA50" s="157">
        <f ca="1">DAY('wgl tot'!$AY$9)-DAY('wgl tot'!E50)</f>
        <v>18</v>
      </c>
      <c r="BB50" s="122">
        <f>IF(AND('wgl tot'!F50&gt;0,'wgl tot'!F50&lt;17),0,100)</f>
        <v>100</v>
      </c>
      <c r="BC50" s="122">
        <f t="shared" si="27"/>
        <v>0</v>
      </c>
      <c r="BD50" s="140">
        <v>42583</v>
      </c>
      <c r="BE50" s="158">
        <f t="shared" si="18"/>
        <v>0.08</v>
      </c>
      <c r="BF50" s="159">
        <f>+tabellen!$D$45</f>
        <v>6.3E-2</v>
      </c>
      <c r="BG50" s="157">
        <f>IF('wgl tot'!BB50=100,0,'wgl tot'!F50)</f>
        <v>0</v>
      </c>
      <c r="BH50" s="159" t="str">
        <f>IF(OR('wgl tot'!F50="DA",'wgl tot'!F50="DB",'wgl tot'!F50="DBuit",'wgl tot'!F50="DC",'wgl tot'!F50="DCuit",MID('wgl tot'!F50,1,5)="meerh"),"j","n")</f>
        <v>n</v>
      </c>
      <c r="BI50" s="161" t="e">
        <f>IF('wgl tot'!V50/'wgl tot'!H50&lt;tabellen!$E$6,0,(+'wgl tot'!V50-tabellen!$E$6*'wgl tot'!H50)/12*tabellen!$D$6)</f>
        <v>#DIV/0!</v>
      </c>
      <c r="BJ50" s="161" t="e">
        <f>IF('wgl tot'!V50/'wgl tot'!H50&lt;tabellen!$E$7,0,(+'wgl tot'!V50-tabellen!$E$7*'wgl tot'!H50)/12*tabellen!$D$7)</f>
        <v>#DIV/0!</v>
      </c>
      <c r="BK50" s="161">
        <f>'wgl tot'!V50/12*tabellen!$D$8</f>
        <v>0</v>
      </c>
      <c r="BL50" s="162" t="e">
        <f t="shared" si="22"/>
        <v>#DIV/0!</v>
      </c>
      <c r="BM50" s="163" t="e">
        <f>+X50/12-'wgl tot'!BL50</f>
        <v>#DIV/0!</v>
      </c>
      <c r="BN50" s="163" t="e">
        <f>ROUND(IF('wgl tot'!BM50&gt;tabellen!$H$11,tabellen!$H$11,'wgl tot'!BM50)*tabellen!$C$11,2)</f>
        <v>#DIV/0!</v>
      </c>
      <c r="BO50" s="163" t="e">
        <f>+'wgl tot'!BM50+'wgl tot'!BN50</f>
        <v>#DIV/0!</v>
      </c>
      <c r="BP50" s="164">
        <f t="shared" si="28"/>
        <v>1900</v>
      </c>
      <c r="BQ50" s="164">
        <f t="shared" si="29"/>
        <v>1</v>
      </c>
      <c r="BR50" s="157">
        <f t="shared" si="30"/>
        <v>0</v>
      </c>
      <c r="BS50" s="140">
        <f t="shared" si="16"/>
        <v>24227</v>
      </c>
      <c r="BT50" s="140">
        <f t="shared" ca="1" si="17"/>
        <v>43879.576672800926</v>
      </c>
      <c r="BU50" s="122"/>
      <c r="BV50" s="140"/>
      <c r="BW50" s="122"/>
      <c r="BX50" s="160"/>
      <c r="BY50" s="160"/>
      <c r="BZ50" s="160"/>
      <c r="CA50" s="160"/>
      <c r="CB50" s="160"/>
      <c r="CC50" s="160"/>
      <c r="CD50" s="113"/>
      <c r="CE50" s="113"/>
    </row>
    <row r="51" spans="1:83" s="124" customFormat="1" ht="12" customHeight="1" x14ac:dyDescent="0.2">
      <c r="A51" s="113"/>
      <c r="B51" s="114"/>
      <c r="C51" s="143"/>
      <c r="D51" s="149"/>
      <c r="E51" s="150"/>
      <c r="F51" s="151"/>
      <c r="G51" s="151"/>
      <c r="H51" s="152"/>
      <c r="I51" s="151"/>
      <c r="J51" s="153"/>
      <c r="K51" s="173">
        <f>IF(F51="",0,(VLOOKUP('wgl tot'!F51,saltab2020,'wgl tot'!G51+1,FALSE)))</f>
        <v>0</v>
      </c>
      <c r="L51" s="155">
        <f t="shared" ref="L51:L70" si="31">K51*H51</f>
        <v>0</v>
      </c>
      <c r="M51" s="143"/>
      <c r="N51" s="173">
        <f>ROUND(IF(('wgl tot'!L51+'wgl tot'!P51)*BE51&lt;'wgl tot'!H51*tabellen!$D$44,'wgl tot'!H51*tabellen!$D$44,('wgl tot'!L51+'wgl tot'!P51)*BE51),2)</f>
        <v>0</v>
      </c>
      <c r="O51" s="173">
        <f>ROUND(+('wgl tot'!L51+'wgl tot'!P51)*BF51,2)</f>
        <v>0</v>
      </c>
      <c r="P51" s="173">
        <f>ROUND(IF(I51="j",VLOOKUP(BC51,uitlooptoeslag,2,FALSE))*IF('wgl tot'!H51&gt;1,1,'wgl tot'!H51),2)</f>
        <v>0</v>
      </c>
      <c r="Q51" s="173">
        <f>ROUND(IF(BH51="j",tabellen!$D$55*IF('wgl tot'!H51&gt;1,1,'wgl tot'!H51),0),2)</f>
        <v>0</v>
      </c>
      <c r="R51" s="173">
        <f>VLOOKUP(BG51,eindejaarsuitkering_OOP,2,TRUE)*'wgl tot'!H51/12</f>
        <v>0</v>
      </c>
      <c r="S51" s="173">
        <f>ROUND(H51*tabellen!$D$51,2)</f>
        <v>0</v>
      </c>
      <c r="T51" s="173">
        <f>ROUND(H51*tabellen!C$39,2)</f>
        <v>0</v>
      </c>
      <c r="U51" s="173">
        <f t="shared" si="12"/>
        <v>0</v>
      </c>
      <c r="V51" s="174">
        <f t="shared" si="23"/>
        <v>0</v>
      </c>
      <c r="W51" s="173">
        <f>('wgl tot'!L51+'wgl tot'!P51)*tabellen!$C$37*12</f>
        <v>0</v>
      </c>
      <c r="X51" s="155">
        <f t="shared" si="24"/>
        <v>0</v>
      </c>
      <c r="Y51" s="143"/>
      <c r="Z51" s="174">
        <f t="shared" si="19"/>
        <v>0</v>
      </c>
      <c r="AA51" s="207">
        <f>+'wgl tot'!W51/12</f>
        <v>0</v>
      </c>
      <c r="AB51" s="143"/>
      <c r="AC51" s="173">
        <f>IF(F51="",0,(IF('wgl tot'!V51/'wgl tot'!H51&lt;tabellen!$E$6,0,('wgl tot'!V51-tabellen!$E$6*'wgl tot'!H51)/12)*tabellen!$C$6))</f>
        <v>0</v>
      </c>
      <c r="AD51" s="173">
        <f>IF(F51="",0,(IF('wgl tot'!V51/'wgl tot'!H51&lt;tabellen!$E$7,0,(+'wgl tot'!V51-tabellen!$E$7*'wgl tot'!H51)/12)*tabellen!$C$7))</f>
        <v>0</v>
      </c>
      <c r="AE51" s="173">
        <f>'wgl tot'!V51/12*tabellen!$C$8</f>
        <v>0</v>
      </c>
      <c r="AF51" s="173">
        <f>IF(H51=0,0,IF(BM51&gt;tabellen!$G$9/12,tabellen!$G$9/12,BM51)*(tabellen!$C$9+tabellen!$C$10))</f>
        <v>0</v>
      </c>
      <c r="AG51" s="173">
        <f>IF(F51="",0,('wgl tot'!BN51))</f>
        <v>0</v>
      </c>
      <c r="AH51" s="175">
        <f>IF(F51="",0,(IF('wgl tot'!BM51&gt;tabellen!$G$12*'wgl tot'!H51/12,tabellen!$G$12*'wgl tot'!H51/12,'wgl tot'!BM51)*tabellen!$C$12))</f>
        <v>0</v>
      </c>
      <c r="AI51" s="143"/>
      <c r="AJ51" s="175">
        <f>IF(F51="",0,(L51+N51)*IF(J51=1,tabellen!$C$13,IF(J51=2,tabellen!$C$14,IF(J51=3,tabellen!$C$15,IF(J51=5,tabellen!$C$17,IF(J51=6,tabellen!$C$18,IF(J51=7,tabellen!$C$19,IF(J51=8,tabellen!$C$20,tabellen!$C$16))))))))</f>
        <v>0</v>
      </c>
      <c r="AK51" s="175">
        <f>IF(F51="",0,((L51+N51)*tabellen!$C$21))</f>
        <v>0</v>
      </c>
      <c r="AL51" s="224">
        <v>0</v>
      </c>
      <c r="AM51" s="143"/>
      <c r="AN51" s="224">
        <v>0</v>
      </c>
      <c r="AO51" s="143"/>
      <c r="AP51" s="155">
        <f t="shared" si="20"/>
        <v>0</v>
      </c>
      <c r="AQ51" s="155">
        <f t="shared" ref="AQ51:AQ70" si="32">AP51*12</f>
        <v>0</v>
      </c>
      <c r="AR51" s="143"/>
      <c r="AS51" s="179" t="str">
        <f t="shared" si="25"/>
        <v/>
      </c>
      <c r="AT51" s="179" t="str">
        <f t="shared" si="26"/>
        <v/>
      </c>
      <c r="AU51" s="143"/>
      <c r="AV51" s="121"/>
      <c r="AW51" s="113"/>
      <c r="AX51" s="113"/>
      <c r="AY51" s="157">
        <f ca="1">YEAR('wgl tot'!$AY$9)-YEAR('wgl tot'!E51)</f>
        <v>120</v>
      </c>
      <c r="AZ51" s="157">
        <f ca="1">MONTH('wgl tot'!$AY$9)-MONTH('wgl tot'!E51)</f>
        <v>1</v>
      </c>
      <c r="BA51" s="157">
        <f ca="1">DAY('wgl tot'!$AY$9)-DAY('wgl tot'!E51)</f>
        <v>18</v>
      </c>
      <c r="BB51" s="122">
        <f>IF(AND('wgl tot'!F51&gt;0,'wgl tot'!F51&lt;17),0,100)</f>
        <v>100</v>
      </c>
      <c r="BC51" s="122">
        <f t="shared" si="27"/>
        <v>0</v>
      </c>
      <c r="BD51" s="140">
        <v>42583</v>
      </c>
      <c r="BE51" s="158">
        <f t="shared" si="18"/>
        <v>0.08</v>
      </c>
      <c r="BF51" s="159">
        <f>+tabellen!$D$45</f>
        <v>6.3E-2</v>
      </c>
      <c r="BG51" s="157">
        <f>IF('wgl tot'!BB51=100,0,'wgl tot'!F51)</f>
        <v>0</v>
      </c>
      <c r="BH51" s="159" t="str">
        <f>IF(OR('wgl tot'!F51="DA",'wgl tot'!F51="DB",'wgl tot'!F51="DBuit",'wgl tot'!F51="DC",'wgl tot'!F51="DCuit",MID('wgl tot'!F51,1,5)="meerh"),"j","n")</f>
        <v>n</v>
      </c>
      <c r="BI51" s="161" t="e">
        <f>IF('wgl tot'!V51/'wgl tot'!H51&lt;tabellen!$E$6,0,(+'wgl tot'!V51-tabellen!$E$6*'wgl tot'!H51)/12*tabellen!$D$6)</f>
        <v>#DIV/0!</v>
      </c>
      <c r="BJ51" s="161" t="e">
        <f>IF('wgl tot'!V51/'wgl tot'!H51&lt;tabellen!$E$7,0,(+'wgl tot'!V51-tabellen!$E$7*'wgl tot'!H51)/12*tabellen!$D$7)</f>
        <v>#DIV/0!</v>
      </c>
      <c r="BK51" s="161">
        <f>'wgl tot'!V51/12*tabellen!$D$8</f>
        <v>0</v>
      </c>
      <c r="BL51" s="162" t="e">
        <f t="shared" ref="BL51:BL70" si="33">SUM(BI51:BK51)</f>
        <v>#DIV/0!</v>
      </c>
      <c r="BM51" s="163" t="e">
        <f>+X51/12-'wgl tot'!BL51</f>
        <v>#DIV/0!</v>
      </c>
      <c r="BN51" s="163" t="e">
        <f>ROUND(IF('wgl tot'!BM51&gt;tabellen!$H$11,tabellen!$H$11,'wgl tot'!BM51)*tabellen!$C$11,2)</f>
        <v>#DIV/0!</v>
      </c>
      <c r="BO51" s="163" t="e">
        <f>+'wgl tot'!BM51+'wgl tot'!BN51</f>
        <v>#DIV/0!</v>
      </c>
      <c r="BP51" s="164">
        <f t="shared" si="28"/>
        <v>1900</v>
      </c>
      <c r="BQ51" s="164">
        <f t="shared" si="29"/>
        <v>1</v>
      </c>
      <c r="BR51" s="157">
        <f t="shared" si="30"/>
        <v>0</v>
      </c>
      <c r="BS51" s="140">
        <f t="shared" si="16"/>
        <v>24227</v>
      </c>
      <c r="BT51" s="140">
        <f t="shared" ca="1" si="17"/>
        <v>43879.576672800926</v>
      </c>
      <c r="BU51" s="122"/>
      <c r="BV51" s="140"/>
      <c r="BW51" s="122"/>
      <c r="BX51" s="160"/>
      <c r="BY51" s="160"/>
      <c r="BZ51" s="160"/>
      <c r="CA51" s="160"/>
      <c r="CB51" s="160"/>
      <c r="CC51" s="160"/>
      <c r="CD51" s="113"/>
      <c r="CE51" s="113"/>
    </row>
    <row r="52" spans="1:83" s="124" customFormat="1" ht="12" customHeight="1" x14ac:dyDescent="0.2">
      <c r="A52" s="113"/>
      <c r="B52" s="114"/>
      <c r="C52" s="143"/>
      <c r="D52" s="149"/>
      <c r="E52" s="150"/>
      <c r="F52" s="151"/>
      <c r="G52" s="151"/>
      <c r="H52" s="152"/>
      <c r="I52" s="151"/>
      <c r="J52" s="153"/>
      <c r="K52" s="173">
        <f>IF(F52="",0,(VLOOKUP('wgl tot'!F52,saltab2020,'wgl tot'!G52+1,FALSE)))</f>
        <v>0</v>
      </c>
      <c r="L52" s="155">
        <f t="shared" si="31"/>
        <v>0</v>
      </c>
      <c r="M52" s="143"/>
      <c r="N52" s="173">
        <f>ROUND(IF(('wgl tot'!L52+'wgl tot'!P52)*BE52&lt;'wgl tot'!H52*tabellen!$D$44,'wgl tot'!H52*tabellen!$D$44,('wgl tot'!L52+'wgl tot'!P52)*BE52),2)</f>
        <v>0</v>
      </c>
      <c r="O52" s="173">
        <f>ROUND(+('wgl tot'!L52+'wgl tot'!P52)*BF52,2)</f>
        <v>0</v>
      </c>
      <c r="P52" s="173">
        <f>ROUND(IF(I52="j",VLOOKUP(BC52,uitlooptoeslag,2,FALSE))*IF('wgl tot'!H52&gt;1,1,'wgl tot'!H52),2)</f>
        <v>0</v>
      </c>
      <c r="Q52" s="173">
        <f>ROUND(IF(BH52="j",tabellen!$D$55*IF('wgl tot'!H52&gt;1,1,'wgl tot'!H52),0),2)</f>
        <v>0</v>
      </c>
      <c r="R52" s="173">
        <f>VLOOKUP(BG52,eindejaarsuitkering_OOP,2,TRUE)*'wgl tot'!H52/12</f>
        <v>0</v>
      </c>
      <c r="S52" s="173">
        <f>ROUND(H52*tabellen!$D$51,2)</f>
        <v>0</v>
      </c>
      <c r="T52" s="173">
        <f>ROUND(H52*tabellen!C$39,2)</f>
        <v>0</v>
      </c>
      <c r="U52" s="173">
        <f t="shared" si="12"/>
        <v>0</v>
      </c>
      <c r="V52" s="174">
        <f t="shared" si="23"/>
        <v>0</v>
      </c>
      <c r="W52" s="173">
        <f>('wgl tot'!L52+'wgl tot'!P52)*tabellen!$C$37*12</f>
        <v>0</v>
      </c>
      <c r="X52" s="155">
        <f t="shared" si="24"/>
        <v>0</v>
      </c>
      <c r="Y52" s="143"/>
      <c r="Z52" s="174">
        <f t="shared" si="19"/>
        <v>0</v>
      </c>
      <c r="AA52" s="207">
        <f>+'wgl tot'!W52/12</f>
        <v>0</v>
      </c>
      <c r="AB52" s="143"/>
      <c r="AC52" s="173">
        <f>IF(F52="",0,(IF('wgl tot'!V52/'wgl tot'!H52&lt;tabellen!$E$6,0,('wgl tot'!V52-tabellen!$E$6*'wgl tot'!H52)/12)*tabellen!$C$6))</f>
        <v>0</v>
      </c>
      <c r="AD52" s="173">
        <f>IF(F52="",0,(IF('wgl tot'!V52/'wgl tot'!H52&lt;tabellen!$E$7,0,(+'wgl tot'!V52-tabellen!$E$7*'wgl tot'!H52)/12)*tabellen!$C$7))</f>
        <v>0</v>
      </c>
      <c r="AE52" s="173">
        <f>'wgl tot'!V52/12*tabellen!$C$8</f>
        <v>0</v>
      </c>
      <c r="AF52" s="173">
        <f>IF(H52=0,0,IF(BM52&gt;tabellen!$G$9/12,tabellen!$G$9/12,BM52)*(tabellen!$C$9+tabellen!$C$10))</f>
        <v>0</v>
      </c>
      <c r="AG52" s="173">
        <f>IF(F52="",0,('wgl tot'!BN52))</f>
        <v>0</v>
      </c>
      <c r="AH52" s="175">
        <f>IF(F52="",0,(IF('wgl tot'!BM52&gt;tabellen!$G$12*'wgl tot'!H52/12,tabellen!$G$12*'wgl tot'!H52/12,'wgl tot'!BM52)*tabellen!$C$12))</f>
        <v>0</v>
      </c>
      <c r="AI52" s="143"/>
      <c r="AJ52" s="175">
        <f>IF(F52="",0,(L52+N52)*IF(J52=1,tabellen!$C$13,IF(J52=2,tabellen!$C$14,IF(J52=3,tabellen!$C$15,IF(J52=5,tabellen!$C$17,IF(J52=6,tabellen!$C$18,IF(J52=7,tabellen!$C$19,IF(J52=8,tabellen!$C$20,tabellen!$C$16))))))))</f>
        <v>0</v>
      </c>
      <c r="AK52" s="175">
        <f>IF(F52="",0,((L52+N52)*tabellen!$C$21))</f>
        <v>0</v>
      </c>
      <c r="AL52" s="224">
        <v>0</v>
      </c>
      <c r="AM52" s="143"/>
      <c r="AN52" s="224">
        <v>0</v>
      </c>
      <c r="AO52" s="143"/>
      <c r="AP52" s="155">
        <f t="shared" si="20"/>
        <v>0</v>
      </c>
      <c r="AQ52" s="155">
        <f t="shared" si="32"/>
        <v>0</v>
      </c>
      <c r="AR52" s="143"/>
      <c r="AS52" s="179" t="str">
        <f t="shared" si="25"/>
        <v/>
      </c>
      <c r="AT52" s="179" t="str">
        <f t="shared" si="26"/>
        <v/>
      </c>
      <c r="AU52" s="143"/>
      <c r="AV52" s="121"/>
      <c r="AW52" s="113"/>
      <c r="AX52" s="113"/>
      <c r="AY52" s="157">
        <f ca="1">YEAR('wgl tot'!$AY$9)-YEAR('wgl tot'!E52)</f>
        <v>120</v>
      </c>
      <c r="AZ52" s="157">
        <f ca="1">MONTH('wgl tot'!$AY$9)-MONTH('wgl tot'!E52)</f>
        <v>1</v>
      </c>
      <c r="BA52" s="157">
        <f ca="1">DAY('wgl tot'!$AY$9)-DAY('wgl tot'!E52)</f>
        <v>18</v>
      </c>
      <c r="BB52" s="122">
        <f>IF(AND('wgl tot'!F52&gt;0,'wgl tot'!F52&lt;17),0,100)</f>
        <v>100</v>
      </c>
      <c r="BC52" s="122">
        <f t="shared" si="27"/>
        <v>0</v>
      </c>
      <c r="BD52" s="140">
        <v>42583</v>
      </c>
      <c r="BE52" s="158">
        <f t="shared" si="18"/>
        <v>0.08</v>
      </c>
      <c r="BF52" s="159">
        <f>+tabellen!$D$45</f>
        <v>6.3E-2</v>
      </c>
      <c r="BG52" s="157">
        <f>IF('wgl tot'!BB52=100,0,'wgl tot'!F52)</f>
        <v>0</v>
      </c>
      <c r="BH52" s="159" t="str">
        <f>IF(OR('wgl tot'!F52="DA",'wgl tot'!F52="DB",'wgl tot'!F52="DBuit",'wgl tot'!F52="DC",'wgl tot'!F52="DCuit",MID('wgl tot'!F52,1,5)="meerh"),"j","n")</f>
        <v>n</v>
      </c>
      <c r="BI52" s="161" t="e">
        <f>IF('wgl tot'!V52/'wgl tot'!H52&lt;tabellen!$E$6,0,(+'wgl tot'!V52-tabellen!$E$6*'wgl tot'!H52)/12*tabellen!$D$6)</f>
        <v>#DIV/0!</v>
      </c>
      <c r="BJ52" s="161" t="e">
        <f>IF('wgl tot'!V52/'wgl tot'!H52&lt;tabellen!$E$7,0,(+'wgl tot'!V52-tabellen!$E$7*'wgl tot'!H52)/12*tabellen!$D$7)</f>
        <v>#DIV/0!</v>
      </c>
      <c r="BK52" s="161">
        <f>'wgl tot'!V52/12*tabellen!$D$8</f>
        <v>0</v>
      </c>
      <c r="BL52" s="162" t="e">
        <f t="shared" si="33"/>
        <v>#DIV/0!</v>
      </c>
      <c r="BM52" s="163" t="e">
        <f>+X52/12-'wgl tot'!BL52</f>
        <v>#DIV/0!</v>
      </c>
      <c r="BN52" s="163" t="e">
        <f>ROUND(IF('wgl tot'!BM52&gt;tabellen!$H$11,tabellen!$H$11,'wgl tot'!BM52)*tabellen!$C$11,2)</f>
        <v>#DIV/0!</v>
      </c>
      <c r="BO52" s="163" t="e">
        <f>+'wgl tot'!BM52+'wgl tot'!BN52</f>
        <v>#DIV/0!</v>
      </c>
      <c r="BP52" s="164">
        <f t="shared" si="28"/>
        <v>1900</v>
      </c>
      <c r="BQ52" s="164">
        <f t="shared" si="29"/>
        <v>1</v>
      </c>
      <c r="BR52" s="157">
        <f t="shared" si="30"/>
        <v>0</v>
      </c>
      <c r="BS52" s="140">
        <f t="shared" si="16"/>
        <v>24227</v>
      </c>
      <c r="BT52" s="140">
        <f t="shared" ca="1" si="17"/>
        <v>43879.576672800926</v>
      </c>
      <c r="BU52" s="122"/>
      <c r="BV52" s="140"/>
      <c r="BW52" s="122"/>
      <c r="BX52" s="160"/>
      <c r="BY52" s="160"/>
      <c r="BZ52" s="160"/>
      <c r="CA52" s="160"/>
      <c r="CB52" s="160"/>
      <c r="CC52" s="160"/>
      <c r="CD52" s="113"/>
      <c r="CE52" s="113"/>
    </row>
    <row r="53" spans="1:83" s="124" customFormat="1" ht="12" customHeight="1" x14ac:dyDescent="0.2">
      <c r="A53" s="113"/>
      <c r="B53" s="114"/>
      <c r="C53" s="143"/>
      <c r="D53" s="149"/>
      <c r="E53" s="150"/>
      <c r="F53" s="151"/>
      <c r="G53" s="151"/>
      <c r="H53" s="152"/>
      <c r="I53" s="151"/>
      <c r="J53" s="153"/>
      <c r="K53" s="173">
        <f>IF(F53="",0,(VLOOKUP('wgl tot'!F53,saltab2020,'wgl tot'!G53+1,FALSE)))</f>
        <v>0</v>
      </c>
      <c r="L53" s="155">
        <f t="shared" si="31"/>
        <v>0</v>
      </c>
      <c r="M53" s="143"/>
      <c r="N53" s="173">
        <f>ROUND(IF(('wgl tot'!L53+'wgl tot'!P53)*BE53&lt;'wgl tot'!H53*tabellen!$D$44,'wgl tot'!H53*tabellen!$D$44,('wgl tot'!L53+'wgl tot'!P53)*BE53),2)</f>
        <v>0</v>
      </c>
      <c r="O53" s="173">
        <f>ROUND(+('wgl tot'!L53+'wgl tot'!P53)*BF53,2)</f>
        <v>0</v>
      </c>
      <c r="P53" s="173">
        <f>ROUND(IF(I53="j",VLOOKUP(BC53,uitlooptoeslag,2,FALSE))*IF('wgl tot'!H53&gt;1,1,'wgl tot'!H53),2)</f>
        <v>0</v>
      </c>
      <c r="Q53" s="173">
        <f>ROUND(IF(BH53="j",tabellen!$D$55*IF('wgl tot'!H53&gt;1,1,'wgl tot'!H53),0),2)</f>
        <v>0</v>
      </c>
      <c r="R53" s="173">
        <f>VLOOKUP(BG53,eindejaarsuitkering_OOP,2,TRUE)*'wgl tot'!H53/12</f>
        <v>0</v>
      </c>
      <c r="S53" s="173">
        <f>ROUND(H53*tabellen!$D$51,2)</f>
        <v>0</v>
      </c>
      <c r="T53" s="173">
        <f>ROUND(H53*tabellen!C$39,2)</f>
        <v>0</v>
      </c>
      <c r="U53" s="173">
        <f t="shared" si="12"/>
        <v>0</v>
      </c>
      <c r="V53" s="174">
        <f t="shared" si="23"/>
        <v>0</v>
      </c>
      <c r="W53" s="173">
        <f>('wgl tot'!L53+'wgl tot'!P53)*tabellen!$C$37*12</f>
        <v>0</v>
      </c>
      <c r="X53" s="155">
        <f t="shared" si="24"/>
        <v>0</v>
      </c>
      <c r="Y53" s="143"/>
      <c r="Z53" s="174">
        <f t="shared" si="19"/>
        <v>0</v>
      </c>
      <c r="AA53" s="207">
        <f>+'wgl tot'!W53/12</f>
        <v>0</v>
      </c>
      <c r="AB53" s="143"/>
      <c r="AC53" s="173">
        <f>IF(F53="",0,(IF('wgl tot'!V53/'wgl tot'!H53&lt;tabellen!$E$6,0,('wgl tot'!V53-tabellen!$E$6*'wgl tot'!H53)/12)*tabellen!$C$6))</f>
        <v>0</v>
      </c>
      <c r="AD53" s="173">
        <f>IF(F53="",0,(IF('wgl tot'!V53/'wgl tot'!H53&lt;tabellen!$E$7,0,(+'wgl tot'!V53-tabellen!$E$7*'wgl tot'!H53)/12)*tabellen!$C$7))</f>
        <v>0</v>
      </c>
      <c r="AE53" s="173">
        <f>'wgl tot'!V53/12*tabellen!$C$8</f>
        <v>0</v>
      </c>
      <c r="AF53" s="173">
        <f>IF(H53=0,0,IF(BM53&gt;tabellen!$G$9/12,tabellen!$G$9/12,BM53)*(tabellen!$C$9+tabellen!$C$10))</f>
        <v>0</v>
      </c>
      <c r="AG53" s="173">
        <f>IF(F53="",0,('wgl tot'!BN53))</f>
        <v>0</v>
      </c>
      <c r="AH53" s="175">
        <f>IF(F53="",0,(IF('wgl tot'!BM53&gt;tabellen!$G$12*'wgl tot'!H53/12,tabellen!$G$12*'wgl tot'!H53/12,'wgl tot'!BM53)*tabellen!$C$12))</f>
        <v>0</v>
      </c>
      <c r="AI53" s="143"/>
      <c r="AJ53" s="175">
        <f>IF(F53="",0,(L53+N53)*IF(J53=1,tabellen!$C$13,IF(J53=2,tabellen!$C$14,IF(J53=3,tabellen!$C$15,IF(J53=5,tabellen!$C$17,IF(J53=6,tabellen!$C$18,IF(J53=7,tabellen!$C$19,IF(J53=8,tabellen!$C$20,tabellen!$C$16))))))))</f>
        <v>0</v>
      </c>
      <c r="AK53" s="175">
        <f>IF(F53="",0,((L53+N53)*tabellen!$C$21))</f>
        <v>0</v>
      </c>
      <c r="AL53" s="224">
        <v>0</v>
      </c>
      <c r="AM53" s="143"/>
      <c r="AN53" s="224">
        <v>0</v>
      </c>
      <c r="AO53" s="143"/>
      <c r="AP53" s="155">
        <f t="shared" si="20"/>
        <v>0</v>
      </c>
      <c r="AQ53" s="155">
        <f t="shared" si="32"/>
        <v>0</v>
      </c>
      <c r="AR53" s="143"/>
      <c r="AS53" s="179" t="str">
        <f t="shared" si="25"/>
        <v/>
      </c>
      <c r="AT53" s="179" t="str">
        <f t="shared" si="26"/>
        <v/>
      </c>
      <c r="AU53" s="143"/>
      <c r="AV53" s="121"/>
      <c r="AW53" s="113"/>
      <c r="AX53" s="113"/>
      <c r="AY53" s="157">
        <f ca="1">YEAR('wgl tot'!$AY$9)-YEAR('wgl tot'!E53)</f>
        <v>120</v>
      </c>
      <c r="AZ53" s="157">
        <f ca="1">MONTH('wgl tot'!$AY$9)-MONTH('wgl tot'!E53)</f>
        <v>1</v>
      </c>
      <c r="BA53" s="157">
        <f ca="1">DAY('wgl tot'!$AY$9)-DAY('wgl tot'!E53)</f>
        <v>18</v>
      </c>
      <c r="BB53" s="122">
        <f>IF(AND('wgl tot'!F53&gt;0,'wgl tot'!F53&lt;17),0,100)</f>
        <v>100</v>
      </c>
      <c r="BC53" s="122">
        <f t="shared" si="27"/>
        <v>0</v>
      </c>
      <c r="BD53" s="140">
        <v>42583</v>
      </c>
      <c r="BE53" s="158">
        <f t="shared" si="18"/>
        <v>0.08</v>
      </c>
      <c r="BF53" s="159">
        <f>+tabellen!$D$45</f>
        <v>6.3E-2</v>
      </c>
      <c r="BG53" s="157">
        <f>IF('wgl tot'!BB53=100,0,'wgl tot'!F53)</f>
        <v>0</v>
      </c>
      <c r="BH53" s="159" t="str">
        <f>IF(OR('wgl tot'!F53="DA",'wgl tot'!F53="DB",'wgl tot'!F53="DBuit",'wgl tot'!F53="DC",'wgl tot'!F53="DCuit",MID('wgl tot'!F53,1,5)="meerh"),"j","n")</f>
        <v>n</v>
      </c>
      <c r="BI53" s="161" t="e">
        <f>IF('wgl tot'!V53/'wgl tot'!H53&lt;tabellen!$E$6,0,(+'wgl tot'!V53-tabellen!$E$6*'wgl tot'!H53)/12*tabellen!$D$6)</f>
        <v>#DIV/0!</v>
      </c>
      <c r="BJ53" s="161" t="e">
        <f>IF('wgl tot'!V53/'wgl tot'!H53&lt;tabellen!$E$7,0,(+'wgl tot'!V53-tabellen!$E$7*'wgl tot'!H53)/12*tabellen!$D$7)</f>
        <v>#DIV/0!</v>
      </c>
      <c r="BK53" s="161">
        <f>'wgl tot'!V53/12*tabellen!$D$8</f>
        <v>0</v>
      </c>
      <c r="BL53" s="162" t="e">
        <f t="shared" si="33"/>
        <v>#DIV/0!</v>
      </c>
      <c r="BM53" s="163" t="e">
        <f>+X53/12-'wgl tot'!BL53</f>
        <v>#DIV/0!</v>
      </c>
      <c r="BN53" s="163" t="e">
        <f>ROUND(IF('wgl tot'!BM53&gt;tabellen!$H$11,tabellen!$H$11,'wgl tot'!BM53)*tabellen!$C$11,2)</f>
        <v>#DIV/0!</v>
      </c>
      <c r="BO53" s="163" t="e">
        <f>+'wgl tot'!BM53+'wgl tot'!BN53</f>
        <v>#DIV/0!</v>
      </c>
      <c r="BP53" s="164">
        <f t="shared" si="28"/>
        <v>1900</v>
      </c>
      <c r="BQ53" s="164">
        <f t="shared" si="29"/>
        <v>1</v>
      </c>
      <c r="BR53" s="157">
        <f t="shared" si="30"/>
        <v>0</v>
      </c>
      <c r="BS53" s="140">
        <f t="shared" si="16"/>
        <v>24227</v>
      </c>
      <c r="BT53" s="140">
        <f t="shared" ca="1" si="17"/>
        <v>43879.576672800926</v>
      </c>
      <c r="BU53" s="122"/>
      <c r="BV53" s="140"/>
      <c r="BW53" s="122"/>
      <c r="BX53" s="160"/>
      <c r="BY53" s="160"/>
      <c r="BZ53" s="160"/>
      <c r="CA53" s="160"/>
      <c r="CB53" s="160"/>
      <c r="CC53" s="160"/>
      <c r="CD53" s="113"/>
      <c r="CE53" s="113"/>
    </row>
    <row r="54" spans="1:83" s="124" customFormat="1" ht="12" customHeight="1" x14ac:dyDescent="0.2">
      <c r="A54" s="113"/>
      <c r="B54" s="114"/>
      <c r="C54" s="143"/>
      <c r="D54" s="149"/>
      <c r="E54" s="150"/>
      <c r="F54" s="151"/>
      <c r="G54" s="151"/>
      <c r="H54" s="152"/>
      <c r="I54" s="151"/>
      <c r="J54" s="153"/>
      <c r="K54" s="173">
        <f>IF(F54="",0,(VLOOKUP('wgl tot'!F54,saltab2020,'wgl tot'!G54+1,FALSE)))</f>
        <v>0</v>
      </c>
      <c r="L54" s="155">
        <f t="shared" si="31"/>
        <v>0</v>
      </c>
      <c r="M54" s="143"/>
      <c r="N54" s="173">
        <f>ROUND(IF(('wgl tot'!L54+'wgl tot'!P54)*BE54&lt;'wgl tot'!H54*tabellen!$D$44,'wgl tot'!H54*tabellen!$D$44,('wgl tot'!L54+'wgl tot'!P54)*BE54),2)</f>
        <v>0</v>
      </c>
      <c r="O54" s="173">
        <f>ROUND(+('wgl tot'!L54+'wgl tot'!P54)*BF54,2)</f>
        <v>0</v>
      </c>
      <c r="P54" s="173">
        <f>ROUND(IF(I54="j",VLOOKUP(BC54,uitlooptoeslag,2,FALSE))*IF('wgl tot'!H54&gt;1,1,'wgl tot'!H54),2)</f>
        <v>0</v>
      </c>
      <c r="Q54" s="173">
        <f>ROUND(IF(BH54="j",tabellen!$D$55*IF('wgl tot'!H54&gt;1,1,'wgl tot'!H54),0),2)</f>
        <v>0</v>
      </c>
      <c r="R54" s="173">
        <f>VLOOKUP(BG54,eindejaarsuitkering_OOP,2,TRUE)*'wgl tot'!H54/12</f>
        <v>0</v>
      </c>
      <c r="S54" s="173">
        <f>ROUND(H54*tabellen!$D$51,2)</f>
        <v>0</v>
      </c>
      <c r="T54" s="173">
        <f>ROUND(H54*tabellen!C$39,2)</f>
        <v>0</v>
      </c>
      <c r="U54" s="173">
        <f t="shared" si="12"/>
        <v>0</v>
      </c>
      <c r="V54" s="174">
        <f t="shared" si="23"/>
        <v>0</v>
      </c>
      <c r="W54" s="173">
        <f>('wgl tot'!L54+'wgl tot'!P54)*tabellen!$C$37*12</f>
        <v>0</v>
      </c>
      <c r="X54" s="155">
        <f t="shared" si="24"/>
        <v>0</v>
      </c>
      <c r="Y54" s="143"/>
      <c r="Z54" s="174">
        <f t="shared" si="19"/>
        <v>0</v>
      </c>
      <c r="AA54" s="207">
        <f>+'wgl tot'!W54/12</f>
        <v>0</v>
      </c>
      <c r="AB54" s="143"/>
      <c r="AC54" s="173">
        <f>IF(F54="",0,(IF('wgl tot'!V54/'wgl tot'!H54&lt;tabellen!$E$6,0,('wgl tot'!V54-tabellen!$E$6*'wgl tot'!H54)/12)*tabellen!$C$6))</f>
        <v>0</v>
      </c>
      <c r="AD54" s="173">
        <f>IF(F54="",0,(IF('wgl tot'!V54/'wgl tot'!H54&lt;tabellen!$E$7,0,(+'wgl tot'!V54-tabellen!$E$7*'wgl tot'!H54)/12)*tabellen!$C$7))</f>
        <v>0</v>
      </c>
      <c r="AE54" s="173">
        <f>'wgl tot'!V54/12*tabellen!$C$8</f>
        <v>0</v>
      </c>
      <c r="AF54" s="173">
        <f>IF(H54=0,0,IF(BM54&gt;tabellen!$G$9/12,tabellen!$G$9/12,BM54)*(tabellen!$C$9+tabellen!$C$10))</f>
        <v>0</v>
      </c>
      <c r="AG54" s="173">
        <f>IF(F54="",0,('wgl tot'!BN54))</f>
        <v>0</v>
      </c>
      <c r="AH54" s="175">
        <f>IF(F54="",0,(IF('wgl tot'!BM54&gt;tabellen!$G$12*'wgl tot'!H54/12,tabellen!$G$12*'wgl tot'!H54/12,'wgl tot'!BM54)*tabellen!$C$12))</f>
        <v>0</v>
      </c>
      <c r="AI54" s="143"/>
      <c r="AJ54" s="175">
        <f>IF(F54="",0,(L54+N54)*IF(J54=1,tabellen!$C$13,IF(J54=2,tabellen!$C$14,IF(J54=3,tabellen!$C$15,IF(J54=5,tabellen!$C$17,IF(J54=6,tabellen!$C$18,IF(J54=7,tabellen!$C$19,IF(J54=8,tabellen!$C$20,tabellen!$C$16))))))))</f>
        <v>0</v>
      </c>
      <c r="AK54" s="175">
        <f>IF(F54="",0,((L54+N54)*tabellen!$C$21))</f>
        <v>0</v>
      </c>
      <c r="AL54" s="224">
        <v>0</v>
      </c>
      <c r="AM54" s="143"/>
      <c r="AN54" s="224">
        <v>0</v>
      </c>
      <c r="AO54" s="143"/>
      <c r="AP54" s="155">
        <f t="shared" si="20"/>
        <v>0</v>
      </c>
      <c r="AQ54" s="155">
        <f t="shared" si="32"/>
        <v>0</v>
      </c>
      <c r="AR54" s="143"/>
      <c r="AS54" s="179" t="str">
        <f t="shared" si="25"/>
        <v/>
      </c>
      <c r="AT54" s="179" t="str">
        <f t="shared" si="26"/>
        <v/>
      </c>
      <c r="AU54" s="143"/>
      <c r="AV54" s="121"/>
      <c r="AW54" s="113"/>
      <c r="AX54" s="113"/>
      <c r="AY54" s="157">
        <f ca="1">YEAR('wgl tot'!$AY$9)-YEAR('wgl tot'!E54)</f>
        <v>120</v>
      </c>
      <c r="AZ54" s="157">
        <f ca="1">MONTH('wgl tot'!$AY$9)-MONTH('wgl tot'!E54)</f>
        <v>1</v>
      </c>
      <c r="BA54" s="157">
        <f ca="1">DAY('wgl tot'!$AY$9)-DAY('wgl tot'!E54)</f>
        <v>18</v>
      </c>
      <c r="BB54" s="122">
        <f>IF(AND('wgl tot'!F54&gt;0,'wgl tot'!F54&lt;17),0,100)</f>
        <v>100</v>
      </c>
      <c r="BC54" s="122">
        <f t="shared" si="27"/>
        <v>0</v>
      </c>
      <c r="BD54" s="140">
        <v>42583</v>
      </c>
      <c r="BE54" s="158">
        <f t="shared" si="18"/>
        <v>0.08</v>
      </c>
      <c r="BF54" s="159">
        <f>+tabellen!$D$45</f>
        <v>6.3E-2</v>
      </c>
      <c r="BG54" s="157">
        <f>IF('wgl tot'!BB54=100,0,'wgl tot'!F54)</f>
        <v>0</v>
      </c>
      <c r="BH54" s="159" t="str">
        <f>IF(OR('wgl tot'!F54="DA",'wgl tot'!F54="DB",'wgl tot'!F54="DBuit",'wgl tot'!F54="DC",'wgl tot'!F54="DCuit",MID('wgl tot'!F54,1,5)="meerh"),"j","n")</f>
        <v>n</v>
      </c>
      <c r="BI54" s="161" t="e">
        <f>IF('wgl tot'!V54/'wgl tot'!H54&lt;tabellen!$E$6,0,(+'wgl tot'!V54-tabellen!$E$6*'wgl tot'!H54)/12*tabellen!$D$6)</f>
        <v>#DIV/0!</v>
      </c>
      <c r="BJ54" s="161" t="e">
        <f>IF('wgl tot'!V54/'wgl tot'!H54&lt;tabellen!$E$7,0,(+'wgl tot'!V54-tabellen!$E$7*'wgl tot'!H54)/12*tabellen!$D$7)</f>
        <v>#DIV/0!</v>
      </c>
      <c r="BK54" s="161">
        <f>'wgl tot'!V54/12*tabellen!$D$8</f>
        <v>0</v>
      </c>
      <c r="BL54" s="162" t="e">
        <f t="shared" si="33"/>
        <v>#DIV/0!</v>
      </c>
      <c r="BM54" s="163" t="e">
        <f>+X54/12-'wgl tot'!BL54</f>
        <v>#DIV/0!</v>
      </c>
      <c r="BN54" s="163" t="e">
        <f>ROUND(IF('wgl tot'!BM54&gt;tabellen!$H$11,tabellen!$H$11,'wgl tot'!BM54)*tabellen!$C$11,2)</f>
        <v>#DIV/0!</v>
      </c>
      <c r="BO54" s="163" t="e">
        <f>+'wgl tot'!BM54+'wgl tot'!BN54</f>
        <v>#DIV/0!</v>
      </c>
      <c r="BP54" s="164">
        <f t="shared" si="28"/>
        <v>1900</v>
      </c>
      <c r="BQ54" s="164">
        <f t="shared" si="29"/>
        <v>1</v>
      </c>
      <c r="BR54" s="157">
        <f t="shared" si="30"/>
        <v>0</v>
      </c>
      <c r="BS54" s="140">
        <f t="shared" si="16"/>
        <v>24227</v>
      </c>
      <c r="BT54" s="140">
        <f t="shared" ca="1" si="17"/>
        <v>43879.576672800926</v>
      </c>
      <c r="BU54" s="122"/>
      <c r="BV54" s="140"/>
      <c r="BW54" s="122"/>
      <c r="BX54" s="160"/>
      <c r="BY54" s="160"/>
      <c r="BZ54" s="160"/>
      <c r="CA54" s="160"/>
      <c r="CB54" s="160"/>
      <c r="CC54" s="160"/>
      <c r="CD54" s="113"/>
      <c r="CE54" s="113"/>
    </row>
    <row r="55" spans="1:83" s="124" customFormat="1" ht="12" customHeight="1" x14ac:dyDescent="0.2">
      <c r="A55" s="113"/>
      <c r="B55" s="114"/>
      <c r="C55" s="143"/>
      <c r="D55" s="149"/>
      <c r="E55" s="150"/>
      <c r="F55" s="151"/>
      <c r="G55" s="151"/>
      <c r="H55" s="152"/>
      <c r="I55" s="151"/>
      <c r="J55" s="153"/>
      <c r="K55" s="173">
        <f>IF(F55="",0,(VLOOKUP('wgl tot'!F55,saltab2020,'wgl tot'!G55+1,FALSE)))</f>
        <v>0</v>
      </c>
      <c r="L55" s="155">
        <f t="shared" si="31"/>
        <v>0</v>
      </c>
      <c r="M55" s="143"/>
      <c r="N55" s="173">
        <f>ROUND(IF(('wgl tot'!L55+'wgl tot'!P55)*BE55&lt;'wgl tot'!H55*tabellen!$D$44,'wgl tot'!H55*tabellen!$D$44,('wgl tot'!L55+'wgl tot'!P55)*BE55),2)</f>
        <v>0</v>
      </c>
      <c r="O55" s="173">
        <f>ROUND(+('wgl tot'!L55+'wgl tot'!P55)*BF55,2)</f>
        <v>0</v>
      </c>
      <c r="P55" s="173">
        <f>ROUND(IF(I55="j",VLOOKUP(BC55,uitlooptoeslag,2,FALSE))*IF('wgl tot'!H55&gt;1,1,'wgl tot'!H55),2)</f>
        <v>0</v>
      </c>
      <c r="Q55" s="173">
        <f>ROUND(IF(BH55="j",tabellen!$D$55*IF('wgl tot'!H55&gt;1,1,'wgl tot'!H55),0),2)</f>
        <v>0</v>
      </c>
      <c r="R55" s="173">
        <f>VLOOKUP(BG55,eindejaarsuitkering_OOP,2,TRUE)*'wgl tot'!H55/12</f>
        <v>0</v>
      </c>
      <c r="S55" s="173">
        <f>ROUND(H55*tabellen!$D$51,2)</f>
        <v>0</v>
      </c>
      <c r="T55" s="173">
        <f>ROUND(H55*tabellen!C$39,2)</f>
        <v>0</v>
      </c>
      <c r="U55" s="173">
        <f t="shared" si="12"/>
        <v>0</v>
      </c>
      <c r="V55" s="174">
        <f t="shared" si="23"/>
        <v>0</v>
      </c>
      <c r="W55" s="173">
        <f>('wgl tot'!L55+'wgl tot'!P55)*tabellen!$C$37*12</f>
        <v>0</v>
      </c>
      <c r="X55" s="155">
        <f t="shared" si="24"/>
        <v>0</v>
      </c>
      <c r="Y55" s="143"/>
      <c r="Z55" s="174">
        <f t="shared" si="19"/>
        <v>0</v>
      </c>
      <c r="AA55" s="207">
        <f>+'wgl tot'!W55/12</f>
        <v>0</v>
      </c>
      <c r="AB55" s="143"/>
      <c r="AC55" s="173">
        <f>IF(F55="",0,(IF('wgl tot'!V55/'wgl tot'!H55&lt;tabellen!$E$6,0,('wgl tot'!V55-tabellen!$E$6*'wgl tot'!H55)/12)*tabellen!$C$6))</f>
        <v>0</v>
      </c>
      <c r="AD55" s="173">
        <f>IF(F55="",0,(IF('wgl tot'!V55/'wgl tot'!H55&lt;tabellen!$E$7,0,(+'wgl tot'!V55-tabellen!$E$7*'wgl tot'!H55)/12)*tabellen!$C$7))</f>
        <v>0</v>
      </c>
      <c r="AE55" s="173">
        <f>'wgl tot'!V55/12*tabellen!$C$8</f>
        <v>0</v>
      </c>
      <c r="AF55" s="173">
        <f>IF(H55=0,0,IF(BM55&gt;tabellen!$G$9/12,tabellen!$G$9/12,BM55)*(tabellen!$C$9+tabellen!$C$10))</f>
        <v>0</v>
      </c>
      <c r="AG55" s="173">
        <f>IF(F55="",0,('wgl tot'!BN55))</f>
        <v>0</v>
      </c>
      <c r="AH55" s="175">
        <f>IF(F55="",0,(IF('wgl tot'!BM55&gt;tabellen!$G$12*'wgl tot'!H55/12,tabellen!$G$12*'wgl tot'!H55/12,'wgl tot'!BM55)*tabellen!$C$12))</f>
        <v>0</v>
      </c>
      <c r="AI55" s="143"/>
      <c r="AJ55" s="175">
        <f>IF(F55="",0,(L55+N55)*IF(J55=1,tabellen!$C$13,IF(J55=2,tabellen!$C$14,IF(J55=3,tabellen!$C$15,IF(J55=5,tabellen!$C$17,IF(J55=6,tabellen!$C$18,IF(J55=7,tabellen!$C$19,IF(J55=8,tabellen!$C$20,tabellen!$C$16))))))))</f>
        <v>0</v>
      </c>
      <c r="AK55" s="175">
        <f>IF(F55="",0,((L55+N55)*tabellen!$C$21))</f>
        <v>0</v>
      </c>
      <c r="AL55" s="224">
        <v>0</v>
      </c>
      <c r="AM55" s="143"/>
      <c r="AN55" s="224">
        <v>0</v>
      </c>
      <c r="AO55" s="143"/>
      <c r="AP55" s="155">
        <f t="shared" si="20"/>
        <v>0</v>
      </c>
      <c r="AQ55" s="155">
        <f t="shared" si="32"/>
        <v>0</v>
      </c>
      <c r="AR55" s="143"/>
      <c r="AS55" s="179" t="str">
        <f t="shared" si="25"/>
        <v/>
      </c>
      <c r="AT55" s="179" t="str">
        <f t="shared" si="26"/>
        <v/>
      </c>
      <c r="AU55" s="143"/>
      <c r="AV55" s="121"/>
      <c r="AW55" s="113"/>
      <c r="AX55" s="113"/>
      <c r="AY55" s="157">
        <f ca="1">YEAR('wgl tot'!$AY$9)-YEAR('wgl tot'!E55)</f>
        <v>120</v>
      </c>
      <c r="AZ55" s="157">
        <f ca="1">MONTH('wgl tot'!$AY$9)-MONTH('wgl tot'!E55)</f>
        <v>1</v>
      </c>
      <c r="BA55" s="157">
        <f ca="1">DAY('wgl tot'!$AY$9)-DAY('wgl tot'!E55)</f>
        <v>18</v>
      </c>
      <c r="BB55" s="122">
        <f>IF(AND('wgl tot'!F55&gt;0,'wgl tot'!F55&lt;17),0,100)</f>
        <v>100</v>
      </c>
      <c r="BC55" s="122">
        <f t="shared" si="27"/>
        <v>0</v>
      </c>
      <c r="BD55" s="140">
        <v>42583</v>
      </c>
      <c r="BE55" s="158">
        <f t="shared" si="18"/>
        <v>0.08</v>
      </c>
      <c r="BF55" s="159">
        <f>+tabellen!$D$45</f>
        <v>6.3E-2</v>
      </c>
      <c r="BG55" s="157">
        <f>IF('wgl tot'!BB55=100,0,'wgl tot'!F55)</f>
        <v>0</v>
      </c>
      <c r="BH55" s="159" t="str">
        <f>IF(OR('wgl tot'!F55="DA",'wgl tot'!F55="DB",'wgl tot'!F55="DBuit",'wgl tot'!F55="DC",'wgl tot'!F55="DCuit",MID('wgl tot'!F55,1,5)="meerh"),"j","n")</f>
        <v>n</v>
      </c>
      <c r="BI55" s="161" t="e">
        <f>IF('wgl tot'!V55/'wgl tot'!H55&lt;tabellen!$E$6,0,(+'wgl tot'!V55-tabellen!$E$6*'wgl tot'!H55)/12*tabellen!$D$6)</f>
        <v>#DIV/0!</v>
      </c>
      <c r="BJ55" s="161" t="e">
        <f>IF('wgl tot'!V55/'wgl tot'!H55&lt;tabellen!$E$7,0,(+'wgl tot'!V55-tabellen!$E$7*'wgl tot'!H55)/12*tabellen!$D$7)</f>
        <v>#DIV/0!</v>
      </c>
      <c r="BK55" s="161">
        <f>'wgl tot'!V55/12*tabellen!$D$8</f>
        <v>0</v>
      </c>
      <c r="BL55" s="162" t="e">
        <f t="shared" si="33"/>
        <v>#DIV/0!</v>
      </c>
      <c r="BM55" s="163" t="e">
        <f>+X55/12-'wgl tot'!BL55</f>
        <v>#DIV/0!</v>
      </c>
      <c r="BN55" s="163" t="e">
        <f>ROUND(IF('wgl tot'!BM55&gt;tabellen!$H$11,tabellen!$H$11,'wgl tot'!BM55)*tabellen!$C$11,2)</f>
        <v>#DIV/0!</v>
      </c>
      <c r="BO55" s="163" t="e">
        <f>+'wgl tot'!BM55+'wgl tot'!BN55</f>
        <v>#DIV/0!</v>
      </c>
      <c r="BP55" s="164">
        <f t="shared" si="28"/>
        <v>1900</v>
      </c>
      <c r="BQ55" s="164">
        <f t="shared" si="29"/>
        <v>1</v>
      </c>
      <c r="BR55" s="157">
        <f t="shared" si="30"/>
        <v>0</v>
      </c>
      <c r="BS55" s="140">
        <f t="shared" si="16"/>
        <v>24227</v>
      </c>
      <c r="BT55" s="140">
        <f t="shared" ca="1" si="17"/>
        <v>43879.576672800926</v>
      </c>
      <c r="BU55" s="122"/>
      <c r="BV55" s="140"/>
      <c r="BW55" s="122"/>
      <c r="BX55" s="160"/>
      <c r="BY55" s="160"/>
      <c r="BZ55" s="160"/>
      <c r="CA55" s="160"/>
      <c r="CB55" s="160"/>
      <c r="CC55" s="160"/>
      <c r="CD55" s="113"/>
      <c r="CE55" s="113"/>
    </row>
    <row r="56" spans="1:83" s="124" customFormat="1" ht="12" customHeight="1" x14ac:dyDescent="0.2">
      <c r="A56" s="113"/>
      <c r="B56" s="114"/>
      <c r="C56" s="143"/>
      <c r="D56" s="149"/>
      <c r="E56" s="150"/>
      <c r="F56" s="151"/>
      <c r="G56" s="151"/>
      <c r="H56" s="152"/>
      <c r="I56" s="151"/>
      <c r="J56" s="153"/>
      <c r="K56" s="173">
        <f>IF(F56="",0,(VLOOKUP('wgl tot'!F56,saltab2020,'wgl tot'!G56+1,FALSE)))</f>
        <v>0</v>
      </c>
      <c r="L56" s="155">
        <f t="shared" si="31"/>
        <v>0</v>
      </c>
      <c r="M56" s="143"/>
      <c r="N56" s="173">
        <f>ROUND(IF(('wgl tot'!L56+'wgl tot'!P56)*BE56&lt;'wgl tot'!H56*tabellen!$D$44,'wgl tot'!H56*tabellen!$D$44,('wgl tot'!L56+'wgl tot'!P56)*BE56),2)</f>
        <v>0</v>
      </c>
      <c r="O56" s="173">
        <f>ROUND(+('wgl tot'!L56+'wgl tot'!P56)*BF56,2)</f>
        <v>0</v>
      </c>
      <c r="P56" s="173">
        <f>ROUND(IF(I56="j",VLOOKUP(BC56,uitlooptoeslag,2,FALSE))*IF('wgl tot'!H56&gt;1,1,'wgl tot'!H56),2)</f>
        <v>0</v>
      </c>
      <c r="Q56" s="173">
        <f>ROUND(IF(BH56="j",tabellen!$D$55*IF('wgl tot'!H56&gt;1,1,'wgl tot'!H56),0),2)</f>
        <v>0</v>
      </c>
      <c r="R56" s="173">
        <f>VLOOKUP(BG56,eindejaarsuitkering_OOP,2,TRUE)*'wgl tot'!H56/12</f>
        <v>0</v>
      </c>
      <c r="S56" s="173">
        <f>ROUND(H56*tabellen!$D$51,2)</f>
        <v>0</v>
      </c>
      <c r="T56" s="173">
        <f>ROUND(H56*tabellen!C$39,2)</f>
        <v>0</v>
      </c>
      <c r="U56" s="173">
        <f t="shared" si="12"/>
        <v>0</v>
      </c>
      <c r="V56" s="174">
        <f t="shared" si="23"/>
        <v>0</v>
      </c>
      <c r="W56" s="173">
        <f>('wgl tot'!L56+'wgl tot'!P56)*tabellen!$C$37*12</f>
        <v>0</v>
      </c>
      <c r="X56" s="155">
        <f t="shared" si="24"/>
        <v>0</v>
      </c>
      <c r="Y56" s="143"/>
      <c r="Z56" s="174">
        <f t="shared" si="19"/>
        <v>0</v>
      </c>
      <c r="AA56" s="207">
        <f>+'wgl tot'!W56/12</f>
        <v>0</v>
      </c>
      <c r="AB56" s="143"/>
      <c r="AC56" s="173">
        <f>IF(F56="",0,(IF('wgl tot'!V56/'wgl tot'!H56&lt;tabellen!$E$6,0,('wgl tot'!V56-tabellen!$E$6*'wgl tot'!H56)/12)*tabellen!$C$6))</f>
        <v>0</v>
      </c>
      <c r="AD56" s="173">
        <f>IF(F56="",0,(IF('wgl tot'!V56/'wgl tot'!H56&lt;tabellen!$E$7,0,(+'wgl tot'!V56-tabellen!$E$7*'wgl tot'!H56)/12)*tabellen!$C$7))</f>
        <v>0</v>
      </c>
      <c r="AE56" s="173">
        <f>'wgl tot'!V56/12*tabellen!$C$8</f>
        <v>0</v>
      </c>
      <c r="AF56" s="173">
        <f>IF(H56=0,0,IF(BM56&gt;tabellen!$G$9/12,tabellen!$G$9/12,BM56)*(tabellen!$C$9+tabellen!$C$10))</f>
        <v>0</v>
      </c>
      <c r="AG56" s="173">
        <f>IF(F56="",0,('wgl tot'!BN56))</f>
        <v>0</v>
      </c>
      <c r="AH56" s="175">
        <f>IF(F56="",0,(IF('wgl tot'!BM56&gt;tabellen!$G$12*'wgl tot'!H56/12,tabellen!$G$12*'wgl tot'!H56/12,'wgl tot'!BM56)*tabellen!$C$12))</f>
        <v>0</v>
      </c>
      <c r="AI56" s="143"/>
      <c r="AJ56" s="175">
        <f>IF(F56="",0,(L56+N56)*IF(J56=1,tabellen!$C$13,IF(J56=2,tabellen!$C$14,IF(J56=3,tabellen!$C$15,IF(J56=5,tabellen!$C$17,IF(J56=6,tabellen!$C$18,IF(J56=7,tabellen!$C$19,IF(J56=8,tabellen!$C$20,tabellen!$C$16))))))))</f>
        <v>0</v>
      </c>
      <c r="AK56" s="175">
        <f>IF(F56="",0,((L56+N56)*tabellen!$C$21))</f>
        <v>0</v>
      </c>
      <c r="AL56" s="224">
        <v>0</v>
      </c>
      <c r="AM56" s="143"/>
      <c r="AN56" s="224">
        <v>0</v>
      </c>
      <c r="AO56" s="143"/>
      <c r="AP56" s="155">
        <f t="shared" si="20"/>
        <v>0</v>
      </c>
      <c r="AQ56" s="155">
        <f t="shared" si="32"/>
        <v>0</v>
      </c>
      <c r="AR56" s="143"/>
      <c r="AS56" s="179" t="str">
        <f t="shared" si="25"/>
        <v/>
      </c>
      <c r="AT56" s="179" t="str">
        <f t="shared" si="26"/>
        <v/>
      </c>
      <c r="AU56" s="143"/>
      <c r="AV56" s="121"/>
      <c r="AW56" s="113"/>
      <c r="AX56" s="113"/>
      <c r="AY56" s="157">
        <f ca="1">YEAR('wgl tot'!$AY$9)-YEAR('wgl tot'!E56)</f>
        <v>120</v>
      </c>
      <c r="AZ56" s="157">
        <f ca="1">MONTH('wgl tot'!$AY$9)-MONTH('wgl tot'!E56)</f>
        <v>1</v>
      </c>
      <c r="BA56" s="157">
        <f ca="1">DAY('wgl tot'!$AY$9)-DAY('wgl tot'!E56)</f>
        <v>18</v>
      </c>
      <c r="BB56" s="122">
        <f>IF(AND('wgl tot'!F56&gt;0,'wgl tot'!F56&lt;17),0,100)</f>
        <v>100</v>
      </c>
      <c r="BC56" s="122">
        <f t="shared" si="27"/>
        <v>0</v>
      </c>
      <c r="BD56" s="140">
        <v>42583</v>
      </c>
      <c r="BE56" s="158">
        <f t="shared" si="18"/>
        <v>0.08</v>
      </c>
      <c r="BF56" s="159">
        <f>+tabellen!$D$45</f>
        <v>6.3E-2</v>
      </c>
      <c r="BG56" s="157">
        <f>IF('wgl tot'!BB56=100,0,'wgl tot'!F56)</f>
        <v>0</v>
      </c>
      <c r="BH56" s="159" t="str">
        <f>IF(OR('wgl tot'!F56="DA",'wgl tot'!F56="DB",'wgl tot'!F56="DBuit",'wgl tot'!F56="DC",'wgl tot'!F56="DCuit",MID('wgl tot'!F56,1,5)="meerh"),"j","n")</f>
        <v>n</v>
      </c>
      <c r="BI56" s="161" t="e">
        <f>IF('wgl tot'!V56/'wgl tot'!H56&lt;tabellen!$E$6,0,(+'wgl tot'!V56-tabellen!$E$6*'wgl tot'!H56)/12*tabellen!$D$6)</f>
        <v>#DIV/0!</v>
      </c>
      <c r="BJ56" s="161" t="e">
        <f>IF('wgl tot'!V56/'wgl tot'!H56&lt;tabellen!$E$7,0,(+'wgl tot'!V56-tabellen!$E$7*'wgl tot'!H56)/12*tabellen!$D$7)</f>
        <v>#DIV/0!</v>
      </c>
      <c r="BK56" s="161">
        <f>'wgl tot'!V56/12*tabellen!$D$8</f>
        <v>0</v>
      </c>
      <c r="BL56" s="162" t="e">
        <f t="shared" si="33"/>
        <v>#DIV/0!</v>
      </c>
      <c r="BM56" s="163" t="e">
        <f>+X56/12-'wgl tot'!BL56</f>
        <v>#DIV/0!</v>
      </c>
      <c r="BN56" s="163" t="e">
        <f>ROUND(IF('wgl tot'!BM56&gt;tabellen!$H$11,tabellen!$H$11,'wgl tot'!BM56)*tabellen!$C$11,2)</f>
        <v>#DIV/0!</v>
      </c>
      <c r="BO56" s="163" t="e">
        <f>+'wgl tot'!BM56+'wgl tot'!BN56</f>
        <v>#DIV/0!</v>
      </c>
      <c r="BP56" s="164">
        <f t="shared" si="28"/>
        <v>1900</v>
      </c>
      <c r="BQ56" s="164">
        <f t="shared" si="29"/>
        <v>1</v>
      </c>
      <c r="BR56" s="157">
        <f t="shared" si="30"/>
        <v>0</v>
      </c>
      <c r="BS56" s="140">
        <f t="shared" si="16"/>
        <v>24227</v>
      </c>
      <c r="BT56" s="140">
        <f t="shared" ca="1" si="17"/>
        <v>43879.576672800926</v>
      </c>
      <c r="BU56" s="122"/>
      <c r="BV56" s="140"/>
      <c r="BW56" s="122"/>
      <c r="BX56" s="160"/>
      <c r="BY56" s="160"/>
      <c r="BZ56" s="160"/>
      <c r="CA56" s="160"/>
      <c r="CB56" s="160"/>
      <c r="CC56" s="160"/>
      <c r="CD56" s="113"/>
      <c r="CE56" s="113"/>
    </row>
    <row r="57" spans="1:83" s="124" customFormat="1" ht="12" customHeight="1" x14ac:dyDescent="0.2">
      <c r="A57" s="113"/>
      <c r="B57" s="114"/>
      <c r="C57" s="143"/>
      <c r="D57" s="149"/>
      <c r="E57" s="150"/>
      <c r="F57" s="151"/>
      <c r="G57" s="151"/>
      <c r="H57" s="152"/>
      <c r="I57" s="151"/>
      <c r="J57" s="153"/>
      <c r="K57" s="173">
        <f>IF(F57="",0,(VLOOKUP('wgl tot'!F57,saltab2020,'wgl tot'!G57+1,FALSE)))</f>
        <v>0</v>
      </c>
      <c r="L57" s="155">
        <f t="shared" si="31"/>
        <v>0</v>
      </c>
      <c r="M57" s="143"/>
      <c r="N57" s="173">
        <f>ROUND(IF(('wgl tot'!L57+'wgl tot'!P57)*BE57&lt;'wgl tot'!H57*tabellen!$D$44,'wgl tot'!H57*tabellen!$D$44,('wgl tot'!L57+'wgl tot'!P57)*BE57),2)</f>
        <v>0</v>
      </c>
      <c r="O57" s="173">
        <f>ROUND(+('wgl tot'!L57+'wgl tot'!P57)*BF57,2)</f>
        <v>0</v>
      </c>
      <c r="P57" s="173">
        <f>ROUND(IF(I57="j",VLOOKUP(BC57,uitlooptoeslag,2,FALSE))*IF('wgl tot'!H57&gt;1,1,'wgl tot'!H57),2)</f>
        <v>0</v>
      </c>
      <c r="Q57" s="173">
        <f>ROUND(IF(BH57="j",tabellen!$D$55*IF('wgl tot'!H57&gt;1,1,'wgl tot'!H57),0),2)</f>
        <v>0</v>
      </c>
      <c r="R57" s="173">
        <f>VLOOKUP(BG57,eindejaarsuitkering_OOP,2,TRUE)*'wgl tot'!H57/12</f>
        <v>0</v>
      </c>
      <c r="S57" s="173">
        <f>ROUND(H57*tabellen!$D$51,2)</f>
        <v>0</v>
      </c>
      <c r="T57" s="173">
        <f>ROUND(H57*tabellen!C$39,2)</f>
        <v>0</v>
      </c>
      <c r="U57" s="173">
        <f t="shared" si="12"/>
        <v>0</v>
      </c>
      <c r="V57" s="174">
        <f t="shared" si="23"/>
        <v>0</v>
      </c>
      <c r="W57" s="173">
        <f>('wgl tot'!L57+'wgl tot'!P57)*tabellen!$C$37*12</f>
        <v>0</v>
      </c>
      <c r="X57" s="155">
        <f t="shared" si="24"/>
        <v>0</v>
      </c>
      <c r="Y57" s="143"/>
      <c r="Z57" s="174">
        <f t="shared" si="19"/>
        <v>0</v>
      </c>
      <c r="AA57" s="207">
        <f>+'wgl tot'!W57/12</f>
        <v>0</v>
      </c>
      <c r="AB57" s="143"/>
      <c r="AC57" s="173">
        <f>IF(F57="",0,(IF('wgl tot'!V57/'wgl tot'!H57&lt;tabellen!$E$6,0,('wgl tot'!V57-tabellen!$E$6*'wgl tot'!H57)/12)*tabellen!$C$6))</f>
        <v>0</v>
      </c>
      <c r="AD57" s="173">
        <f>IF(F57="",0,(IF('wgl tot'!V57/'wgl tot'!H57&lt;tabellen!$E$7,0,(+'wgl tot'!V57-tabellen!$E$7*'wgl tot'!H57)/12)*tabellen!$C$7))</f>
        <v>0</v>
      </c>
      <c r="AE57" s="173">
        <f>'wgl tot'!V57/12*tabellen!$C$8</f>
        <v>0</v>
      </c>
      <c r="AF57" s="173">
        <f>IF(H57=0,0,IF(BM57&gt;tabellen!$G$9/12,tabellen!$G$9/12,BM57)*(tabellen!$C$9+tabellen!$C$10))</f>
        <v>0</v>
      </c>
      <c r="AG57" s="173">
        <f>IF(F57="",0,('wgl tot'!BN57))</f>
        <v>0</v>
      </c>
      <c r="AH57" s="175">
        <f>IF(F57="",0,(IF('wgl tot'!BM57&gt;tabellen!$G$12*'wgl tot'!H57/12,tabellen!$G$12*'wgl tot'!H57/12,'wgl tot'!BM57)*tabellen!$C$12))</f>
        <v>0</v>
      </c>
      <c r="AI57" s="143"/>
      <c r="AJ57" s="175">
        <f>IF(F57="",0,(L57+N57)*IF(J57=1,tabellen!$C$13,IF(J57=2,tabellen!$C$14,IF(J57=3,tabellen!$C$15,IF(J57=5,tabellen!$C$17,IF(J57=6,tabellen!$C$18,IF(J57=7,tabellen!$C$19,IF(J57=8,tabellen!$C$20,tabellen!$C$16))))))))</f>
        <v>0</v>
      </c>
      <c r="AK57" s="175">
        <f>IF(F57="",0,((L57+N57)*tabellen!$C$21))</f>
        <v>0</v>
      </c>
      <c r="AL57" s="224">
        <v>0</v>
      </c>
      <c r="AM57" s="143"/>
      <c r="AN57" s="224">
        <v>0</v>
      </c>
      <c r="AO57" s="143"/>
      <c r="AP57" s="155">
        <f t="shared" si="20"/>
        <v>0</v>
      </c>
      <c r="AQ57" s="155">
        <f t="shared" si="32"/>
        <v>0</v>
      </c>
      <c r="AR57" s="143"/>
      <c r="AS57" s="179" t="str">
        <f t="shared" si="25"/>
        <v/>
      </c>
      <c r="AT57" s="179" t="str">
        <f t="shared" si="26"/>
        <v/>
      </c>
      <c r="AU57" s="143"/>
      <c r="AV57" s="121"/>
      <c r="AW57" s="113"/>
      <c r="AX57" s="113"/>
      <c r="AY57" s="157">
        <f ca="1">YEAR('wgl tot'!$AY$9)-YEAR('wgl tot'!E57)</f>
        <v>120</v>
      </c>
      <c r="AZ57" s="157">
        <f ca="1">MONTH('wgl tot'!$AY$9)-MONTH('wgl tot'!E57)</f>
        <v>1</v>
      </c>
      <c r="BA57" s="157">
        <f ca="1">DAY('wgl tot'!$AY$9)-DAY('wgl tot'!E57)</f>
        <v>18</v>
      </c>
      <c r="BB57" s="122">
        <f>IF(AND('wgl tot'!F57&gt;0,'wgl tot'!F57&lt;17),0,100)</f>
        <v>100</v>
      </c>
      <c r="BC57" s="122">
        <f t="shared" si="27"/>
        <v>0</v>
      </c>
      <c r="BD57" s="140">
        <v>42583</v>
      </c>
      <c r="BE57" s="158">
        <f t="shared" si="18"/>
        <v>0.08</v>
      </c>
      <c r="BF57" s="159">
        <f>+tabellen!$D$45</f>
        <v>6.3E-2</v>
      </c>
      <c r="BG57" s="157">
        <f>IF('wgl tot'!BB57=100,0,'wgl tot'!F57)</f>
        <v>0</v>
      </c>
      <c r="BH57" s="159" t="str">
        <f>IF(OR('wgl tot'!F57="DA",'wgl tot'!F57="DB",'wgl tot'!F57="DBuit",'wgl tot'!F57="DC",'wgl tot'!F57="DCuit",MID('wgl tot'!F57,1,5)="meerh"),"j","n")</f>
        <v>n</v>
      </c>
      <c r="BI57" s="161" t="e">
        <f>IF('wgl tot'!V57/'wgl tot'!H57&lt;tabellen!$E$6,0,(+'wgl tot'!V57-tabellen!$E$6*'wgl tot'!H57)/12*tabellen!$D$6)</f>
        <v>#DIV/0!</v>
      </c>
      <c r="BJ57" s="161" t="e">
        <f>IF('wgl tot'!V57/'wgl tot'!H57&lt;tabellen!$E$7,0,(+'wgl tot'!V57-tabellen!$E$7*'wgl tot'!H57)/12*tabellen!$D$7)</f>
        <v>#DIV/0!</v>
      </c>
      <c r="BK57" s="161">
        <f>'wgl tot'!V57/12*tabellen!$D$8</f>
        <v>0</v>
      </c>
      <c r="BL57" s="162" t="e">
        <f t="shared" si="33"/>
        <v>#DIV/0!</v>
      </c>
      <c r="BM57" s="163" t="e">
        <f>+X57/12-'wgl tot'!BL57</f>
        <v>#DIV/0!</v>
      </c>
      <c r="BN57" s="163" t="e">
        <f>ROUND(IF('wgl tot'!BM57&gt;tabellen!$H$11,tabellen!$H$11,'wgl tot'!BM57)*tabellen!$C$11,2)</f>
        <v>#DIV/0!</v>
      </c>
      <c r="BO57" s="163" t="e">
        <f>+'wgl tot'!BM57+'wgl tot'!BN57</f>
        <v>#DIV/0!</v>
      </c>
      <c r="BP57" s="164">
        <f t="shared" si="28"/>
        <v>1900</v>
      </c>
      <c r="BQ57" s="164">
        <f t="shared" si="29"/>
        <v>1</v>
      </c>
      <c r="BR57" s="157">
        <f t="shared" si="30"/>
        <v>0</v>
      </c>
      <c r="BS57" s="140">
        <f t="shared" si="16"/>
        <v>24227</v>
      </c>
      <c r="BT57" s="140">
        <f t="shared" ca="1" si="17"/>
        <v>43879.576672800926</v>
      </c>
      <c r="BU57" s="122"/>
      <c r="BV57" s="140"/>
      <c r="BW57" s="122"/>
      <c r="BX57" s="160"/>
      <c r="BY57" s="160"/>
      <c r="BZ57" s="160"/>
      <c r="CA57" s="160"/>
      <c r="CB57" s="160"/>
      <c r="CC57" s="160"/>
      <c r="CD57" s="113"/>
      <c r="CE57" s="113"/>
    </row>
    <row r="58" spans="1:83" s="124" customFormat="1" ht="12" customHeight="1" x14ac:dyDescent="0.2">
      <c r="A58" s="113"/>
      <c r="B58" s="114"/>
      <c r="C58" s="143"/>
      <c r="D58" s="149"/>
      <c r="E58" s="150"/>
      <c r="F58" s="151"/>
      <c r="G58" s="151"/>
      <c r="H58" s="152"/>
      <c r="I58" s="151"/>
      <c r="J58" s="153"/>
      <c r="K58" s="173">
        <f>IF(F58="",0,(VLOOKUP('wgl tot'!F58,saltab2020,'wgl tot'!G58+1,FALSE)))</f>
        <v>0</v>
      </c>
      <c r="L58" s="155">
        <f t="shared" si="31"/>
        <v>0</v>
      </c>
      <c r="M58" s="143"/>
      <c r="N58" s="173">
        <f>ROUND(IF(('wgl tot'!L58+'wgl tot'!P58)*BE58&lt;'wgl tot'!H58*tabellen!$D$44,'wgl tot'!H58*tabellen!$D$44,('wgl tot'!L58+'wgl tot'!P58)*BE58),2)</f>
        <v>0</v>
      </c>
      <c r="O58" s="173">
        <f>ROUND(+('wgl tot'!L58+'wgl tot'!P58)*BF58,2)</f>
        <v>0</v>
      </c>
      <c r="P58" s="173">
        <f>ROUND(IF(I58="j",VLOOKUP(BC58,uitlooptoeslag,2,FALSE))*IF('wgl tot'!H58&gt;1,1,'wgl tot'!H58),2)</f>
        <v>0</v>
      </c>
      <c r="Q58" s="173">
        <f>ROUND(IF(BH58="j",tabellen!$D$55*IF('wgl tot'!H58&gt;1,1,'wgl tot'!H58),0),2)</f>
        <v>0</v>
      </c>
      <c r="R58" s="173">
        <f>VLOOKUP(BG58,eindejaarsuitkering_OOP,2,TRUE)*'wgl tot'!H58/12</f>
        <v>0</v>
      </c>
      <c r="S58" s="173">
        <f>ROUND(H58*tabellen!$D$51,2)</f>
        <v>0</v>
      </c>
      <c r="T58" s="173">
        <f>ROUND(H58*tabellen!C$39,2)</f>
        <v>0</v>
      </c>
      <c r="U58" s="173">
        <f t="shared" si="12"/>
        <v>0</v>
      </c>
      <c r="V58" s="174">
        <f t="shared" si="23"/>
        <v>0</v>
      </c>
      <c r="W58" s="173">
        <f>('wgl tot'!L58+'wgl tot'!P58)*tabellen!$C$37*12</f>
        <v>0</v>
      </c>
      <c r="X58" s="155">
        <f t="shared" si="24"/>
        <v>0</v>
      </c>
      <c r="Y58" s="143"/>
      <c r="Z58" s="174">
        <f t="shared" si="19"/>
        <v>0</v>
      </c>
      <c r="AA58" s="207">
        <f>+'wgl tot'!W58/12</f>
        <v>0</v>
      </c>
      <c r="AB58" s="143"/>
      <c r="AC58" s="173">
        <f>IF(F58="",0,(IF('wgl tot'!V58/'wgl tot'!H58&lt;tabellen!$E$6,0,('wgl tot'!V58-tabellen!$E$6*'wgl tot'!H58)/12)*tabellen!$C$6))</f>
        <v>0</v>
      </c>
      <c r="AD58" s="173">
        <f>IF(F58="",0,(IF('wgl tot'!V58/'wgl tot'!H58&lt;tabellen!$E$7,0,(+'wgl tot'!V58-tabellen!$E$7*'wgl tot'!H58)/12)*tabellen!$C$7))</f>
        <v>0</v>
      </c>
      <c r="AE58" s="173">
        <f>'wgl tot'!V58/12*tabellen!$C$8</f>
        <v>0</v>
      </c>
      <c r="AF58" s="173">
        <f>IF(H58=0,0,IF(BM58&gt;tabellen!$G$9/12,tabellen!$G$9/12,BM58)*(tabellen!$C$9+tabellen!$C$10))</f>
        <v>0</v>
      </c>
      <c r="AG58" s="173">
        <f>IF(F58="",0,('wgl tot'!BN58))</f>
        <v>0</v>
      </c>
      <c r="AH58" s="175">
        <f>IF(F58="",0,(IF('wgl tot'!BM58&gt;tabellen!$G$12*'wgl tot'!H58/12,tabellen!$G$12*'wgl tot'!H58/12,'wgl tot'!BM58)*tabellen!$C$12))</f>
        <v>0</v>
      </c>
      <c r="AI58" s="143"/>
      <c r="AJ58" s="175">
        <f>IF(F58="",0,(L58+N58)*IF(J58=1,tabellen!$C$13,IF(J58=2,tabellen!$C$14,IF(J58=3,tabellen!$C$15,IF(J58=5,tabellen!$C$17,IF(J58=6,tabellen!$C$18,IF(J58=7,tabellen!$C$19,IF(J58=8,tabellen!$C$20,tabellen!$C$16))))))))</f>
        <v>0</v>
      </c>
      <c r="AK58" s="175">
        <f>IF(F58="",0,((L58+N58)*tabellen!$C$21))</f>
        <v>0</v>
      </c>
      <c r="AL58" s="224">
        <v>0</v>
      </c>
      <c r="AM58" s="143"/>
      <c r="AN58" s="224">
        <v>0</v>
      </c>
      <c r="AO58" s="143"/>
      <c r="AP58" s="155">
        <f t="shared" si="20"/>
        <v>0</v>
      </c>
      <c r="AQ58" s="155">
        <f t="shared" si="32"/>
        <v>0</v>
      </c>
      <c r="AR58" s="143"/>
      <c r="AS58" s="179" t="str">
        <f t="shared" si="25"/>
        <v/>
      </c>
      <c r="AT58" s="179" t="str">
        <f t="shared" si="26"/>
        <v/>
      </c>
      <c r="AU58" s="143"/>
      <c r="AV58" s="121"/>
      <c r="AW58" s="113"/>
      <c r="AX58" s="113"/>
      <c r="AY58" s="157">
        <f ca="1">YEAR('wgl tot'!$AY$9)-YEAR('wgl tot'!E58)</f>
        <v>120</v>
      </c>
      <c r="AZ58" s="157">
        <f ca="1">MONTH('wgl tot'!$AY$9)-MONTH('wgl tot'!E58)</f>
        <v>1</v>
      </c>
      <c r="BA58" s="157">
        <f ca="1">DAY('wgl tot'!$AY$9)-DAY('wgl tot'!E58)</f>
        <v>18</v>
      </c>
      <c r="BB58" s="122">
        <f>IF(AND('wgl tot'!F58&gt;0,'wgl tot'!F58&lt;17),0,100)</f>
        <v>100</v>
      </c>
      <c r="BC58" s="122">
        <f t="shared" si="27"/>
        <v>0</v>
      </c>
      <c r="BD58" s="140">
        <v>42583</v>
      </c>
      <c r="BE58" s="158">
        <f t="shared" si="18"/>
        <v>0.08</v>
      </c>
      <c r="BF58" s="159">
        <f>+tabellen!$D$45</f>
        <v>6.3E-2</v>
      </c>
      <c r="BG58" s="157">
        <f>IF('wgl tot'!BB58=100,0,'wgl tot'!F58)</f>
        <v>0</v>
      </c>
      <c r="BH58" s="159" t="str">
        <f>IF(OR('wgl tot'!F58="DA",'wgl tot'!F58="DB",'wgl tot'!F58="DBuit",'wgl tot'!F58="DC",'wgl tot'!F58="DCuit",MID('wgl tot'!F58,1,5)="meerh"),"j","n")</f>
        <v>n</v>
      </c>
      <c r="BI58" s="161" t="e">
        <f>IF('wgl tot'!V58/'wgl tot'!H58&lt;tabellen!$E$6,0,(+'wgl tot'!V58-tabellen!$E$6*'wgl tot'!H58)/12*tabellen!$D$6)</f>
        <v>#DIV/0!</v>
      </c>
      <c r="BJ58" s="161" t="e">
        <f>IF('wgl tot'!V58/'wgl tot'!H58&lt;tabellen!$E$7,0,(+'wgl tot'!V58-tabellen!$E$7*'wgl tot'!H58)/12*tabellen!$D$7)</f>
        <v>#DIV/0!</v>
      </c>
      <c r="BK58" s="161">
        <f>'wgl tot'!V58/12*tabellen!$D$8</f>
        <v>0</v>
      </c>
      <c r="BL58" s="162" t="e">
        <f t="shared" si="33"/>
        <v>#DIV/0!</v>
      </c>
      <c r="BM58" s="163" t="e">
        <f>+X58/12-'wgl tot'!BL58</f>
        <v>#DIV/0!</v>
      </c>
      <c r="BN58" s="163" t="e">
        <f>ROUND(IF('wgl tot'!BM58&gt;tabellen!$H$11,tabellen!$H$11,'wgl tot'!BM58)*tabellen!$C$11,2)</f>
        <v>#DIV/0!</v>
      </c>
      <c r="BO58" s="163" t="e">
        <f>+'wgl tot'!BM58+'wgl tot'!BN58</f>
        <v>#DIV/0!</v>
      </c>
      <c r="BP58" s="164">
        <f t="shared" si="28"/>
        <v>1900</v>
      </c>
      <c r="BQ58" s="164">
        <f t="shared" si="29"/>
        <v>1</v>
      </c>
      <c r="BR58" s="157">
        <f t="shared" si="30"/>
        <v>0</v>
      </c>
      <c r="BS58" s="140">
        <f t="shared" si="16"/>
        <v>24227</v>
      </c>
      <c r="BT58" s="140">
        <f t="shared" ca="1" si="17"/>
        <v>43879.576672800926</v>
      </c>
      <c r="BU58" s="122"/>
      <c r="BV58" s="140"/>
      <c r="BW58" s="122"/>
      <c r="BX58" s="160"/>
      <c r="BY58" s="160"/>
      <c r="BZ58" s="160"/>
      <c r="CA58" s="160"/>
      <c r="CB58" s="160"/>
      <c r="CC58" s="160"/>
      <c r="CD58" s="113"/>
      <c r="CE58" s="113"/>
    </row>
    <row r="59" spans="1:83" s="124" customFormat="1" ht="12" customHeight="1" x14ac:dyDescent="0.2">
      <c r="A59" s="113"/>
      <c r="B59" s="114"/>
      <c r="C59" s="143"/>
      <c r="D59" s="149"/>
      <c r="E59" s="150"/>
      <c r="F59" s="151"/>
      <c r="G59" s="151"/>
      <c r="H59" s="152"/>
      <c r="I59" s="151"/>
      <c r="J59" s="153"/>
      <c r="K59" s="173">
        <f>IF(F59="",0,(VLOOKUP('wgl tot'!F59,saltab2020,'wgl tot'!G59+1,FALSE)))</f>
        <v>0</v>
      </c>
      <c r="L59" s="155">
        <f t="shared" si="31"/>
        <v>0</v>
      </c>
      <c r="M59" s="143"/>
      <c r="N59" s="173">
        <f>ROUND(IF(('wgl tot'!L59+'wgl tot'!P59)*BE59&lt;'wgl tot'!H59*tabellen!$D$44,'wgl tot'!H59*tabellen!$D$44,('wgl tot'!L59+'wgl tot'!P59)*BE59),2)</f>
        <v>0</v>
      </c>
      <c r="O59" s="173">
        <f>ROUND(+('wgl tot'!L59+'wgl tot'!P59)*BF59,2)</f>
        <v>0</v>
      </c>
      <c r="P59" s="173">
        <f>ROUND(IF(I59="j",VLOOKUP(BC59,uitlooptoeslag,2,FALSE))*IF('wgl tot'!H59&gt;1,1,'wgl tot'!H59),2)</f>
        <v>0</v>
      </c>
      <c r="Q59" s="173">
        <f>ROUND(IF(BH59="j",tabellen!$D$55*IF('wgl tot'!H59&gt;1,1,'wgl tot'!H59),0),2)</f>
        <v>0</v>
      </c>
      <c r="R59" s="173">
        <f>VLOOKUP(BG59,eindejaarsuitkering_OOP,2,TRUE)*'wgl tot'!H59/12</f>
        <v>0</v>
      </c>
      <c r="S59" s="173">
        <f>ROUND(H59*tabellen!$D$51,2)</f>
        <v>0</v>
      </c>
      <c r="T59" s="173">
        <f>ROUND(H59*tabellen!C$39,2)</f>
        <v>0</v>
      </c>
      <c r="U59" s="173">
        <f t="shared" si="12"/>
        <v>0</v>
      </c>
      <c r="V59" s="174">
        <f t="shared" si="23"/>
        <v>0</v>
      </c>
      <c r="W59" s="173">
        <f>('wgl tot'!L59+'wgl tot'!P59)*tabellen!$C$37*12</f>
        <v>0</v>
      </c>
      <c r="X59" s="155">
        <f t="shared" si="24"/>
        <v>0</v>
      </c>
      <c r="Y59" s="143"/>
      <c r="Z59" s="174">
        <f t="shared" si="19"/>
        <v>0</v>
      </c>
      <c r="AA59" s="207">
        <f>+'wgl tot'!W59/12</f>
        <v>0</v>
      </c>
      <c r="AB59" s="143"/>
      <c r="AC59" s="173">
        <f>IF(F59="",0,(IF('wgl tot'!V59/'wgl tot'!H59&lt;tabellen!$E$6,0,('wgl tot'!V59-tabellen!$E$6*'wgl tot'!H59)/12)*tabellen!$C$6))</f>
        <v>0</v>
      </c>
      <c r="AD59" s="173">
        <f>IF(F59="",0,(IF('wgl tot'!V59/'wgl tot'!H59&lt;tabellen!$E$7,0,(+'wgl tot'!V59-tabellen!$E$7*'wgl tot'!H59)/12)*tabellen!$C$7))</f>
        <v>0</v>
      </c>
      <c r="AE59" s="173">
        <f>'wgl tot'!V59/12*tabellen!$C$8</f>
        <v>0</v>
      </c>
      <c r="AF59" s="173">
        <f>IF(H59=0,0,IF(BM59&gt;tabellen!$G$9/12,tabellen!$G$9/12,BM59)*(tabellen!$C$9+tabellen!$C$10))</f>
        <v>0</v>
      </c>
      <c r="AG59" s="173">
        <f>IF(F59="",0,('wgl tot'!BN59))</f>
        <v>0</v>
      </c>
      <c r="AH59" s="175">
        <f>IF(F59="",0,(IF('wgl tot'!BM59&gt;tabellen!$G$12*'wgl tot'!H59/12,tabellen!$G$12*'wgl tot'!H59/12,'wgl tot'!BM59)*tabellen!$C$12))</f>
        <v>0</v>
      </c>
      <c r="AI59" s="143"/>
      <c r="AJ59" s="175">
        <f>IF(F59="",0,(L59+N59)*IF(J59=1,tabellen!$C$13,IF(J59=2,tabellen!$C$14,IF(J59=3,tabellen!$C$15,IF(J59=5,tabellen!$C$17,IF(J59=6,tabellen!$C$18,IF(J59=7,tabellen!$C$19,IF(J59=8,tabellen!$C$20,tabellen!$C$16))))))))</f>
        <v>0</v>
      </c>
      <c r="AK59" s="175">
        <f>IF(F59="",0,((L59+N59)*tabellen!$C$21))</f>
        <v>0</v>
      </c>
      <c r="AL59" s="224">
        <v>0</v>
      </c>
      <c r="AM59" s="143"/>
      <c r="AN59" s="224">
        <v>0</v>
      </c>
      <c r="AO59" s="143"/>
      <c r="AP59" s="155">
        <f t="shared" si="20"/>
        <v>0</v>
      </c>
      <c r="AQ59" s="155">
        <f t="shared" si="32"/>
        <v>0</v>
      </c>
      <c r="AR59" s="143"/>
      <c r="AS59" s="179" t="str">
        <f t="shared" si="25"/>
        <v/>
      </c>
      <c r="AT59" s="179" t="str">
        <f t="shared" si="26"/>
        <v/>
      </c>
      <c r="AU59" s="143"/>
      <c r="AV59" s="121"/>
      <c r="AW59" s="113"/>
      <c r="AX59" s="113"/>
      <c r="AY59" s="157">
        <f ca="1">YEAR('wgl tot'!$AY$9)-YEAR('wgl tot'!E59)</f>
        <v>120</v>
      </c>
      <c r="AZ59" s="157">
        <f ca="1">MONTH('wgl tot'!$AY$9)-MONTH('wgl tot'!E59)</f>
        <v>1</v>
      </c>
      <c r="BA59" s="157">
        <f ca="1">DAY('wgl tot'!$AY$9)-DAY('wgl tot'!E59)</f>
        <v>18</v>
      </c>
      <c r="BB59" s="122">
        <f>IF(AND('wgl tot'!F59&gt;0,'wgl tot'!F59&lt;17),0,100)</f>
        <v>100</v>
      </c>
      <c r="BC59" s="122">
        <f t="shared" si="27"/>
        <v>0</v>
      </c>
      <c r="BD59" s="140">
        <v>42583</v>
      </c>
      <c r="BE59" s="158">
        <f t="shared" si="18"/>
        <v>0.08</v>
      </c>
      <c r="BF59" s="159">
        <f>+tabellen!$D$45</f>
        <v>6.3E-2</v>
      </c>
      <c r="BG59" s="157">
        <f>IF('wgl tot'!BB59=100,0,'wgl tot'!F59)</f>
        <v>0</v>
      </c>
      <c r="BH59" s="159" t="str">
        <f>IF(OR('wgl tot'!F59="DA",'wgl tot'!F59="DB",'wgl tot'!F59="DBuit",'wgl tot'!F59="DC",'wgl tot'!F59="DCuit",MID('wgl tot'!F59,1,5)="meerh"),"j","n")</f>
        <v>n</v>
      </c>
      <c r="BI59" s="161" t="e">
        <f>IF('wgl tot'!V59/'wgl tot'!H59&lt;tabellen!$E$6,0,(+'wgl tot'!V59-tabellen!$E$6*'wgl tot'!H59)/12*tabellen!$D$6)</f>
        <v>#DIV/0!</v>
      </c>
      <c r="BJ59" s="161" t="e">
        <f>IF('wgl tot'!V59/'wgl tot'!H59&lt;tabellen!$E$7,0,(+'wgl tot'!V59-tabellen!$E$7*'wgl tot'!H59)/12*tabellen!$D$7)</f>
        <v>#DIV/0!</v>
      </c>
      <c r="BK59" s="161">
        <f>'wgl tot'!V59/12*tabellen!$D$8</f>
        <v>0</v>
      </c>
      <c r="BL59" s="162" t="e">
        <f t="shared" si="33"/>
        <v>#DIV/0!</v>
      </c>
      <c r="BM59" s="163" t="e">
        <f>+X59/12-'wgl tot'!BL59</f>
        <v>#DIV/0!</v>
      </c>
      <c r="BN59" s="163" t="e">
        <f>ROUND(IF('wgl tot'!BM59&gt;tabellen!$H$11,tabellen!$H$11,'wgl tot'!BM59)*tabellen!$C$11,2)</f>
        <v>#DIV/0!</v>
      </c>
      <c r="BO59" s="163" t="e">
        <f>+'wgl tot'!BM59+'wgl tot'!BN59</f>
        <v>#DIV/0!</v>
      </c>
      <c r="BP59" s="164">
        <f t="shared" si="28"/>
        <v>1900</v>
      </c>
      <c r="BQ59" s="164">
        <f t="shared" si="29"/>
        <v>1</v>
      </c>
      <c r="BR59" s="157">
        <f t="shared" si="30"/>
        <v>0</v>
      </c>
      <c r="BS59" s="140">
        <f t="shared" si="16"/>
        <v>24227</v>
      </c>
      <c r="BT59" s="140">
        <f t="shared" ca="1" si="17"/>
        <v>43879.576672800926</v>
      </c>
      <c r="BU59" s="122"/>
      <c r="BV59" s="140"/>
      <c r="BW59" s="122"/>
      <c r="BX59" s="160"/>
      <c r="BY59" s="160"/>
      <c r="BZ59" s="160"/>
      <c r="CA59" s="160"/>
      <c r="CB59" s="160"/>
      <c r="CC59" s="160"/>
      <c r="CD59" s="113"/>
      <c r="CE59" s="113"/>
    </row>
    <row r="60" spans="1:83" s="124" customFormat="1" ht="12" customHeight="1" x14ac:dyDescent="0.2">
      <c r="A60" s="113"/>
      <c r="B60" s="114"/>
      <c r="C60" s="143"/>
      <c r="D60" s="149"/>
      <c r="E60" s="150"/>
      <c r="F60" s="151"/>
      <c r="G60" s="151"/>
      <c r="H60" s="152"/>
      <c r="I60" s="151"/>
      <c r="J60" s="153"/>
      <c r="K60" s="173">
        <f>IF(F60="",0,(VLOOKUP('wgl tot'!F60,saltab2020,'wgl tot'!G60+1,FALSE)))</f>
        <v>0</v>
      </c>
      <c r="L60" s="155">
        <f t="shared" si="31"/>
        <v>0</v>
      </c>
      <c r="M60" s="143"/>
      <c r="N60" s="173">
        <f>ROUND(IF(('wgl tot'!L60+'wgl tot'!P60)*BE60&lt;'wgl tot'!H60*tabellen!$D$44,'wgl tot'!H60*tabellen!$D$44,('wgl tot'!L60+'wgl tot'!P60)*BE60),2)</f>
        <v>0</v>
      </c>
      <c r="O60" s="173">
        <f>ROUND(+('wgl tot'!L60+'wgl tot'!P60)*BF60,2)</f>
        <v>0</v>
      </c>
      <c r="P60" s="173">
        <f>ROUND(IF(I60="j",VLOOKUP(BC60,uitlooptoeslag,2,FALSE))*IF('wgl tot'!H60&gt;1,1,'wgl tot'!H60),2)</f>
        <v>0</v>
      </c>
      <c r="Q60" s="173">
        <f>ROUND(IF(BH60="j",tabellen!$D$55*IF('wgl tot'!H60&gt;1,1,'wgl tot'!H60),0),2)</f>
        <v>0</v>
      </c>
      <c r="R60" s="173">
        <f>VLOOKUP(BG60,eindejaarsuitkering_OOP,2,TRUE)*'wgl tot'!H60/12</f>
        <v>0</v>
      </c>
      <c r="S60" s="173">
        <f>ROUND(H60*tabellen!$D$51,2)</f>
        <v>0</v>
      </c>
      <c r="T60" s="173">
        <f>ROUND(H60*tabellen!C$39,2)</f>
        <v>0</v>
      </c>
      <c r="U60" s="173">
        <f t="shared" si="12"/>
        <v>0</v>
      </c>
      <c r="V60" s="174">
        <f t="shared" si="23"/>
        <v>0</v>
      </c>
      <c r="W60" s="173">
        <f>('wgl tot'!L60+'wgl tot'!P60)*tabellen!$C$37*12</f>
        <v>0</v>
      </c>
      <c r="X60" s="155">
        <f t="shared" si="24"/>
        <v>0</v>
      </c>
      <c r="Y60" s="143"/>
      <c r="Z60" s="174">
        <f t="shared" si="19"/>
        <v>0</v>
      </c>
      <c r="AA60" s="207">
        <f>+'wgl tot'!W60/12</f>
        <v>0</v>
      </c>
      <c r="AB60" s="143"/>
      <c r="AC60" s="173">
        <f>IF(F60="",0,(IF('wgl tot'!V60/'wgl tot'!H60&lt;tabellen!$E$6,0,('wgl tot'!V60-tabellen!$E$6*'wgl tot'!H60)/12)*tabellen!$C$6))</f>
        <v>0</v>
      </c>
      <c r="AD60" s="173">
        <f>IF(F60="",0,(IF('wgl tot'!V60/'wgl tot'!H60&lt;tabellen!$E$7,0,(+'wgl tot'!V60-tabellen!$E$7*'wgl tot'!H60)/12)*tabellen!$C$7))</f>
        <v>0</v>
      </c>
      <c r="AE60" s="173">
        <f>'wgl tot'!V60/12*tabellen!$C$8</f>
        <v>0</v>
      </c>
      <c r="AF60" s="173">
        <f>IF(H60=0,0,IF(BM60&gt;tabellen!$G$9/12,tabellen!$G$9/12,BM60)*(tabellen!$C$9+tabellen!$C$10))</f>
        <v>0</v>
      </c>
      <c r="AG60" s="173">
        <f>IF(F60="",0,('wgl tot'!BN60))</f>
        <v>0</v>
      </c>
      <c r="AH60" s="175">
        <f>IF(F60="",0,(IF('wgl tot'!BM60&gt;tabellen!$G$12*'wgl tot'!H60/12,tabellen!$G$12*'wgl tot'!H60/12,'wgl tot'!BM60)*tabellen!$C$12))</f>
        <v>0</v>
      </c>
      <c r="AI60" s="143"/>
      <c r="AJ60" s="175">
        <f>IF(F60="",0,(L60+N60)*IF(J60=1,tabellen!$C$13,IF(J60=2,tabellen!$C$14,IF(J60=3,tabellen!$C$15,IF(J60=5,tabellen!$C$17,IF(J60=6,tabellen!$C$18,IF(J60=7,tabellen!$C$19,IF(J60=8,tabellen!$C$20,tabellen!$C$16))))))))</f>
        <v>0</v>
      </c>
      <c r="AK60" s="175">
        <f>IF(F60="",0,((L60+N60)*tabellen!$C$21))</f>
        <v>0</v>
      </c>
      <c r="AL60" s="224">
        <v>0</v>
      </c>
      <c r="AM60" s="143"/>
      <c r="AN60" s="224">
        <v>0</v>
      </c>
      <c r="AO60" s="143"/>
      <c r="AP60" s="155">
        <f t="shared" si="20"/>
        <v>0</v>
      </c>
      <c r="AQ60" s="155">
        <f t="shared" si="32"/>
        <v>0</v>
      </c>
      <c r="AR60" s="143"/>
      <c r="AS60" s="179" t="str">
        <f t="shared" si="25"/>
        <v/>
      </c>
      <c r="AT60" s="179" t="str">
        <f t="shared" si="26"/>
        <v/>
      </c>
      <c r="AU60" s="143"/>
      <c r="AV60" s="121"/>
      <c r="AW60" s="113"/>
      <c r="AX60" s="113"/>
      <c r="AY60" s="157">
        <f ca="1">YEAR('wgl tot'!$AY$9)-YEAR('wgl tot'!E60)</f>
        <v>120</v>
      </c>
      <c r="AZ60" s="157">
        <f ca="1">MONTH('wgl tot'!$AY$9)-MONTH('wgl tot'!E60)</f>
        <v>1</v>
      </c>
      <c r="BA60" s="157">
        <f ca="1">DAY('wgl tot'!$AY$9)-DAY('wgl tot'!E60)</f>
        <v>18</v>
      </c>
      <c r="BB60" s="122">
        <f>IF(AND('wgl tot'!F60&gt;0,'wgl tot'!F60&lt;17),0,100)</f>
        <v>100</v>
      </c>
      <c r="BC60" s="122">
        <f t="shared" si="27"/>
        <v>0</v>
      </c>
      <c r="BD60" s="140">
        <v>42583</v>
      </c>
      <c r="BE60" s="158">
        <f t="shared" si="18"/>
        <v>0.08</v>
      </c>
      <c r="BF60" s="159">
        <f>+tabellen!$D$45</f>
        <v>6.3E-2</v>
      </c>
      <c r="BG60" s="157">
        <f>IF('wgl tot'!BB60=100,0,'wgl tot'!F60)</f>
        <v>0</v>
      </c>
      <c r="BH60" s="159" t="str">
        <f>IF(OR('wgl tot'!F60="DA",'wgl tot'!F60="DB",'wgl tot'!F60="DBuit",'wgl tot'!F60="DC",'wgl tot'!F60="DCuit",MID('wgl tot'!F60,1,5)="meerh"),"j","n")</f>
        <v>n</v>
      </c>
      <c r="BI60" s="161" t="e">
        <f>IF('wgl tot'!V60/'wgl tot'!H60&lt;tabellen!$E$6,0,(+'wgl tot'!V60-tabellen!$E$6*'wgl tot'!H60)/12*tabellen!$D$6)</f>
        <v>#DIV/0!</v>
      </c>
      <c r="BJ60" s="161" t="e">
        <f>IF('wgl tot'!V60/'wgl tot'!H60&lt;tabellen!$E$7,0,(+'wgl tot'!V60-tabellen!$E$7*'wgl tot'!H60)/12*tabellen!$D$7)</f>
        <v>#DIV/0!</v>
      </c>
      <c r="BK60" s="161">
        <f>'wgl tot'!V60/12*tabellen!$D$8</f>
        <v>0</v>
      </c>
      <c r="BL60" s="162" t="e">
        <f t="shared" si="33"/>
        <v>#DIV/0!</v>
      </c>
      <c r="BM60" s="163" t="e">
        <f>+X60/12-'wgl tot'!BL60</f>
        <v>#DIV/0!</v>
      </c>
      <c r="BN60" s="163" t="e">
        <f>ROUND(IF('wgl tot'!BM60&gt;tabellen!$H$11,tabellen!$H$11,'wgl tot'!BM60)*tabellen!$C$11,2)</f>
        <v>#DIV/0!</v>
      </c>
      <c r="BO60" s="163" t="e">
        <f>+'wgl tot'!BM60+'wgl tot'!BN60</f>
        <v>#DIV/0!</v>
      </c>
      <c r="BP60" s="164">
        <f t="shared" si="28"/>
        <v>1900</v>
      </c>
      <c r="BQ60" s="164">
        <f t="shared" si="29"/>
        <v>1</v>
      </c>
      <c r="BR60" s="157">
        <f t="shared" si="30"/>
        <v>0</v>
      </c>
      <c r="BS60" s="140">
        <f t="shared" si="16"/>
        <v>24227</v>
      </c>
      <c r="BT60" s="140">
        <f t="shared" ca="1" si="17"/>
        <v>43879.576672800926</v>
      </c>
      <c r="BU60" s="122"/>
      <c r="BV60" s="140"/>
      <c r="BW60" s="122"/>
      <c r="BX60" s="160"/>
      <c r="BY60" s="160"/>
      <c r="BZ60" s="160"/>
      <c r="CA60" s="160"/>
      <c r="CB60" s="160"/>
      <c r="CC60" s="160"/>
      <c r="CD60" s="113"/>
      <c r="CE60" s="113"/>
    </row>
    <row r="61" spans="1:83" s="124" customFormat="1" ht="12" customHeight="1" x14ac:dyDescent="0.2">
      <c r="A61" s="113"/>
      <c r="B61" s="114"/>
      <c r="C61" s="143"/>
      <c r="D61" s="149"/>
      <c r="E61" s="150"/>
      <c r="F61" s="151"/>
      <c r="G61" s="151"/>
      <c r="H61" s="152"/>
      <c r="I61" s="151"/>
      <c r="J61" s="153"/>
      <c r="K61" s="173">
        <f>IF(F61="",0,(VLOOKUP('wgl tot'!F61,saltab2020,'wgl tot'!G61+1,FALSE)))</f>
        <v>0</v>
      </c>
      <c r="L61" s="155">
        <f t="shared" si="31"/>
        <v>0</v>
      </c>
      <c r="M61" s="143"/>
      <c r="N61" s="173">
        <f>ROUND(IF(('wgl tot'!L61+'wgl tot'!P61)*BE61&lt;'wgl tot'!H61*tabellen!$D$44,'wgl tot'!H61*tabellen!$D$44,('wgl tot'!L61+'wgl tot'!P61)*BE61),2)</f>
        <v>0</v>
      </c>
      <c r="O61" s="173">
        <f>ROUND(+('wgl tot'!L61+'wgl tot'!P61)*BF61,2)</f>
        <v>0</v>
      </c>
      <c r="P61" s="173">
        <f>ROUND(IF(I61="j",VLOOKUP(BC61,uitlooptoeslag,2,FALSE))*IF('wgl tot'!H61&gt;1,1,'wgl tot'!H61),2)</f>
        <v>0</v>
      </c>
      <c r="Q61" s="173">
        <f>ROUND(IF(BH61="j",tabellen!$D$55*IF('wgl tot'!H61&gt;1,1,'wgl tot'!H61),0),2)</f>
        <v>0</v>
      </c>
      <c r="R61" s="173">
        <f>VLOOKUP(BG61,eindejaarsuitkering_OOP,2,TRUE)*'wgl tot'!H61/12</f>
        <v>0</v>
      </c>
      <c r="S61" s="173">
        <f>ROUND(H61*tabellen!$D$51,2)</f>
        <v>0</v>
      </c>
      <c r="T61" s="173">
        <f>ROUND(H61*tabellen!C$39,2)</f>
        <v>0</v>
      </c>
      <c r="U61" s="173">
        <f t="shared" si="12"/>
        <v>0</v>
      </c>
      <c r="V61" s="174">
        <f t="shared" si="23"/>
        <v>0</v>
      </c>
      <c r="W61" s="173">
        <f>('wgl tot'!L61+'wgl tot'!P61)*tabellen!$C$37*12</f>
        <v>0</v>
      </c>
      <c r="X61" s="155">
        <f t="shared" si="24"/>
        <v>0</v>
      </c>
      <c r="Y61" s="143"/>
      <c r="Z61" s="174">
        <f t="shared" si="19"/>
        <v>0</v>
      </c>
      <c r="AA61" s="207">
        <f>+'wgl tot'!W61/12</f>
        <v>0</v>
      </c>
      <c r="AB61" s="143"/>
      <c r="AC61" s="173">
        <f>IF(F61="",0,(IF('wgl tot'!V61/'wgl tot'!H61&lt;tabellen!$E$6,0,('wgl tot'!V61-tabellen!$E$6*'wgl tot'!H61)/12)*tabellen!$C$6))</f>
        <v>0</v>
      </c>
      <c r="AD61" s="173">
        <f>IF(F61="",0,(IF('wgl tot'!V61/'wgl tot'!H61&lt;tabellen!$E$7,0,(+'wgl tot'!V61-tabellen!$E$7*'wgl tot'!H61)/12)*tabellen!$C$7))</f>
        <v>0</v>
      </c>
      <c r="AE61" s="173">
        <f>'wgl tot'!V61/12*tabellen!$C$8</f>
        <v>0</v>
      </c>
      <c r="AF61" s="173">
        <f>IF(H61=0,0,IF(BM61&gt;tabellen!$G$9/12,tabellen!$G$9/12,BM61)*(tabellen!$C$9+tabellen!$C$10))</f>
        <v>0</v>
      </c>
      <c r="AG61" s="173">
        <f>IF(F61="",0,('wgl tot'!BN61))</f>
        <v>0</v>
      </c>
      <c r="AH61" s="175">
        <f>IF(F61="",0,(IF('wgl tot'!BM61&gt;tabellen!$G$12*'wgl tot'!H61/12,tabellen!$G$12*'wgl tot'!H61/12,'wgl tot'!BM61)*tabellen!$C$12))</f>
        <v>0</v>
      </c>
      <c r="AI61" s="143"/>
      <c r="AJ61" s="175">
        <f>IF(F61="",0,(L61+N61)*IF(J61=1,tabellen!$C$13,IF(J61=2,tabellen!$C$14,IF(J61=3,tabellen!$C$15,IF(J61=5,tabellen!$C$17,IF(J61=6,tabellen!$C$18,IF(J61=7,tabellen!$C$19,IF(J61=8,tabellen!$C$20,tabellen!$C$16))))))))</f>
        <v>0</v>
      </c>
      <c r="AK61" s="175">
        <f>IF(F61="",0,((L61+N61)*tabellen!$C$21))</f>
        <v>0</v>
      </c>
      <c r="AL61" s="224">
        <v>0</v>
      </c>
      <c r="AM61" s="143"/>
      <c r="AN61" s="224">
        <v>0</v>
      </c>
      <c r="AO61" s="143"/>
      <c r="AP61" s="155">
        <f t="shared" si="20"/>
        <v>0</v>
      </c>
      <c r="AQ61" s="155">
        <f t="shared" si="32"/>
        <v>0</v>
      </c>
      <c r="AR61" s="143"/>
      <c r="AS61" s="179" t="str">
        <f t="shared" si="25"/>
        <v/>
      </c>
      <c r="AT61" s="179" t="str">
        <f t="shared" si="26"/>
        <v/>
      </c>
      <c r="AU61" s="143"/>
      <c r="AV61" s="121"/>
      <c r="AW61" s="113"/>
      <c r="AX61" s="113"/>
      <c r="AY61" s="157">
        <f ca="1">YEAR('wgl tot'!$AY$9)-YEAR('wgl tot'!E61)</f>
        <v>120</v>
      </c>
      <c r="AZ61" s="157">
        <f ca="1">MONTH('wgl tot'!$AY$9)-MONTH('wgl tot'!E61)</f>
        <v>1</v>
      </c>
      <c r="BA61" s="157">
        <f ca="1">DAY('wgl tot'!$AY$9)-DAY('wgl tot'!E61)</f>
        <v>18</v>
      </c>
      <c r="BB61" s="122">
        <f>IF(AND('wgl tot'!F61&gt;0,'wgl tot'!F61&lt;17),0,100)</f>
        <v>100</v>
      </c>
      <c r="BC61" s="122">
        <f t="shared" si="27"/>
        <v>0</v>
      </c>
      <c r="BD61" s="140">
        <v>42583</v>
      </c>
      <c r="BE61" s="158">
        <f t="shared" si="18"/>
        <v>0.08</v>
      </c>
      <c r="BF61" s="159">
        <f>+tabellen!$D$45</f>
        <v>6.3E-2</v>
      </c>
      <c r="BG61" s="157">
        <f>IF('wgl tot'!BB61=100,0,'wgl tot'!F61)</f>
        <v>0</v>
      </c>
      <c r="BH61" s="159" t="str">
        <f>IF(OR('wgl tot'!F61="DA",'wgl tot'!F61="DB",'wgl tot'!F61="DBuit",'wgl tot'!F61="DC",'wgl tot'!F61="DCuit",MID('wgl tot'!F61,1,5)="meerh"),"j","n")</f>
        <v>n</v>
      </c>
      <c r="BI61" s="161" t="e">
        <f>IF('wgl tot'!V61/'wgl tot'!H61&lt;tabellen!$E$6,0,(+'wgl tot'!V61-tabellen!$E$6*'wgl tot'!H61)/12*tabellen!$D$6)</f>
        <v>#DIV/0!</v>
      </c>
      <c r="BJ61" s="161" t="e">
        <f>IF('wgl tot'!V61/'wgl tot'!H61&lt;tabellen!$E$7,0,(+'wgl tot'!V61-tabellen!$E$7*'wgl tot'!H61)/12*tabellen!$D$7)</f>
        <v>#DIV/0!</v>
      </c>
      <c r="BK61" s="161">
        <f>'wgl tot'!V61/12*tabellen!$D$8</f>
        <v>0</v>
      </c>
      <c r="BL61" s="162" t="e">
        <f t="shared" si="33"/>
        <v>#DIV/0!</v>
      </c>
      <c r="BM61" s="163" t="e">
        <f>+X61/12-'wgl tot'!BL61</f>
        <v>#DIV/0!</v>
      </c>
      <c r="BN61" s="163" t="e">
        <f>ROUND(IF('wgl tot'!BM61&gt;tabellen!$H$11,tabellen!$H$11,'wgl tot'!BM61)*tabellen!$C$11,2)</f>
        <v>#DIV/0!</v>
      </c>
      <c r="BO61" s="163" t="e">
        <f>+'wgl tot'!BM61+'wgl tot'!BN61</f>
        <v>#DIV/0!</v>
      </c>
      <c r="BP61" s="164">
        <f t="shared" si="28"/>
        <v>1900</v>
      </c>
      <c r="BQ61" s="164">
        <f t="shared" si="29"/>
        <v>1</v>
      </c>
      <c r="BR61" s="157">
        <f t="shared" si="30"/>
        <v>0</v>
      </c>
      <c r="BS61" s="140">
        <f t="shared" si="16"/>
        <v>24227</v>
      </c>
      <c r="BT61" s="140">
        <f t="shared" ca="1" si="17"/>
        <v>43879.576672800926</v>
      </c>
      <c r="BU61" s="122"/>
      <c r="BV61" s="140"/>
      <c r="BW61" s="122"/>
      <c r="BX61" s="160"/>
      <c r="BY61" s="160"/>
      <c r="BZ61" s="160"/>
      <c r="CA61" s="160"/>
      <c r="CB61" s="160"/>
      <c r="CC61" s="160"/>
      <c r="CD61" s="113"/>
      <c r="CE61" s="113"/>
    </row>
    <row r="62" spans="1:83" s="124" customFormat="1" ht="12" customHeight="1" x14ac:dyDescent="0.2">
      <c r="A62" s="113"/>
      <c r="B62" s="114"/>
      <c r="C62" s="143"/>
      <c r="D62" s="149"/>
      <c r="E62" s="150"/>
      <c r="F62" s="151"/>
      <c r="G62" s="151"/>
      <c r="H62" s="152"/>
      <c r="I62" s="151"/>
      <c r="J62" s="153"/>
      <c r="K62" s="173">
        <f>IF(F62="",0,(VLOOKUP('wgl tot'!F62,saltab2020,'wgl tot'!G62+1,FALSE)))</f>
        <v>0</v>
      </c>
      <c r="L62" s="155">
        <f t="shared" si="31"/>
        <v>0</v>
      </c>
      <c r="M62" s="143"/>
      <c r="N62" s="173">
        <f>ROUND(IF(('wgl tot'!L62+'wgl tot'!P62)*BE62&lt;'wgl tot'!H62*tabellen!$D$44,'wgl tot'!H62*tabellen!$D$44,('wgl tot'!L62+'wgl tot'!P62)*BE62),2)</f>
        <v>0</v>
      </c>
      <c r="O62" s="173">
        <f>ROUND(+('wgl tot'!L62+'wgl tot'!P62)*BF62,2)</f>
        <v>0</v>
      </c>
      <c r="P62" s="173">
        <f>ROUND(IF(I62="j",VLOOKUP(BC62,uitlooptoeslag,2,FALSE))*IF('wgl tot'!H62&gt;1,1,'wgl tot'!H62),2)</f>
        <v>0</v>
      </c>
      <c r="Q62" s="173">
        <f>ROUND(IF(BH62="j",tabellen!$D$55*IF('wgl tot'!H62&gt;1,1,'wgl tot'!H62),0),2)</f>
        <v>0</v>
      </c>
      <c r="R62" s="173">
        <f>VLOOKUP(BG62,eindejaarsuitkering_OOP,2,TRUE)*'wgl tot'!H62/12</f>
        <v>0</v>
      </c>
      <c r="S62" s="173">
        <f>ROUND(H62*tabellen!$D$51,2)</f>
        <v>0</v>
      </c>
      <c r="T62" s="173">
        <f>ROUND(H62*tabellen!C$39,2)</f>
        <v>0</v>
      </c>
      <c r="U62" s="173">
        <f t="shared" si="12"/>
        <v>0</v>
      </c>
      <c r="V62" s="174">
        <f t="shared" si="23"/>
        <v>0</v>
      </c>
      <c r="W62" s="173">
        <f>('wgl tot'!L62+'wgl tot'!P62)*tabellen!$C$37*12</f>
        <v>0</v>
      </c>
      <c r="X62" s="155">
        <f t="shared" si="24"/>
        <v>0</v>
      </c>
      <c r="Y62" s="143"/>
      <c r="Z62" s="174">
        <f t="shared" si="19"/>
        <v>0</v>
      </c>
      <c r="AA62" s="207">
        <f>+'wgl tot'!W62/12</f>
        <v>0</v>
      </c>
      <c r="AB62" s="143"/>
      <c r="AC62" s="173">
        <f>IF(F62="",0,(IF('wgl tot'!V62/'wgl tot'!H62&lt;tabellen!$E$6,0,('wgl tot'!V62-tabellen!$E$6*'wgl tot'!H62)/12)*tabellen!$C$6))</f>
        <v>0</v>
      </c>
      <c r="AD62" s="173">
        <f>IF(F62="",0,(IF('wgl tot'!V62/'wgl tot'!H62&lt;tabellen!$E$7,0,(+'wgl tot'!V62-tabellen!$E$7*'wgl tot'!H62)/12)*tabellen!$C$7))</f>
        <v>0</v>
      </c>
      <c r="AE62" s="173">
        <f>'wgl tot'!V62/12*tabellen!$C$8</f>
        <v>0</v>
      </c>
      <c r="AF62" s="173">
        <f>IF(H62=0,0,IF(BM62&gt;tabellen!$G$9/12,tabellen!$G$9/12,BM62)*(tabellen!$C$9+tabellen!$C$10))</f>
        <v>0</v>
      </c>
      <c r="AG62" s="173">
        <f>IF(F62="",0,('wgl tot'!BN62))</f>
        <v>0</v>
      </c>
      <c r="AH62" s="175">
        <f>IF(F62="",0,(IF('wgl tot'!BM62&gt;tabellen!$G$12*'wgl tot'!H62/12,tabellen!$G$12*'wgl tot'!H62/12,'wgl tot'!BM62)*tabellen!$C$12))</f>
        <v>0</v>
      </c>
      <c r="AI62" s="143"/>
      <c r="AJ62" s="175">
        <f>IF(F62="",0,(L62+N62)*IF(J62=1,tabellen!$C$13,IF(J62=2,tabellen!$C$14,IF(J62=3,tabellen!$C$15,IF(J62=5,tabellen!$C$17,IF(J62=6,tabellen!$C$18,IF(J62=7,tabellen!$C$19,IF(J62=8,tabellen!$C$20,tabellen!$C$16))))))))</f>
        <v>0</v>
      </c>
      <c r="AK62" s="175">
        <f>IF(F62="",0,((L62+N62)*tabellen!$C$21))</f>
        <v>0</v>
      </c>
      <c r="AL62" s="224">
        <v>0</v>
      </c>
      <c r="AM62" s="143"/>
      <c r="AN62" s="224">
        <v>0</v>
      </c>
      <c r="AO62" s="143"/>
      <c r="AP62" s="155">
        <f t="shared" si="20"/>
        <v>0</v>
      </c>
      <c r="AQ62" s="155">
        <f t="shared" si="32"/>
        <v>0</v>
      </c>
      <c r="AR62" s="143"/>
      <c r="AS62" s="179" t="str">
        <f t="shared" si="25"/>
        <v/>
      </c>
      <c r="AT62" s="179" t="str">
        <f t="shared" si="26"/>
        <v/>
      </c>
      <c r="AU62" s="143"/>
      <c r="AV62" s="121"/>
      <c r="AW62" s="113"/>
      <c r="AX62" s="113"/>
      <c r="AY62" s="157">
        <f ca="1">YEAR('wgl tot'!$AY$9)-YEAR('wgl tot'!E62)</f>
        <v>120</v>
      </c>
      <c r="AZ62" s="157">
        <f ca="1">MONTH('wgl tot'!$AY$9)-MONTH('wgl tot'!E62)</f>
        <v>1</v>
      </c>
      <c r="BA62" s="157">
        <f ca="1">DAY('wgl tot'!$AY$9)-DAY('wgl tot'!E62)</f>
        <v>18</v>
      </c>
      <c r="BB62" s="122">
        <f>IF(AND('wgl tot'!F62&gt;0,'wgl tot'!F62&lt;17),0,100)</f>
        <v>100</v>
      </c>
      <c r="BC62" s="122">
        <f t="shared" si="27"/>
        <v>0</v>
      </c>
      <c r="BD62" s="140">
        <v>42583</v>
      </c>
      <c r="BE62" s="158">
        <f t="shared" si="18"/>
        <v>0.08</v>
      </c>
      <c r="BF62" s="159">
        <f>+tabellen!$D$45</f>
        <v>6.3E-2</v>
      </c>
      <c r="BG62" s="157">
        <f>IF('wgl tot'!BB62=100,0,'wgl tot'!F62)</f>
        <v>0</v>
      </c>
      <c r="BH62" s="159" t="str">
        <f>IF(OR('wgl tot'!F62="DA",'wgl tot'!F62="DB",'wgl tot'!F62="DBuit",'wgl tot'!F62="DC",'wgl tot'!F62="DCuit",MID('wgl tot'!F62,1,5)="meerh"),"j","n")</f>
        <v>n</v>
      </c>
      <c r="BI62" s="161" t="e">
        <f>IF('wgl tot'!V62/'wgl tot'!H62&lt;tabellen!$E$6,0,(+'wgl tot'!V62-tabellen!$E$6*'wgl tot'!H62)/12*tabellen!$D$6)</f>
        <v>#DIV/0!</v>
      </c>
      <c r="BJ62" s="161" t="e">
        <f>IF('wgl tot'!V62/'wgl tot'!H62&lt;tabellen!$E$7,0,(+'wgl tot'!V62-tabellen!$E$7*'wgl tot'!H62)/12*tabellen!$D$7)</f>
        <v>#DIV/0!</v>
      </c>
      <c r="BK62" s="161">
        <f>'wgl tot'!V62/12*tabellen!$D$8</f>
        <v>0</v>
      </c>
      <c r="BL62" s="162" t="e">
        <f t="shared" si="33"/>
        <v>#DIV/0!</v>
      </c>
      <c r="BM62" s="163" t="e">
        <f>+X62/12-'wgl tot'!BL62</f>
        <v>#DIV/0!</v>
      </c>
      <c r="BN62" s="163" t="e">
        <f>ROUND(IF('wgl tot'!BM62&gt;tabellen!$H$11,tabellen!$H$11,'wgl tot'!BM62)*tabellen!$C$11,2)</f>
        <v>#DIV/0!</v>
      </c>
      <c r="BO62" s="163" t="e">
        <f>+'wgl tot'!BM62+'wgl tot'!BN62</f>
        <v>#DIV/0!</v>
      </c>
      <c r="BP62" s="164">
        <f t="shared" si="28"/>
        <v>1900</v>
      </c>
      <c r="BQ62" s="164">
        <f t="shared" si="29"/>
        <v>1</v>
      </c>
      <c r="BR62" s="157">
        <f t="shared" si="30"/>
        <v>0</v>
      </c>
      <c r="BS62" s="140">
        <f t="shared" si="16"/>
        <v>24227</v>
      </c>
      <c r="BT62" s="140">
        <f t="shared" ca="1" si="17"/>
        <v>43879.576672800926</v>
      </c>
      <c r="BU62" s="122"/>
      <c r="BV62" s="140"/>
      <c r="BW62" s="122"/>
      <c r="BX62" s="160"/>
      <c r="BY62" s="160"/>
      <c r="BZ62" s="160"/>
      <c r="CA62" s="160"/>
      <c r="CB62" s="160"/>
      <c r="CC62" s="160"/>
      <c r="CD62" s="113"/>
      <c r="CE62" s="113"/>
    </row>
    <row r="63" spans="1:83" s="124" customFormat="1" ht="12" customHeight="1" x14ac:dyDescent="0.2">
      <c r="A63" s="113"/>
      <c r="B63" s="114"/>
      <c r="C63" s="143"/>
      <c r="D63" s="149"/>
      <c r="E63" s="150"/>
      <c r="F63" s="151"/>
      <c r="G63" s="151"/>
      <c r="H63" s="152"/>
      <c r="I63" s="151"/>
      <c r="J63" s="153"/>
      <c r="K63" s="173">
        <f>IF(F63="",0,(VLOOKUP('wgl tot'!F63,saltab2020,'wgl tot'!G63+1,FALSE)))</f>
        <v>0</v>
      </c>
      <c r="L63" s="155">
        <f t="shared" si="31"/>
        <v>0</v>
      </c>
      <c r="M63" s="143"/>
      <c r="N63" s="173">
        <f>ROUND(IF(('wgl tot'!L63+'wgl tot'!P63)*BE63&lt;'wgl tot'!H63*tabellen!$D$44,'wgl tot'!H63*tabellen!$D$44,('wgl tot'!L63+'wgl tot'!P63)*BE63),2)</f>
        <v>0</v>
      </c>
      <c r="O63" s="173">
        <f>ROUND(+('wgl tot'!L63+'wgl tot'!P63)*BF63,2)</f>
        <v>0</v>
      </c>
      <c r="P63" s="173">
        <f>ROUND(IF(I63="j",VLOOKUP(BC63,uitlooptoeslag,2,FALSE))*IF('wgl tot'!H63&gt;1,1,'wgl tot'!H63),2)</f>
        <v>0</v>
      </c>
      <c r="Q63" s="173">
        <f>ROUND(IF(BH63="j",tabellen!$D$55*IF('wgl tot'!H63&gt;1,1,'wgl tot'!H63),0),2)</f>
        <v>0</v>
      </c>
      <c r="R63" s="173">
        <f>VLOOKUP(BG63,eindejaarsuitkering_OOP,2,TRUE)*'wgl tot'!H63/12</f>
        <v>0</v>
      </c>
      <c r="S63" s="173">
        <f>ROUND(H63*tabellen!$D$51,2)</f>
        <v>0</v>
      </c>
      <c r="T63" s="173">
        <f>ROUND(H63*tabellen!C$39,2)</f>
        <v>0</v>
      </c>
      <c r="U63" s="173">
        <f t="shared" si="12"/>
        <v>0</v>
      </c>
      <c r="V63" s="174">
        <f t="shared" si="23"/>
        <v>0</v>
      </c>
      <c r="W63" s="173">
        <f>('wgl tot'!L63+'wgl tot'!P63)*tabellen!$C$37*12</f>
        <v>0</v>
      </c>
      <c r="X63" s="155">
        <f t="shared" si="24"/>
        <v>0</v>
      </c>
      <c r="Y63" s="143"/>
      <c r="Z63" s="174">
        <f t="shared" si="19"/>
        <v>0</v>
      </c>
      <c r="AA63" s="207">
        <f>+'wgl tot'!W63/12</f>
        <v>0</v>
      </c>
      <c r="AB63" s="143"/>
      <c r="AC63" s="173">
        <f>IF(F63="",0,(IF('wgl tot'!V63/'wgl tot'!H63&lt;tabellen!$E$6,0,('wgl tot'!V63-tabellen!$E$6*'wgl tot'!H63)/12)*tabellen!$C$6))</f>
        <v>0</v>
      </c>
      <c r="AD63" s="173">
        <f>IF(F63="",0,(IF('wgl tot'!V63/'wgl tot'!H63&lt;tabellen!$E$7,0,(+'wgl tot'!V63-tabellen!$E$7*'wgl tot'!H63)/12)*tabellen!$C$7))</f>
        <v>0</v>
      </c>
      <c r="AE63" s="173">
        <f>'wgl tot'!V63/12*tabellen!$C$8</f>
        <v>0</v>
      </c>
      <c r="AF63" s="173">
        <f>IF(H63=0,0,IF(BM63&gt;tabellen!$G$9/12,tabellen!$G$9/12,BM63)*(tabellen!$C$9+tabellen!$C$10))</f>
        <v>0</v>
      </c>
      <c r="AG63" s="173">
        <f>IF(F63="",0,('wgl tot'!BN63))</f>
        <v>0</v>
      </c>
      <c r="AH63" s="175">
        <f>IF(F63="",0,(IF('wgl tot'!BM63&gt;tabellen!$G$12*'wgl tot'!H63/12,tabellen!$G$12*'wgl tot'!H63/12,'wgl tot'!BM63)*tabellen!$C$12))</f>
        <v>0</v>
      </c>
      <c r="AI63" s="143"/>
      <c r="AJ63" s="175">
        <f>IF(F63="",0,(L63+N63)*IF(J63=1,tabellen!$C$13,IF(J63=2,tabellen!$C$14,IF(J63=3,tabellen!$C$15,IF(J63=5,tabellen!$C$17,IF(J63=6,tabellen!$C$18,IF(J63=7,tabellen!$C$19,IF(J63=8,tabellen!$C$20,tabellen!$C$16))))))))</f>
        <v>0</v>
      </c>
      <c r="AK63" s="175">
        <f>IF(F63="",0,((L63+N63)*tabellen!$C$21))</f>
        <v>0</v>
      </c>
      <c r="AL63" s="224">
        <v>0</v>
      </c>
      <c r="AM63" s="143"/>
      <c r="AN63" s="224">
        <v>0</v>
      </c>
      <c r="AO63" s="143"/>
      <c r="AP63" s="155">
        <f t="shared" si="20"/>
        <v>0</v>
      </c>
      <c r="AQ63" s="155">
        <f t="shared" si="32"/>
        <v>0</v>
      </c>
      <c r="AR63" s="143"/>
      <c r="AS63" s="179" t="str">
        <f t="shared" si="25"/>
        <v/>
      </c>
      <c r="AT63" s="179" t="str">
        <f t="shared" si="26"/>
        <v/>
      </c>
      <c r="AU63" s="143"/>
      <c r="AV63" s="121"/>
      <c r="AW63" s="113"/>
      <c r="AX63" s="113"/>
      <c r="AY63" s="157">
        <f ca="1">YEAR('wgl tot'!$AY$9)-YEAR('wgl tot'!E63)</f>
        <v>120</v>
      </c>
      <c r="AZ63" s="157">
        <f ca="1">MONTH('wgl tot'!$AY$9)-MONTH('wgl tot'!E63)</f>
        <v>1</v>
      </c>
      <c r="BA63" s="157">
        <f ca="1">DAY('wgl tot'!$AY$9)-DAY('wgl tot'!E63)</f>
        <v>18</v>
      </c>
      <c r="BB63" s="122">
        <f>IF(AND('wgl tot'!F63&gt;0,'wgl tot'!F63&lt;17),0,100)</f>
        <v>100</v>
      </c>
      <c r="BC63" s="122">
        <f t="shared" si="27"/>
        <v>0</v>
      </c>
      <c r="BD63" s="140">
        <v>42583</v>
      </c>
      <c r="BE63" s="158">
        <f t="shared" si="18"/>
        <v>0.08</v>
      </c>
      <c r="BF63" s="159">
        <f>+tabellen!$D$45</f>
        <v>6.3E-2</v>
      </c>
      <c r="BG63" s="157">
        <f>IF('wgl tot'!BB63=100,0,'wgl tot'!F63)</f>
        <v>0</v>
      </c>
      <c r="BH63" s="159" t="str">
        <f>IF(OR('wgl tot'!F63="DA",'wgl tot'!F63="DB",'wgl tot'!F63="DBuit",'wgl tot'!F63="DC",'wgl tot'!F63="DCuit",MID('wgl tot'!F63,1,5)="meerh"),"j","n")</f>
        <v>n</v>
      </c>
      <c r="BI63" s="161" t="e">
        <f>IF('wgl tot'!V63/'wgl tot'!H63&lt;tabellen!$E$6,0,(+'wgl tot'!V63-tabellen!$E$6*'wgl tot'!H63)/12*tabellen!$D$6)</f>
        <v>#DIV/0!</v>
      </c>
      <c r="BJ63" s="161" t="e">
        <f>IF('wgl tot'!V63/'wgl tot'!H63&lt;tabellen!$E$7,0,(+'wgl tot'!V63-tabellen!$E$7*'wgl tot'!H63)/12*tabellen!$D$7)</f>
        <v>#DIV/0!</v>
      </c>
      <c r="BK63" s="161">
        <f>'wgl tot'!V63/12*tabellen!$D$8</f>
        <v>0</v>
      </c>
      <c r="BL63" s="162" t="e">
        <f t="shared" si="33"/>
        <v>#DIV/0!</v>
      </c>
      <c r="BM63" s="163" t="e">
        <f>+X63/12-'wgl tot'!BL63</f>
        <v>#DIV/0!</v>
      </c>
      <c r="BN63" s="163" t="e">
        <f>ROUND(IF('wgl tot'!BM63&gt;tabellen!$H$11,tabellen!$H$11,'wgl tot'!BM63)*tabellen!$C$11,2)</f>
        <v>#DIV/0!</v>
      </c>
      <c r="BO63" s="163" t="e">
        <f>+'wgl tot'!BM63+'wgl tot'!BN63</f>
        <v>#DIV/0!</v>
      </c>
      <c r="BP63" s="164">
        <f t="shared" si="28"/>
        <v>1900</v>
      </c>
      <c r="BQ63" s="164">
        <f t="shared" si="29"/>
        <v>1</v>
      </c>
      <c r="BR63" s="157">
        <f t="shared" si="30"/>
        <v>0</v>
      </c>
      <c r="BS63" s="140">
        <f t="shared" si="16"/>
        <v>24227</v>
      </c>
      <c r="BT63" s="140">
        <f t="shared" ca="1" si="17"/>
        <v>43879.576672800926</v>
      </c>
      <c r="BU63" s="122"/>
      <c r="BV63" s="140"/>
      <c r="BW63" s="122"/>
      <c r="BX63" s="160"/>
      <c r="BY63" s="160"/>
      <c r="BZ63" s="160"/>
      <c r="CA63" s="160"/>
      <c r="CB63" s="160"/>
      <c r="CC63" s="160"/>
      <c r="CD63" s="113"/>
      <c r="CE63" s="113"/>
    </row>
    <row r="64" spans="1:83" s="124" customFormat="1" ht="12" customHeight="1" x14ac:dyDescent="0.2">
      <c r="A64" s="113"/>
      <c r="B64" s="114"/>
      <c r="C64" s="143"/>
      <c r="D64" s="149"/>
      <c r="E64" s="150"/>
      <c r="F64" s="151"/>
      <c r="G64" s="151"/>
      <c r="H64" s="152"/>
      <c r="I64" s="151"/>
      <c r="J64" s="153"/>
      <c r="K64" s="173">
        <f>IF(F64="",0,(VLOOKUP('wgl tot'!F64,saltab2020,'wgl tot'!G64+1,FALSE)))</f>
        <v>0</v>
      </c>
      <c r="L64" s="155">
        <f t="shared" si="31"/>
        <v>0</v>
      </c>
      <c r="M64" s="143"/>
      <c r="N64" s="173">
        <f>ROUND(IF(('wgl tot'!L64+'wgl tot'!P64)*BE64&lt;'wgl tot'!H64*tabellen!$D$44,'wgl tot'!H64*tabellen!$D$44,('wgl tot'!L64+'wgl tot'!P64)*BE64),2)</f>
        <v>0</v>
      </c>
      <c r="O64" s="173">
        <f>ROUND(+('wgl tot'!L64+'wgl tot'!P64)*BF64,2)</f>
        <v>0</v>
      </c>
      <c r="P64" s="173">
        <f>ROUND(IF(I64="j",VLOOKUP(BC64,uitlooptoeslag,2,FALSE))*IF('wgl tot'!H64&gt;1,1,'wgl tot'!H64),2)</f>
        <v>0</v>
      </c>
      <c r="Q64" s="173">
        <f>ROUND(IF(BH64="j",tabellen!$D$55*IF('wgl tot'!H64&gt;1,1,'wgl tot'!H64),0),2)</f>
        <v>0</v>
      </c>
      <c r="R64" s="173">
        <f>VLOOKUP(BG64,eindejaarsuitkering_OOP,2,TRUE)*'wgl tot'!H64/12</f>
        <v>0</v>
      </c>
      <c r="S64" s="173">
        <f>ROUND(H64*tabellen!$D$51,2)</f>
        <v>0</v>
      </c>
      <c r="T64" s="173">
        <f>ROUND(H64*tabellen!C$39,2)</f>
        <v>0</v>
      </c>
      <c r="U64" s="173">
        <f t="shared" si="12"/>
        <v>0</v>
      </c>
      <c r="V64" s="174">
        <f t="shared" si="23"/>
        <v>0</v>
      </c>
      <c r="W64" s="173">
        <f>('wgl tot'!L64+'wgl tot'!P64)*tabellen!$C$37*12</f>
        <v>0</v>
      </c>
      <c r="X64" s="155">
        <f t="shared" si="24"/>
        <v>0</v>
      </c>
      <c r="Y64" s="143"/>
      <c r="Z64" s="174">
        <f t="shared" si="19"/>
        <v>0</v>
      </c>
      <c r="AA64" s="207">
        <f>+'wgl tot'!W64/12</f>
        <v>0</v>
      </c>
      <c r="AB64" s="143"/>
      <c r="AC64" s="173">
        <f>IF(F64="",0,(IF('wgl tot'!V64/'wgl tot'!H64&lt;tabellen!$E$6,0,('wgl tot'!V64-tabellen!$E$6*'wgl tot'!H64)/12)*tabellen!$C$6))</f>
        <v>0</v>
      </c>
      <c r="AD64" s="173">
        <f>IF(F64="",0,(IF('wgl tot'!V64/'wgl tot'!H64&lt;tabellen!$E$7,0,(+'wgl tot'!V64-tabellen!$E$7*'wgl tot'!H64)/12)*tabellen!$C$7))</f>
        <v>0</v>
      </c>
      <c r="AE64" s="173">
        <f>'wgl tot'!V64/12*tabellen!$C$8</f>
        <v>0</v>
      </c>
      <c r="AF64" s="173">
        <f>IF(H64=0,0,IF(BM64&gt;tabellen!$G$9/12,tabellen!$G$9/12,BM64)*(tabellen!$C$9+tabellen!$C$10))</f>
        <v>0</v>
      </c>
      <c r="AG64" s="173">
        <f>IF(F64="",0,('wgl tot'!BN64))</f>
        <v>0</v>
      </c>
      <c r="AH64" s="175">
        <f>IF(F64="",0,(IF('wgl tot'!BM64&gt;tabellen!$G$12*'wgl tot'!H64/12,tabellen!$G$12*'wgl tot'!H64/12,'wgl tot'!BM64)*tabellen!$C$12))</f>
        <v>0</v>
      </c>
      <c r="AI64" s="143"/>
      <c r="AJ64" s="175">
        <f>IF(F64="",0,(L64+N64)*IF(J64=1,tabellen!$C$13,IF(J64=2,tabellen!$C$14,IF(J64=3,tabellen!$C$15,IF(J64=5,tabellen!$C$17,IF(J64=6,tabellen!$C$18,IF(J64=7,tabellen!$C$19,IF(J64=8,tabellen!$C$20,tabellen!$C$16))))))))</f>
        <v>0</v>
      </c>
      <c r="AK64" s="175">
        <f>IF(F64="",0,((L64+N64)*tabellen!$C$21))</f>
        <v>0</v>
      </c>
      <c r="AL64" s="224">
        <v>0</v>
      </c>
      <c r="AM64" s="143"/>
      <c r="AN64" s="224">
        <v>0</v>
      </c>
      <c r="AO64" s="143"/>
      <c r="AP64" s="155">
        <f t="shared" si="20"/>
        <v>0</v>
      </c>
      <c r="AQ64" s="155">
        <f t="shared" si="32"/>
        <v>0</v>
      </c>
      <c r="AR64" s="143"/>
      <c r="AS64" s="179" t="str">
        <f t="shared" si="25"/>
        <v/>
      </c>
      <c r="AT64" s="179" t="str">
        <f t="shared" si="26"/>
        <v/>
      </c>
      <c r="AU64" s="143"/>
      <c r="AV64" s="121"/>
      <c r="AW64" s="113"/>
      <c r="AX64" s="113"/>
      <c r="AY64" s="157">
        <f ca="1">YEAR('wgl tot'!$AY$9)-YEAR('wgl tot'!E64)</f>
        <v>120</v>
      </c>
      <c r="AZ64" s="157">
        <f ca="1">MONTH('wgl tot'!$AY$9)-MONTH('wgl tot'!E64)</f>
        <v>1</v>
      </c>
      <c r="BA64" s="157">
        <f ca="1">DAY('wgl tot'!$AY$9)-DAY('wgl tot'!E64)</f>
        <v>18</v>
      </c>
      <c r="BB64" s="122">
        <f>IF(AND('wgl tot'!F64&gt;0,'wgl tot'!F64&lt;17),0,100)</f>
        <v>100</v>
      </c>
      <c r="BC64" s="122">
        <f t="shared" si="27"/>
        <v>0</v>
      </c>
      <c r="BD64" s="140">
        <v>42583</v>
      </c>
      <c r="BE64" s="158">
        <f t="shared" si="18"/>
        <v>0.08</v>
      </c>
      <c r="BF64" s="159">
        <f>+tabellen!$D$45</f>
        <v>6.3E-2</v>
      </c>
      <c r="BG64" s="157">
        <f>IF('wgl tot'!BB64=100,0,'wgl tot'!F64)</f>
        <v>0</v>
      </c>
      <c r="BH64" s="159" t="str">
        <f>IF(OR('wgl tot'!F64="DA",'wgl tot'!F64="DB",'wgl tot'!F64="DBuit",'wgl tot'!F64="DC",'wgl tot'!F64="DCuit",MID('wgl tot'!F64,1,5)="meerh"),"j","n")</f>
        <v>n</v>
      </c>
      <c r="BI64" s="161" t="e">
        <f>IF('wgl tot'!V64/'wgl tot'!H64&lt;tabellen!$E$6,0,(+'wgl tot'!V64-tabellen!$E$6*'wgl tot'!H64)/12*tabellen!$D$6)</f>
        <v>#DIV/0!</v>
      </c>
      <c r="BJ64" s="161" t="e">
        <f>IF('wgl tot'!V64/'wgl tot'!H64&lt;tabellen!$E$7,0,(+'wgl tot'!V64-tabellen!$E$7*'wgl tot'!H64)/12*tabellen!$D$7)</f>
        <v>#DIV/0!</v>
      </c>
      <c r="BK64" s="161">
        <f>'wgl tot'!V64/12*tabellen!$D$8</f>
        <v>0</v>
      </c>
      <c r="BL64" s="162" t="e">
        <f t="shared" si="33"/>
        <v>#DIV/0!</v>
      </c>
      <c r="BM64" s="163" t="e">
        <f>+X64/12-'wgl tot'!BL64</f>
        <v>#DIV/0!</v>
      </c>
      <c r="BN64" s="163" t="e">
        <f>ROUND(IF('wgl tot'!BM64&gt;tabellen!$H$11,tabellen!$H$11,'wgl tot'!BM64)*tabellen!$C$11,2)</f>
        <v>#DIV/0!</v>
      </c>
      <c r="BO64" s="163" t="e">
        <f>+'wgl tot'!BM64+'wgl tot'!BN64</f>
        <v>#DIV/0!</v>
      </c>
      <c r="BP64" s="164">
        <f t="shared" si="28"/>
        <v>1900</v>
      </c>
      <c r="BQ64" s="164">
        <f t="shared" si="29"/>
        <v>1</v>
      </c>
      <c r="BR64" s="157">
        <f t="shared" si="30"/>
        <v>0</v>
      </c>
      <c r="BS64" s="140">
        <f t="shared" si="16"/>
        <v>24227</v>
      </c>
      <c r="BT64" s="140">
        <f t="shared" ca="1" si="17"/>
        <v>43879.576672800926</v>
      </c>
      <c r="BU64" s="122"/>
      <c r="BV64" s="140"/>
      <c r="BW64" s="122"/>
      <c r="BX64" s="160"/>
      <c r="BY64" s="160"/>
      <c r="BZ64" s="160"/>
      <c r="CA64" s="160"/>
      <c r="CB64" s="160"/>
      <c r="CC64" s="160"/>
      <c r="CD64" s="113"/>
      <c r="CE64" s="113"/>
    </row>
    <row r="65" spans="1:83" s="124" customFormat="1" ht="12" customHeight="1" x14ac:dyDescent="0.2">
      <c r="A65" s="113"/>
      <c r="B65" s="114"/>
      <c r="C65" s="143"/>
      <c r="D65" s="149"/>
      <c r="E65" s="150"/>
      <c r="F65" s="151"/>
      <c r="G65" s="151"/>
      <c r="H65" s="152"/>
      <c r="I65" s="151"/>
      <c r="J65" s="153"/>
      <c r="K65" s="173">
        <f>IF(F65="",0,(VLOOKUP('wgl tot'!F65,saltab2020,'wgl tot'!G65+1,FALSE)))</f>
        <v>0</v>
      </c>
      <c r="L65" s="155">
        <f t="shared" si="31"/>
        <v>0</v>
      </c>
      <c r="M65" s="143"/>
      <c r="N65" s="173">
        <f>ROUND(IF(('wgl tot'!L65+'wgl tot'!P65)*BE65&lt;'wgl tot'!H65*tabellen!$D$44,'wgl tot'!H65*tabellen!$D$44,('wgl tot'!L65+'wgl tot'!P65)*BE65),2)</f>
        <v>0</v>
      </c>
      <c r="O65" s="173">
        <f>ROUND(+('wgl tot'!L65+'wgl tot'!P65)*BF65,2)</f>
        <v>0</v>
      </c>
      <c r="P65" s="173">
        <f>ROUND(IF(I65="j",VLOOKUP(BC65,uitlooptoeslag,2,FALSE))*IF('wgl tot'!H65&gt;1,1,'wgl tot'!H65),2)</f>
        <v>0</v>
      </c>
      <c r="Q65" s="173">
        <f>ROUND(IF(BH65="j",tabellen!$D$55*IF('wgl tot'!H65&gt;1,1,'wgl tot'!H65),0),2)</f>
        <v>0</v>
      </c>
      <c r="R65" s="173">
        <f>VLOOKUP(BG65,eindejaarsuitkering_OOP,2,TRUE)*'wgl tot'!H65/12</f>
        <v>0</v>
      </c>
      <c r="S65" s="173">
        <f>ROUND(H65*tabellen!$D$51,2)</f>
        <v>0</v>
      </c>
      <c r="T65" s="173">
        <f>ROUND(H65*tabellen!C$39,2)</f>
        <v>0</v>
      </c>
      <c r="U65" s="173">
        <f t="shared" si="12"/>
        <v>0</v>
      </c>
      <c r="V65" s="174">
        <f t="shared" si="23"/>
        <v>0</v>
      </c>
      <c r="W65" s="173">
        <f>('wgl tot'!L65+'wgl tot'!P65)*tabellen!$C$37*12</f>
        <v>0</v>
      </c>
      <c r="X65" s="155">
        <f t="shared" si="24"/>
        <v>0</v>
      </c>
      <c r="Y65" s="143"/>
      <c r="Z65" s="174">
        <f t="shared" si="19"/>
        <v>0</v>
      </c>
      <c r="AA65" s="207">
        <f>+'wgl tot'!W65/12</f>
        <v>0</v>
      </c>
      <c r="AB65" s="143"/>
      <c r="AC65" s="173">
        <f>IF(F65="",0,(IF('wgl tot'!V65/'wgl tot'!H65&lt;tabellen!$E$6,0,('wgl tot'!V65-tabellen!$E$6*'wgl tot'!H65)/12)*tabellen!$C$6))</f>
        <v>0</v>
      </c>
      <c r="AD65" s="173">
        <f>IF(F65="",0,(IF('wgl tot'!V65/'wgl tot'!H65&lt;tabellen!$E$7,0,(+'wgl tot'!V65-tabellen!$E$7*'wgl tot'!H65)/12)*tabellen!$C$7))</f>
        <v>0</v>
      </c>
      <c r="AE65" s="173">
        <f>'wgl tot'!V65/12*tabellen!$C$8</f>
        <v>0</v>
      </c>
      <c r="AF65" s="173">
        <f>IF(H65=0,0,IF(BM65&gt;tabellen!$G$9/12,tabellen!$G$9/12,BM65)*(tabellen!$C$9+tabellen!$C$10))</f>
        <v>0</v>
      </c>
      <c r="AG65" s="173">
        <f>IF(F65="",0,('wgl tot'!BN65))</f>
        <v>0</v>
      </c>
      <c r="AH65" s="175">
        <f>IF(F65="",0,(IF('wgl tot'!BM65&gt;tabellen!$G$12*'wgl tot'!H65/12,tabellen!$G$12*'wgl tot'!H65/12,'wgl tot'!BM65)*tabellen!$C$12))</f>
        <v>0</v>
      </c>
      <c r="AI65" s="143"/>
      <c r="AJ65" s="175">
        <f>IF(F65="",0,(L65+N65)*IF(J65=1,tabellen!$C$13,IF(J65=2,tabellen!$C$14,IF(J65=3,tabellen!$C$15,IF(J65=5,tabellen!$C$17,IF(J65=6,tabellen!$C$18,IF(J65=7,tabellen!$C$19,IF(J65=8,tabellen!$C$20,tabellen!$C$16))))))))</f>
        <v>0</v>
      </c>
      <c r="AK65" s="175">
        <f>IF(F65="",0,((L65+N65)*tabellen!$C$21))</f>
        <v>0</v>
      </c>
      <c r="AL65" s="224">
        <v>0</v>
      </c>
      <c r="AM65" s="143"/>
      <c r="AN65" s="224">
        <v>0</v>
      </c>
      <c r="AO65" s="143"/>
      <c r="AP65" s="155">
        <f t="shared" si="20"/>
        <v>0</v>
      </c>
      <c r="AQ65" s="155">
        <f t="shared" si="32"/>
        <v>0</v>
      </c>
      <c r="AR65" s="143"/>
      <c r="AS65" s="179" t="str">
        <f t="shared" si="25"/>
        <v/>
      </c>
      <c r="AT65" s="179" t="str">
        <f t="shared" si="26"/>
        <v/>
      </c>
      <c r="AU65" s="143"/>
      <c r="AV65" s="121"/>
      <c r="AW65" s="113"/>
      <c r="AX65" s="113"/>
      <c r="AY65" s="157">
        <f ca="1">YEAR('wgl tot'!$AY$9)-YEAR('wgl tot'!E65)</f>
        <v>120</v>
      </c>
      <c r="AZ65" s="157">
        <f ca="1">MONTH('wgl tot'!$AY$9)-MONTH('wgl tot'!E65)</f>
        <v>1</v>
      </c>
      <c r="BA65" s="157">
        <f ca="1">DAY('wgl tot'!$AY$9)-DAY('wgl tot'!E65)</f>
        <v>18</v>
      </c>
      <c r="BB65" s="122">
        <f>IF(AND('wgl tot'!F65&gt;0,'wgl tot'!F65&lt;17),0,100)</f>
        <v>100</v>
      </c>
      <c r="BC65" s="122">
        <f t="shared" si="27"/>
        <v>0</v>
      </c>
      <c r="BD65" s="140">
        <v>42583</v>
      </c>
      <c r="BE65" s="158">
        <f t="shared" si="18"/>
        <v>0.08</v>
      </c>
      <c r="BF65" s="159">
        <f>+tabellen!$D$45</f>
        <v>6.3E-2</v>
      </c>
      <c r="BG65" s="157">
        <f>IF('wgl tot'!BB65=100,0,'wgl tot'!F65)</f>
        <v>0</v>
      </c>
      <c r="BH65" s="159" t="str">
        <f>IF(OR('wgl tot'!F65="DA",'wgl tot'!F65="DB",'wgl tot'!F65="DBuit",'wgl tot'!F65="DC",'wgl tot'!F65="DCuit",MID('wgl tot'!F65,1,5)="meerh"),"j","n")</f>
        <v>n</v>
      </c>
      <c r="BI65" s="161" t="e">
        <f>IF('wgl tot'!V65/'wgl tot'!H65&lt;tabellen!$E$6,0,(+'wgl tot'!V65-tabellen!$E$6*'wgl tot'!H65)/12*tabellen!$D$6)</f>
        <v>#DIV/0!</v>
      </c>
      <c r="BJ65" s="161" t="e">
        <f>IF('wgl tot'!V65/'wgl tot'!H65&lt;tabellen!$E$7,0,(+'wgl tot'!V65-tabellen!$E$7*'wgl tot'!H65)/12*tabellen!$D$7)</f>
        <v>#DIV/0!</v>
      </c>
      <c r="BK65" s="161">
        <f>'wgl tot'!V65/12*tabellen!$D$8</f>
        <v>0</v>
      </c>
      <c r="BL65" s="162" t="e">
        <f t="shared" si="33"/>
        <v>#DIV/0!</v>
      </c>
      <c r="BM65" s="163" t="e">
        <f>+X65/12-'wgl tot'!BL65</f>
        <v>#DIV/0!</v>
      </c>
      <c r="BN65" s="163" t="e">
        <f>ROUND(IF('wgl tot'!BM65&gt;tabellen!$H$11,tabellen!$H$11,'wgl tot'!BM65)*tabellen!$C$11,2)</f>
        <v>#DIV/0!</v>
      </c>
      <c r="BO65" s="163" t="e">
        <f>+'wgl tot'!BM65+'wgl tot'!BN65</f>
        <v>#DIV/0!</v>
      </c>
      <c r="BP65" s="164">
        <f t="shared" si="28"/>
        <v>1900</v>
      </c>
      <c r="BQ65" s="164">
        <f t="shared" si="29"/>
        <v>1</v>
      </c>
      <c r="BR65" s="157">
        <f t="shared" si="30"/>
        <v>0</v>
      </c>
      <c r="BS65" s="140">
        <f t="shared" si="16"/>
        <v>24227</v>
      </c>
      <c r="BT65" s="140">
        <f t="shared" ca="1" si="17"/>
        <v>43879.576672800926</v>
      </c>
      <c r="BU65" s="122"/>
      <c r="BV65" s="140"/>
      <c r="BW65" s="122"/>
      <c r="BX65" s="160"/>
      <c r="BY65" s="160"/>
      <c r="BZ65" s="160"/>
      <c r="CA65" s="160"/>
      <c r="CB65" s="160"/>
      <c r="CC65" s="160"/>
      <c r="CD65" s="113"/>
      <c r="CE65" s="113"/>
    </row>
    <row r="66" spans="1:83" s="124" customFormat="1" ht="12" customHeight="1" x14ac:dyDescent="0.2">
      <c r="A66" s="113"/>
      <c r="B66" s="114"/>
      <c r="C66" s="143"/>
      <c r="D66" s="149"/>
      <c r="E66" s="150"/>
      <c r="F66" s="151"/>
      <c r="G66" s="151"/>
      <c r="H66" s="152"/>
      <c r="I66" s="151"/>
      <c r="J66" s="153"/>
      <c r="K66" s="173">
        <f>IF(F66="",0,(VLOOKUP('wgl tot'!F66,saltab2020,'wgl tot'!G66+1,FALSE)))</f>
        <v>0</v>
      </c>
      <c r="L66" s="155">
        <f t="shared" si="31"/>
        <v>0</v>
      </c>
      <c r="M66" s="143"/>
      <c r="N66" s="173">
        <f>ROUND(IF(('wgl tot'!L66+'wgl tot'!P66)*BE66&lt;'wgl tot'!H66*tabellen!$D$44,'wgl tot'!H66*tabellen!$D$44,('wgl tot'!L66+'wgl tot'!P66)*BE66),2)</f>
        <v>0</v>
      </c>
      <c r="O66" s="173">
        <f>ROUND(+('wgl tot'!L66+'wgl tot'!P66)*BF66,2)</f>
        <v>0</v>
      </c>
      <c r="P66" s="173">
        <f>ROUND(IF(I66="j",VLOOKUP(BC66,uitlooptoeslag,2,FALSE))*IF('wgl tot'!H66&gt;1,1,'wgl tot'!H66),2)</f>
        <v>0</v>
      </c>
      <c r="Q66" s="173">
        <f>ROUND(IF(BH66="j",tabellen!$D$55*IF('wgl tot'!H66&gt;1,1,'wgl tot'!H66),0),2)</f>
        <v>0</v>
      </c>
      <c r="R66" s="173">
        <f>VLOOKUP(BG66,eindejaarsuitkering_OOP,2,TRUE)*'wgl tot'!H66/12</f>
        <v>0</v>
      </c>
      <c r="S66" s="173">
        <f>ROUND(H66*tabellen!$D$51,2)</f>
        <v>0</v>
      </c>
      <c r="T66" s="173">
        <f>ROUND(H66*tabellen!C$39,2)</f>
        <v>0</v>
      </c>
      <c r="U66" s="173">
        <f t="shared" si="12"/>
        <v>0</v>
      </c>
      <c r="V66" s="174">
        <f t="shared" si="23"/>
        <v>0</v>
      </c>
      <c r="W66" s="173">
        <f>('wgl tot'!L66+'wgl tot'!P66)*tabellen!$C$37*12</f>
        <v>0</v>
      </c>
      <c r="X66" s="155">
        <f t="shared" si="24"/>
        <v>0</v>
      </c>
      <c r="Y66" s="143"/>
      <c r="Z66" s="174">
        <f t="shared" si="19"/>
        <v>0</v>
      </c>
      <c r="AA66" s="207">
        <f>+'wgl tot'!W66/12</f>
        <v>0</v>
      </c>
      <c r="AB66" s="143"/>
      <c r="AC66" s="173">
        <f>IF(F66="",0,(IF('wgl tot'!V66/'wgl tot'!H66&lt;tabellen!$E$6,0,('wgl tot'!V66-tabellen!$E$6*'wgl tot'!H66)/12)*tabellen!$C$6))</f>
        <v>0</v>
      </c>
      <c r="AD66" s="173">
        <f>IF(F66="",0,(IF('wgl tot'!V66/'wgl tot'!H66&lt;tabellen!$E$7,0,(+'wgl tot'!V66-tabellen!$E$7*'wgl tot'!H66)/12)*tabellen!$C$7))</f>
        <v>0</v>
      </c>
      <c r="AE66" s="173">
        <f>'wgl tot'!V66/12*tabellen!$C$8</f>
        <v>0</v>
      </c>
      <c r="AF66" s="173">
        <f>IF(H66=0,0,IF(BM66&gt;tabellen!$G$9/12,tabellen!$G$9/12,BM66)*(tabellen!$C$9+tabellen!$C$10))</f>
        <v>0</v>
      </c>
      <c r="AG66" s="173">
        <f>IF(F66="",0,('wgl tot'!BN66))</f>
        <v>0</v>
      </c>
      <c r="AH66" s="175">
        <f>IF(F66="",0,(IF('wgl tot'!BM66&gt;tabellen!$G$12*'wgl tot'!H66/12,tabellen!$G$12*'wgl tot'!H66/12,'wgl tot'!BM66)*tabellen!$C$12))</f>
        <v>0</v>
      </c>
      <c r="AI66" s="143"/>
      <c r="AJ66" s="175">
        <f>IF(F66="",0,(L66+N66)*IF(J66=1,tabellen!$C$13,IF(J66=2,tabellen!$C$14,IF(J66=3,tabellen!$C$15,IF(J66=5,tabellen!$C$17,IF(J66=6,tabellen!$C$18,IF(J66=7,tabellen!$C$19,IF(J66=8,tabellen!$C$20,tabellen!$C$16))))))))</f>
        <v>0</v>
      </c>
      <c r="AK66" s="175">
        <f>IF(F66="",0,((L66+N66)*tabellen!$C$21))</f>
        <v>0</v>
      </c>
      <c r="AL66" s="224">
        <v>0</v>
      </c>
      <c r="AM66" s="143"/>
      <c r="AN66" s="224">
        <v>0</v>
      </c>
      <c r="AO66" s="143"/>
      <c r="AP66" s="155">
        <f t="shared" si="20"/>
        <v>0</v>
      </c>
      <c r="AQ66" s="155">
        <f t="shared" si="32"/>
        <v>0</v>
      </c>
      <c r="AR66" s="143"/>
      <c r="AS66" s="179" t="str">
        <f t="shared" si="25"/>
        <v/>
      </c>
      <c r="AT66" s="179" t="str">
        <f t="shared" si="26"/>
        <v/>
      </c>
      <c r="AU66" s="143"/>
      <c r="AV66" s="121"/>
      <c r="AW66" s="113"/>
      <c r="AX66" s="113"/>
      <c r="AY66" s="157">
        <f ca="1">YEAR('wgl tot'!$AY$9)-YEAR('wgl tot'!E66)</f>
        <v>120</v>
      </c>
      <c r="AZ66" s="157">
        <f ca="1">MONTH('wgl tot'!$AY$9)-MONTH('wgl tot'!E66)</f>
        <v>1</v>
      </c>
      <c r="BA66" s="157">
        <f ca="1">DAY('wgl tot'!$AY$9)-DAY('wgl tot'!E66)</f>
        <v>18</v>
      </c>
      <c r="BB66" s="122">
        <f>IF(AND('wgl tot'!F66&gt;0,'wgl tot'!F66&lt;17),0,100)</f>
        <v>100</v>
      </c>
      <c r="BC66" s="122">
        <f t="shared" si="27"/>
        <v>0</v>
      </c>
      <c r="BD66" s="140">
        <v>42583</v>
      </c>
      <c r="BE66" s="158">
        <f t="shared" si="18"/>
        <v>0.08</v>
      </c>
      <c r="BF66" s="159">
        <f>+tabellen!$D$45</f>
        <v>6.3E-2</v>
      </c>
      <c r="BG66" s="157">
        <f>IF('wgl tot'!BB66=100,0,'wgl tot'!F66)</f>
        <v>0</v>
      </c>
      <c r="BH66" s="159" t="str">
        <f>IF(OR('wgl tot'!F66="DA",'wgl tot'!F66="DB",'wgl tot'!F66="DBuit",'wgl tot'!F66="DC",'wgl tot'!F66="DCuit",MID('wgl tot'!F66,1,5)="meerh"),"j","n")</f>
        <v>n</v>
      </c>
      <c r="BI66" s="161" t="e">
        <f>IF('wgl tot'!V66/'wgl tot'!H66&lt;tabellen!$E$6,0,(+'wgl tot'!V66-tabellen!$E$6*'wgl tot'!H66)/12*tabellen!$D$6)</f>
        <v>#DIV/0!</v>
      </c>
      <c r="BJ66" s="161" t="e">
        <f>IF('wgl tot'!V66/'wgl tot'!H66&lt;tabellen!$E$7,0,(+'wgl tot'!V66-tabellen!$E$7*'wgl tot'!H66)/12*tabellen!$D$7)</f>
        <v>#DIV/0!</v>
      </c>
      <c r="BK66" s="161">
        <f>'wgl tot'!V66/12*tabellen!$D$8</f>
        <v>0</v>
      </c>
      <c r="BL66" s="162" t="e">
        <f t="shared" si="33"/>
        <v>#DIV/0!</v>
      </c>
      <c r="BM66" s="163" t="e">
        <f>+X66/12-'wgl tot'!BL66</f>
        <v>#DIV/0!</v>
      </c>
      <c r="BN66" s="163" t="e">
        <f>ROUND(IF('wgl tot'!BM66&gt;tabellen!$H$11,tabellen!$H$11,'wgl tot'!BM66)*tabellen!$C$11,2)</f>
        <v>#DIV/0!</v>
      </c>
      <c r="BO66" s="163" t="e">
        <f>+'wgl tot'!BM66+'wgl tot'!BN66</f>
        <v>#DIV/0!</v>
      </c>
      <c r="BP66" s="164">
        <f t="shared" si="28"/>
        <v>1900</v>
      </c>
      <c r="BQ66" s="164">
        <f t="shared" si="29"/>
        <v>1</v>
      </c>
      <c r="BR66" s="157">
        <f t="shared" si="30"/>
        <v>0</v>
      </c>
      <c r="BS66" s="140">
        <f t="shared" si="16"/>
        <v>24227</v>
      </c>
      <c r="BT66" s="140">
        <f t="shared" ca="1" si="17"/>
        <v>43879.576672800926</v>
      </c>
      <c r="BU66" s="122"/>
      <c r="BV66" s="140"/>
      <c r="BW66" s="122"/>
      <c r="BX66" s="160"/>
      <c r="BY66" s="160"/>
      <c r="BZ66" s="160"/>
      <c r="CA66" s="160"/>
      <c r="CB66" s="160"/>
      <c r="CC66" s="160"/>
      <c r="CD66" s="113"/>
      <c r="CE66" s="113"/>
    </row>
    <row r="67" spans="1:83" s="124" customFormat="1" ht="12" customHeight="1" x14ac:dyDescent="0.2">
      <c r="A67" s="113"/>
      <c r="B67" s="114"/>
      <c r="C67" s="143"/>
      <c r="D67" s="149"/>
      <c r="E67" s="150"/>
      <c r="F67" s="151"/>
      <c r="G67" s="151"/>
      <c r="H67" s="152"/>
      <c r="I67" s="151"/>
      <c r="J67" s="153"/>
      <c r="K67" s="173">
        <f>IF(F67="",0,(VLOOKUP('wgl tot'!F67,saltab2020,'wgl tot'!G67+1,FALSE)))</f>
        <v>0</v>
      </c>
      <c r="L67" s="155">
        <f t="shared" si="31"/>
        <v>0</v>
      </c>
      <c r="M67" s="143"/>
      <c r="N67" s="173">
        <f>ROUND(IF(('wgl tot'!L67+'wgl tot'!P67)*BE67&lt;'wgl tot'!H67*tabellen!$D$44,'wgl tot'!H67*tabellen!$D$44,('wgl tot'!L67+'wgl tot'!P67)*BE67),2)</f>
        <v>0</v>
      </c>
      <c r="O67" s="173">
        <f>ROUND(+('wgl tot'!L67+'wgl tot'!P67)*BF67,2)</f>
        <v>0</v>
      </c>
      <c r="P67" s="173">
        <f>ROUND(IF(I67="j",VLOOKUP(BC67,uitlooptoeslag,2,FALSE))*IF('wgl tot'!H67&gt;1,1,'wgl tot'!H67),2)</f>
        <v>0</v>
      </c>
      <c r="Q67" s="173">
        <f>ROUND(IF(BH67="j",tabellen!$D$55*IF('wgl tot'!H67&gt;1,1,'wgl tot'!H67),0),2)</f>
        <v>0</v>
      </c>
      <c r="R67" s="173">
        <f>VLOOKUP(BG67,eindejaarsuitkering_OOP,2,TRUE)*'wgl tot'!H67/12</f>
        <v>0</v>
      </c>
      <c r="S67" s="173">
        <f>ROUND(H67*tabellen!$D$51,2)</f>
        <v>0</v>
      </c>
      <c r="T67" s="173">
        <f>ROUND(H67*tabellen!C$39,2)</f>
        <v>0</v>
      </c>
      <c r="U67" s="173">
        <f t="shared" si="12"/>
        <v>0</v>
      </c>
      <c r="V67" s="174">
        <f t="shared" si="23"/>
        <v>0</v>
      </c>
      <c r="W67" s="173">
        <f>('wgl tot'!L67+'wgl tot'!P67)*tabellen!$C$37*12</f>
        <v>0</v>
      </c>
      <c r="X67" s="155">
        <f t="shared" si="24"/>
        <v>0</v>
      </c>
      <c r="Y67" s="143"/>
      <c r="Z67" s="174">
        <f t="shared" si="19"/>
        <v>0</v>
      </c>
      <c r="AA67" s="207">
        <f>+'wgl tot'!W67/12</f>
        <v>0</v>
      </c>
      <c r="AB67" s="143"/>
      <c r="AC67" s="173">
        <f>IF(F67="",0,(IF('wgl tot'!V67/'wgl tot'!H67&lt;tabellen!$E$6,0,('wgl tot'!V67-tabellen!$E$6*'wgl tot'!H67)/12)*tabellen!$C$6))</f>
        <v>0</v>
      </c>
      <c r="AD67" s="173">
        <f>IF(F67="",0,(IF('wgl tot'!V67/'wgl tot'!H67&lt;tabellen!$E$7,0,(+'wgl tot'!V67-tabellen!$E$7*'wgl tot'!H67)/12)*tabellen!$C$7))</f>
        <v>0</v>
      </c>
      <c r="AE67" s="173">
        <f>'wgl tot'!V67/12*tabellen!$C$8</f>
        <v>0</v>
      </c>
      <c r="AF67" s="173">
        <f>IF(H67=0,0,IF(BM67&gt;tabellen!$G$9/12,tabellen!$G$9/12,BM67)*(tabellen!$C$9+tabellen!$C$10))</f>
        <v>0</v>
      </c>
      <c r="AG67" s="173">
        <f>IF(F67="",0,('wgl tot'!BN67))</f>
        <v>0</v>
      </c>
      <c r="AH67" s="175">
        <f>IF(F67="",0,(IF('wgl tot'!BM67&gt;tabellen!$G$12*'wgl tot'!H67/12,tabellen!$G$12*'wgl tot'!H67/12,'wgl tot'!BM67)*tabellen!$C$12))</f>
        <v>0</v>
      </c>
      <c r="AI67" s="143"/>
      <c r="AJ67" s="175">
        <f>IF(F67="",0,(L67+N67)*IF(J67=1,tabellen!$C$13,IF(J67=2,tabellen!$C$14,IF(J67=3,tabellen!$C$15,IF(J67=5,tabellen!$C$17,IF(J67=6,tabellen!$C$18,IF(J67=7,tabellen!$C$19,IF(J67=8,tabellen!$C$20,tabellen!$C$16))))))))</f>
        <v>0</v>
      </c>
      <c r="AK67" s="175">
        <f>IF(F67="",0,((L67+N67)*tabellen!$C$21))</f>
        <v>0</v>
      </c>
      <c r="AL67" s="224">
        <v>0</v>
      </c>
      <c r="AM67" s="143"/>
      <c r="AN67" s="224">
        <v>0</v>
      </c>
      <c r="AO67" s="143"/>
      <c r="AP67" s="155">
        <f t="shared" si="20"/>
        <v>0</v>
      </c>
      <c r="AQ67" s="155">
        <f t="shared" si="32"/>
        <v>0</v>
      </c>
      <c r="AR67" s="143"/>
      <c r="AS67" s="179" t="str">
        <f t="shared" si="25"/>
        <v/>
      </c>
      <c r="AT67" s="179" t="str">
        <f t="shared" si="26"/>
        <v/>
      </c>
      <c r="AU67" s="143"/>
      <c r="AV67" s="121"/>
      <c r="AW67" s="113"/>
      <c r="AX67" s="113"/>
      <c r="AY67" s="157">
        <f ca="1">YEAR('wgl tot'!$AY$9)-YEAR('wgl tot'!E67)</f>
        <v>120</v>
      </c>
      <c r="AZ67" s="157">
        <f ca="1">MONTH('wgl tot'!$AY$9)-MONTH('wgl tot'!E67)</f>
        <v>1</v>
      </c>
      <c r="BA67" s="157">
        <f ca="1">DAY('wgl tot'!$AY$9)-DAY('wgl tot'!E67)</f>
        <v>18</v>
      </c>
      <c r="BB67" s="122">
        <f>IF(AND('wgl tot'!F67&gt;0,'wgl tot'!F67&lt;17),0,100)</f>
        <v>100</v>
      </c>
      <c r="BC67" s="122">
        <f t="shared" si="27"/>
        <v>0</v>
      </c>
      <c r="BD67" s="140">
        <v>42583</v>
      </c>
      <c r="BE67" s="158">
        <f t="shared" si="18"/>
        <v>0.08</v>
      </c>
      <c r="BF67" s="159">
        <f>+tabellen!$D$45</f>
        <v>6.3E-2</v>
      </c>
      <c r="BG67" s="157">
        <f>IF('wgl tot'!BB67=100,0,'wgl tot'!F67)</f>
        <v>0</v>
      </c>
      <c r="BH67" s="159" t="str">
        <f>IF(OR('wgl tot'!F67="DA",'wgl tot'!F67="DB",'wgl tot'!F67="DBuit",'wgl tot'!F67="DC",'wgl tot'!F67="DCuit",MID('wgl tot'!F67,1,5)="meerh"),"j","n")</f>
        <v>n</v>
      </c>
      <c r="BI67" s="161" t="e">
        <f>IF('wgl tot'!V67/'wgl tot'!H67&lt;tabellen!$E$6,0,(+'wgl tot'!V67-tabellen!$E$6*'wgl tot'!H67)/12*tabellen!$D$6)</f>
        <v>#DIV/0!</v>
      </c>
      <c r="BJ67" s="161" t="e">
        <f>IF('wgl tot'!V67/'wgl tot'!H67&lt;tabellen!$E$7,0,(+'wgl tot'!V67-tabellen!$E$7*'wgl tot'!H67)/12*tabellen!$D$7)</f>
        <v>#DIV/0!</v>
      </c>
      <c r="BK67" s="161">
        <f>'wgl tot'!V67/12*tabellen!$D$8</f>
        <v>0</v>
      </c>
      <c r="BL67" s="162" t="e">
        <f t="shared" si="33"/>
        <v>#DIV/0!</v>
      </c>
      <c r="BM67" s="163" t="e">
        <f>+X67/12-'wgl tot'!BL67</f>
        <v>#DIV/0!</v>
      </c>
      <c r="BN67" s="163" t="e">
        <f>ROUND(IF('wgl tot'!BM67&gt;tabellen!$H$11,tabellen!$H$11,'wgl tot'!BM67)*tabellen!$C$11,2)</f>
        <v>#DIV/0!</v>
      </c>
      <c r="BO67" s="163" t="e">
        <f>+'wgl tot'!BM67+'wgl tot'!BN67</f>
        <v>#DIV/0!</v>
      </c>
      <c r="BP67" s="164">
        <f t="shared" si="28"/>
        <v>1900</v>
      </c>
      <c r="BQ67" s="164">
        <f t="shared" si="29"/>
        <v>1</v>
      </c>
      <c r="BR67" s="157">
        <f t="shared" si="30"/>
        <v>0</v>
      </c>
      <c r="BS67" s="140">
        <f t="shared" si="16"/>
        <v>24227</v>
      </c>
      <c r="BT67" s="140">
        <f t="shared" ca="1" si="17"/>
        <v>43879.576672800926</v>
      </c>
      <c r="BU67" s="122"/>
      <c r="BV67" s="140"/>
      <c r="BW67" s="122"/>
      <c r="BX67" s="160"/>
      <c r="BY67" s="160"/>
      <c r="BZ67" s="160"/>
      <c r="CA67" s="160"/>
      <c r="CB67" s="160"/>
      <c r="CC67" s="160"/>
      <c r="CD67" s="113"/>
      <c r="CE67" s="113"/>
    </row>
    <row r="68" spans="1:83" s="124" customFormat="1" ht="12" customHeight="1" x14ac:dyDescent="0.2">
      <c r="A68" s="113"/>
      <c r="B68" s="114"/>
      <c r="C68" s="143"/>
      <c r="D68" s="149"/>
      <c r="E68" s="150"/>
      <c r="F68" s="151"/>
      <c r="G68" s="151"/>
      <c r="H68" s="152"/>
      <c r="I68" s="151"/>
      <c r="J68" s="153"/>
      <c r="K68" s="173">
        <f>IF(F68="",0,(VLOOKUP('wgl tot'!F68,saltab2020,'wgl tot'!G68+1,FALSE)))</f>
        <v>0</v>
      </c>
      <c r="L68" s="155">
        <f t="shared" si="31"/>
        <v>0</v>
      </c>
      <c r="M68" s="143"/>
      <c r="N68" s="173">
        <f>ROUND(IF(('wgl tot'!L68+'wgl tot'!P68)*BE68&lt;'wgl tot'!H68*tabellen!$D$44,'wgl tot'!H68*tabellen!$D$44,('wgl tot'!L68+'wgl tot'!P68)*BE68),2)</f>
        <v>0</v>
      </c>
      <c r="O68" s="173">
        <f>ROUND(+('wgl tot'!L68+'wgl tot'!P68)*BF68,2)</f>
        <v>0</v>
      </c>
      <c r="P68" s="173">
        <f>ROUND(IF(I68="j",VLOOKUP(BC68,uitlooptoeslag,2,FALSE))*IF('wgl tot'!H68&gt;1,1,'wgl tot'!H68),2)</f>
        <v>0</v>
      </c>
      <c r="Q68" s="173">
        <f>ROUND(IF(BH68="j",tabellen!$D$55*IF('wgl tot'!H68&gt;1,1,'wgl tot'!H68),0),2)</f>
        <v>0</v>
      </c>
      <c r="R68" s="173">
        <f>VLOOKUP(BG68,eindejaarsuitkering_OOP,2,TRUE)*'wgl tot'!H68/12</f>
        <v>0</v>
      </c>
      <c r="S68" s="173">
        <f>ROUND(H68*tabellen!$D$51,2)</f>
        <v>0</v>
      </c>
      <c r="T68" s="173">
        <f>ROUND(H68*tabellen!C$39,2)</f>
        <v>0</v>
      </c>
      <c r="U68" s="173">
        <f t="shared" si="12"/>
        <v>0</v>
      </c>
      <c r="V68" s="174">
        <f t="shared" si="23"/>
        <v>0</v>
      </c>
      <c r="W68" s="173">
        <f>('wgl tot'!L68+'wgl tot'!P68)*tabellen!$C$37*12</f>
        <v>0</v>
      </c>
      <c r="X68" s="155">
        <f t="shared" si="24"/>
        <v>0</v>
      </c>
      <c r="Y68" s="143"/>
      <c r="Z68" s="174">
        <f t="shared" si="19"/>
        <v>0</v>
      </c>
      <c r="AA68" s="207">
        <f>+'wgl tot'!W68/12</f>
        <v>0</v>
      </c>
      <c r="AB68" s="143"/>
      <c r="AC68" s="173">
        <f>IF(F68="",0,(IF('wgl tot'!V68/'wgl tot'!H68&lt;tabellen!$E$6,0,('wgl tot'!V68-tabellen!$E$6*'wgl tot'!H68)/12)*tabellen!$C$6))</f>
        <v>0</v>
      </c>
      <c r="AD68" s="173">
        <f>IF(F68="",0,(IF('wgl tot'!V68/'wgl tot'!H68&lt;tabellen!$E$7,0,(+'wgl tot'!V68-tabellen!$E$7*'wgl tot'!H68)/12)*tabellen!$C$7))</f>
        <v>0</v>
      </c>
      <c r="AE68" s="173">
        <f>'wgl tot'!V68/12*tabellen!$C$8</f>
        <v>0</v>
      </c>
      <c r="AF68" s="173">
        <f>IF(H68=0,0,IF(BM68&gt;tabellen!$G$9/12,tabellen!$G$9/12,BM68)*(tabellen!$C$9+tabellen!$C$10))</f>
        <v>0</v>
      </c>
      <c r="AG68" s="173">
        <f>IF(F68="",0,('wgl tot'!BN68))</f>
        <v>0</v>
      </c>
      <c r="AH68" s="175">
        <f>IF(F68="",0,(IF('wgl tot'!BM68&gt;tabellen!$G$12*'wgl tot'!H68/12,tabellen!$G$12*'wgl tot'!H68/12,'wgl tot'!BM68)*tabellen!$C$12))</f>
        <v>0</v>
      </c>
      <c r="AI68" s="143"/>
      <c r="AJ68" s="175">
        <f>IF(F68="",0,(L68+N68)*IF(J68=1,tabellen!$C$13,IF(J68=2,tabellen!$C$14,IF(J68=3,tabellen!$C$15,IF(J68=5,tabellen!$C$17,IF(J68=6,tabellen!$C$18,IF(J68=7,tabellen!$C$19,IF(J68=8,tabellen!$C$20,tabellen!$C$16))))))))</f>
        <v>0</v>
      </c>
      <c r="AK68" s="175">
        <f>IF(F68="",0,((L68+N68)*tabellen!$C$21))</f>
        <v>0</v>
      </c>
      <c r="AL68" s="224">
        <v>0</v>
      </c>
      <c r="AM68" s="143"/>
      <c r="AN68" s="224">
        <v>0</v>
      </c>
      <c r="AO68" s="143"/>
      <c r="AP68" s="155">
        <f t="shared" si="20"/>
        <v>0</v>
      </c>
      <c r="AQ68" s="155">
        <f t="shared" si="32"/>
        <v>0</v>
      </c>
      <c r="AR68" s="143"/>
      <c r="AS68" s="179" t="str">
        <f t="shared" si="25"/>
        <v/>
      </c>
      <c r="AT68" s="179" t="str">
        <f t="shared" si="26"/>
        <v/>
      </c>
      <c r="AU68" s="143"/>
      <c r="AV68" s="121"/>
      <c r="AW68" s="113"/>
      <c r="AX68" s="113"/>
      <c r="AY68" s="157">
        <f ca="1">YEAR('wgl tot'!$AY$9)-YEAR('wgl tot'!E68)</f>
        <v>120</v>
      </c>
      <c r="AZ68" s="157">
        <f ca="1">MONTH('wgl tot'!$AY$9)-MONTH('wgl tot'!E68)</f>
        <v>1</v>
      </c>
      <c r="BA68" s="157">
        <f ca="1">DAY('wgl tot'!$AY$9)-DAY('wgl tot'!E68)</f>
        <v>18</v>
      </c>
      <c r="BB68" s="122">
        <f>IF(AND('wgl tot'!F68&gt;0,'wgl tot'!F68&lt;17),0,100)</f>
        <v>100</v>
      </c>
      <c r="BC68" s="122">
        <f t="shared" si="27"/>
        <v>0</v>
      </c>
      <c r="BD68" s="140">
        <v>42583</v>
      </c>
      <c r="BE68" s="158">
        <f t="shared" si="18"/>
        <v>0.08</v>
      </c>
      <c r="BF68" s="159">
        <f>+tabellen!$D$45</f>
        <v>6.3E-2</v>
      </c>
      <c r="BG68" s="157">
        <f>IF('wgl tot'!BB68=100,0,'wgl tot'!F68)</f>
        <v>0</v>
      </c>
      <c r="BH68" s="159" t="str">
        <f>IF(OR('wgl tot'!F68="DA",'wgl tot'!F68="DB",'wgl tot'!F68="DBuit",'wgl tot'!F68="DC",'wgl tot'!F68="DCuit",MID('wgl tot'!F68,1,5)="meerh"),"j","n")</f>
        <v>n</v>
      </c>
      <c r="BI68" s="161" t="e">
        <f>IF('wgl tot'!V68/'wgl tot'!H68&lt;tabellen!$E$6,0,(+'wgl tot'!V68-tabellen!$E$6*'wgl tot'!H68)/12*tabellen!$D$6)</f>
        <v>#DIV/0!</v>
      </c>
      <c r="BJ68" s="161" t="e">
        <f>IF('wgl tot'!V68/'wgl tot'!H68&lt;tabellen!$E$7,0,(+'wgl tot'!V68-tabellen!$E$7*'wgl tot'!H68)/12*tabellen!$D$7)</f>
        <v>#DIV/0!</v>
      </c>
      <c r="BK68" s="161">
        <f>'wgl tot'!V68/12*tabellen!$D$8</f>
        <v>0</v>
      </c>
      <c r="BL68" s="162" t="e">
        <f t="shared" si="33"/>
        <v>#DIV/0!</v>
      </c>
      <c r="BM68" s="163" t="e">
        <f>+X68/12-'wgl tot'!BL68</f>
        <v>#DIV/0!</v>
      </c>
      <c r="BN68" s="163" t="e">
        <f>ROUND(IF('wgl tot'!BM68&gt;tabellen!$H$11,tabellen!$H$11,'wgl tot'!BM68)*tabellen!$C$11,2)</f>
        <v>#DIV/0!</v>
      </c>
      <c r="BO68" s="163" t="e">
        <f>+'wgl tot'!BM68+'wgl tot'!BN68</f>
        <v>#DIV/0!</v>
      </c>
      <c r="BP68" s="164">
        <f t="shared" si="28"/>
        <v>1900</v>
      </c>
      <c r="BQ68" s="164">
        <f t="shared" si="29"/>
        <v>1</v>
      </c>
      <c r="BR68" s="157">
        <f t="shared" si="30"/>
        <v>0</v>
      </c>
      <c r="BS68" s="140">
        <f t="shared" si="16"/>
        <v>24227</v>
      </c>
      <c r="BT68" s="140">
        <f t="shared" ca="1" si="17"/>
        <v>43879.576672800926</v>
      </c>
      <c r="BU68" s="122"/>
      <c r="BV68" s="140"/>
      <c r="BW68" s="122"/>
      <c r="BX68" s="160"/>
      <c r="BY68" s="160"/>
      <c r="BZ68" s="160"/>
      <c r="CA68" s="160"/>
      <c r="CB68" s="160"/>
      <c r="CC68" s="160"/>
      <c r="CD68" s="113"/>
      <c r="CE68" s="113"/>
    </row>
    <row r="69" spans="1:83" s="124" customFormat="1" ht="12" customHeight="1" x14ac:dyDescent="0.2">
      <c r="A69" s="113"/>
      <c r="B69" s="114"/>
      <c r="C69" s="143"/>
      <c r="D69" s="149"/>
      <c r="E69" s="150"/>
      <c r="F69" s="151"/>
      <c r="G69" s="151"/>
      <c r="H69" s="152"/>
      <c r="I69" s="151"/>
      <c r="J69" s="153"/>
      <c r="K69" s="173">
        <f>IF(F69="",0,(VLOOKUP('wgl tot'!F69,saltab2020,'wgl tot'!G69+1,FALSE)))</f>
        <v>0</v>
      </c>
      <c r="L69" s="155">
        <f t="shared" si="31"/>
        <v>0</v>
      </c>
      <c r="M69" s="143"/>
      <c r="N69" s="173">
        <f>ROUND(IF(('wgl tot'!L69+'wgl tot'!P69)*BE69&lt;'wgl tot'!H69*tabellen!$D$44,'wgl tot'!H69*tabellen!$D$44,('wgl tot'!L69+'wgl tot'!P69)*BE69),2)</f>
        <v>0</v>
      </c>
      <c r="O69" s="173">
        <f>ROUND(+('wgl tot'!L69+'wgl tot'!P69)*BF69,2)</f>
        <v>0</v>
      </c>
      <c r="P69" s="173">
        <f>ROUND(IF(I69="j",VLOOKUP(BC69,uitlooptoeslag,2,FALSE))*IF('wgl tot'!H69&gt;1,1,'wgl tot'!H69),2)</f>
        <v>0</v>
      </c>
      <c r="Q69" s="173">
        <f>ROUND(IF(BH69="j",tabellen!$D$55*IF('wgl tot'!H69&gt;1,1,'wgl tot'!H69),0),2)</f>
        <v>0</v>
      </c>
      <c r="R69" s="173">
        <f>VLOOKUP(BG69,eindejaarsuitkering_OOP,2,TRUE)*'wgl tot'!H69/12</f>
        <v>0</v>
      </c>
      <c r="S69" s="173">
        <f>ROUND(H69*tabellen!$D$51,2)</f>
        <v>0</v>
      </c>
      <c r="T69" s="173">
        <f>ROUND(H69*tabellen!C$39,2)</f>
        <v>0</v>
      </c>
      <c r="U69" s="173">
        <f t="shared" si="12"/>
        <v>0</v>
      </c>
      <c r="V69" s="174">
        <f t="shared" si="23"/>
        <v>0</v>
      </c>
      <c r="W69" s="173">
        <f>('wgl tot'!L69+'wgl tot'!P69)*tabellen!$C$37*12</f>
        <v>0</v>
      </c>
      <c r="X69" s="155">
        <f t="shared" si="24"/>
        <v>0</v>
      </c>
      <c r="Y69" s="143"/>
      <c r="Z69" s="174">
        <f t="shared" si="19"/>
        <v>0</v>
      </c>
      <c r="AA69" s="207">
        <f>+'wgl tot'!W69/12</f>
        <v>0</v>
      </c>
      <c r="AB69" s="143"/>
      <c r="AC69" s="173">
        <f>IF(F69="",0,(IF('wgl tot'!V69/'wgl tot'!H69&lt;tabellen!$E$6,0,('wgl tot'!V69-tabellen!$E$6*'wgl tot'!H69)/12)*tabellen!$C$6))</f>
        <v>0</v>
      </c>
      <c r="AD69" s="173">
        <f>IF(F69="",0,(IF('wgl tot'!V69/'wgl tot'!H69&lt;tabellen!$E$7,0,(+'wgl tot'!V69-tabellen!$E$7*'wgl tot'!H69)/12)*tabellen!$C$7))</f>
        <v>0</v>
      </c>
      <c r="AE69" s="173">
        <f>'wgl tot'!V69/12*tabellen!$C$8</f>
        <v>0</v>
      </c>
      <c r="AF69" s="173">
        <f>IF(H69=0,0,IF(BM69&gt;tabellen!$G$9/12,tabellen!$G$9/12,BM69)*(tabellen!$C$9+tabellen!$C$10))</f>
        <v>0</v>
      </c>
      <c r="AG69" s="173">
        <f>IF(F69="",0,('wgl tot'!BN69))</f>
        <v>0</v>
      </c>
      <c r="AH69" s="175">
        <f>IF(F69="",0,(IF('wgl tot'!BM69&gt;tabellen!$G$12*'wgl tot'!H69/12,tabellen!$G$12*'wgl tot'!H69/12,'wgl tot'!BM69)*tabellen!$C$12))</f>
        <v>0</v>
      </c>
      <c r="AI69" s="143"/>
      <c r="AJ69" s="175">
        <f>IF(F69="",0,(L69+N69)*IF(J69=1,tabellen!$C$13,IF(J69=2,tabellen!$C$14,IF(J69=3,tabellen!$C$15,IF(J69=5,tabellen!$C$17,IF(J69=6,tabellen!$C$18,IF(J69=7,tabellen!$C$19,IF(J69=8,tabellen!$C$20,tabellen!$C$16))))))))</f>
        <v>0</v>
      </c>
      <c r="AK69" s="175">
        <f>IF(F69="",0,((L69+N69)*tabellen!$C$21))</f>
        <v>0</v>
      </c>
      <c r="AL69" s="224">
        <v>0</v>
      </c>
      <c r="AM69" s="143"/>
      <c r="AN69" s="224">
        <v>0</v>
      </c>
      <c r="AO69" s="143"/>
      <c r="AP69" s="155">
        <f t="shared" si="20"/>
        <v>0</v>
      </c>
      <c r="AQ69" s="155">
        <f t="shared" si="32"/>
        <v>0</v>
      </c>
      <c r="AR69" s="143"/>
      <c r="AS69" s="179" t="str">
        <f t="shared" si="25"/>
        <v/>
      </c>
      <c r="AT69" s="179" t="str">
        <f t="shared" si="26"/>
        <v/>
      </c>
      <c r="AU69" s="143"/>
      <c r="AV69" s="121"/>
      <c r="AW69" s="113"/>
      <c r="AX69" s="113"/>
      <c r="AY69" s="157">
        <f ca="1">YEAR('wgl tot'!$AY$9)-YEAR('wgl tot'!E69)</f>
        <v>120</v>
      </c>
      <c r="AZ69" s="157">
        <f ca="1">MONTH('wgl tot'!$AY$9)-MONTH('wgl tot'!E69)</f>
        <v>1</v>
      </c>
      <c r="BA69" s="157">
        <f ca="1">DAY('wgl tot'!$AY$9)-DAY('wgl tot'!E69)</f>
        <v>18</v>
      </c>
      <c r="BB69" s="122">
        <f>IF(AND('wgl tot'!F69&gt;0,'wgl tot'!F69&lt;17),0,100)</f>
        <v>100</v>
      </c>
      <c r="BC69" s="122">
        <f t="shared" si="27"/>
        <v>0</v>
      </c>
      <c r="BD69" s="140">
        <v>42583</v>
      </c>
      <c r="BE69" s="158">
        <f t="shared" si="18"/>
        <v>0.08</v>
      </c>
      <c r="BF69" s="159">
        <f>+tabellen!$D$45</f>
        <v>6.3E-2</v>
      </c>
      <c r="BG69" s="157">
        <f>IF('wgl tot'!BB69=100,0,'wgl tot'!F69)</f>
        <v>0</v>
      </c>
      <c r="BH69" s="159" t="str">
        <f>IF(OR('wgl tot'!F69="DA",'wgl tot'!F69="DB",'wgl tot'!F69="DBuit",'wgl tot'!F69="DC",'wgl tot'!F69="DCuit",MID('wgl tot'!F69,1,5)="meerh"),"j","n")</f>
        <v>n</v>
      </c>
      <c r="BI69" s="161" t="e">
        <f>IF('wgl tot'!V69/'wgl tot'!H69&lt;tabellen!$E$6,0,(+'wgl tot'!V69-tabellen!$E$6*'wgl tot'!H69)/12*tabellen!$D$6)</f>
        <v>#DIV/0!</v>
      </c>
      <c r="BJ69" s="161" t="e">
        <f>IF('wgl tot'!V69/'wgl tot'!H69&lt;tabellen!$E$7,0,(+'wgl tot'!V69-tabellen!$E$7*'wgl tot'!H69)/12*tabellen!$D$7)</f>
        <v>#DIV/0!</v>
      </c>
      <c r="BK69" s="161">
        <f>'wgl tot'!V69/12*tabellen!$D$8</f>
        <v>0</v>
      </c>
      <c r="BL69" s="162" t="e">
        <f t="shared" si="33"/>
        <v>#DIV/0!</v>
      </c>
      <c r="BM69" s="163" t="e">
        <f>+X69/12-'wgl tot'!BL69</f>
        <v>#DIV/0!</v>
      </c>
      <c r="BN69" s="163" t="e">
        <f>ROUND(IF('wgl tot'!BM69&gt;tabellen!$H$11,tabellen!$H$11,'wgl tot'!BM69)*tabellen!$C$11,2)</f>
        <v>#DIV/0!</v>
      </c>
      <c r="BO69" s="163" t="e">
        <f>+'wgl tot'!BM69+'wgl tot'!BN69</f>
        <v>#DIV/0!</v>
      </c>
      <c r="BP69" s="164">
        <f t="shared" si="28"/>
        <v>1900</v>
      </c>
      <c r="BQ69" s="164">
        <f t="shared" si="29"/>
        <v>1</v>
      </c>
      <c r="BR69" s="157">
        <f t="shared" si="30"/>
        <v>0</v>
      </c>
      <c r="BS69" s="140">
        <f t="shared" si="16"/>
        <v>24227</v>
      </c>
      <c r="BT69" s="140">
        <f t="shared" ca="1" si="17"/>
        <v>43879.576672800926</v>
      </c>
      <c r="BU69" s="122"/>
      <c r="BV69" s="140"/>
      <c r="BW69" s="122"/>
      <c r="BX69" s="160"/>
      <c r="BY69" s="160"/>
      <c r="BZ69" s="160"/>
      <c r="CA69" s="160"/>
      <c r="CB69" s="160"/>
      <c r="CC69" s="160"/>
      <c r="CD69" s="113"/>
      <c r="CE69" s="113"/>
    </row>
    <row r="70" spans="1:83" s="124" customFormat="1" ht="12" customHeight="1" x14ac:dyDescent="0.2">
      <c r="A70" s="113"/>
      <c r="B70" s="114"/>
      <c r="C70" s="143"/>
      <c r="D70" s="149"/>
      <c r="E70" s="150"/>
      <c r="F70" s="151"/>
      <c r="G70" s="151"/>
      <c r="H70" s="152"/>
      <c r="I70" s="151"/>
      <c r="J70" s="153"/>
      <c r="K70" s="173">
        <f>IF(F70="",0,(VLOOKUP('wgl tot'!F70,saltab2020,'wgl tot'!G70+1,FALSE)))</f>
        <v>0</v>
      </c>
      <c r="L70" s="155">
        <f t="shared" si="31"/>
        <v>0</v>
      </c>
      <c r="M70" s="143"/>
      <c r="N70" s="173">
        <f>ROUND(IF(('wgl tot'!L70+'wgl tot'!P70)*BE70&lt;'wgl tot'!H70*tabellen!$D$44,'wgl tot'!H70*tabellen!$D$44,('wgl tot'!L70+'wgl tot'!P70)*BE70),2)</f>
        <v>0</v>
      </c>
      <c r="O70" s="173">
        <f>ROUND(+('wgl tot'!L70+'wgl tot'!P70)*BF70,2)</f>
        <v>0</v>
      </c>
      <c r="P70" s="173">
        <f>ROUND(IF(I70="j",VLOOKUP(BC70,uitlooptoeslag,2,FALSE))*IF('wgl tot'!H70&gt;1,1,'wgl tot'!H70),2)</f>
        <v>0</v>
      </c>
      <c r="Q70" s="173">
        <f>ROUND(IF(BH70="j",tabellen!$D$55*IF('wgl tot'!H70&gt;1,1,'wgl tot'!H70),0),2)</f>
        <v>0</v>
      </c>
      <c r="R70" s="173">
        <f>VLOOKUP(BG70,eindejaarsuitkering_OOP,2,TRUE)*'wgl tot'!H70/12</f>
        <v>0</v>
      </c>
      <c r="S70" s="173">
        <f>ROUND(H70*tabellen!$D$51,2)</f>
        <v>0</v>
      </c>
      <c r="T70" s="173">
        <f>ROUND(H70*tabellen!C$39,2)</f>
        <v>0</v>
      </c>
      <c r="U70" s="173">
        <f t="shared" si="12"/>
        <v>0</v>
      </c>
      <c r="V70" s="174">
        <f t="shared" si="23"/>
        <v>0</v>
      </c>
      <c r="W70" s="173">
        <f>('wgl tot'!L70+'wgl tot'!P70)*tabellen!$C$37*12</f>
        <v>0</v>
      </c>
      <c r="X70" s="155">
        <f t="shared" si="24"/>
        <v>0</v>
      </c>
      <c r="Y70" s="143"/>
      <c r="Z70" s="174">
        <f t="shared" si="19"/>
        <v>0</v>
      </c>
      <c r="AA70" s="207">
        <f>+'wgl tot'!W70/12</f>
        <v>0</v>
      </c>
      <c r="AB70" s="143"/>
      <c r="AC70" s="173">
        <f>IF(F70="",0,(IF('wgl tot'!V70/'wgl tot'!H70&lt;tabellen!$E$6,0,('wgl tot'!V70-tabellen!$E$6*'wgl tot'!H70)/12)*tabellen!$C$6))</f>
        <v>0</v>
      </c>
      <c r="AD70" s="173">
        <f>IF(F70="",0,(IF('wgl tot'!V70/'wgl tot'!H70&lt;tabellen!$E$7,0,(+'wgl tot'!V70-tabellen!$E$7*'wgl tot'!H70)/12)*tabellen!$C$7))</f>
        <v>0</v>
      </c>
      <c r="AE70" s="173">
        <f>'wgl tot'!V70/12*tabellen!$C$8</f>
        <v>0</v>
      </c>
      <c r="AF70" s="173">
        <f>IF(H70=0,0,IF(BM70&gt;tabellen!$G$9/12,tabellen!$G$9/12,BM70)*(tabellen!$C$9+tabellen!$C$10))</f>
        <v>0</v>
      </c>
      <c r="AG70" s="173">
        <f>IF(F70="",0,('wgl tot'!BN70))</f>
        <v>0</v>
      </c>
      <c r="AH70" s="175">
        <f>IF(F70="",0,(IF('wgl tot'!BM70&gt;tabellen!$G$12*'wgl tot'!H70/12,tabellen!$G$12*'wgl tot'!H70/12,'wgl tot'!BM70)*tabellen!$C$12))</f>
        <v>0</v>
      </c>
      <c r="AI70" s="143"/>
      <c r="AJ70" s="175">
        <f>IF(F70="",0,(L70+N70)*IF(J70=1,tabellen!$C$13,IF(J70=2,tabellen!$C$14,IF(J70=3,tabellen!$C$15,IF(J70=5,tabellen!$C$17,IF(J70=6,tabellen!$C$18,IF(J70=7,tabellen!$C$19,IF(J70=8,tabellen!$C$20,tabellen!$C$16))))))))</f>
        <v>0</v>
      </c>
      <c r="AK70" s="175">
        <f>IF(F70="",0,((L70+N70)*tabellen!$C$21))</f>
        <v>0</v>
      </c>
      <c r="AL70" s="224">
        <v>0</v>
      </c>
      <c r="AM70" s="143"/>
      <c r="AN70" s="224">
        <v>0</v>
      </c>
      <c r="AO70" s="143"/>
      <c r="AP70" s="155">
        <f t="shared" si="20"/>
        <v>0</v>
      </c>
      <c r="AQ70" s="155">
        <f t="shared" si="32"/>
        <v>0</v>
      </c>
      <c r="AR70" s="143"/>
      <c r="AS70" s="179" t="str">
        <f t="shared" si="25"/>
        <v/>
      </c>
      <c r="AT70" s="179" t="str">
        <f t="shared" si="26"/>
        <v/>
      </c>
      <c r="AU70" s="143"/>
      <c r="AV70" s="121"/>
      <c r="AW70" s="113"/>
      <c r="AX70" s="113"/>
      <c r="AY70" s="157">
        <f ca="1">YEAR('wgl tot'!$AY$9)-YEAR('wgl tot'!E70)</f>
        <v>120</v>
      </c>
      <c r="AZ70" s="157">
        <f ca="1">MONTH('wgl tot'!$AY$9)-MONTH('wgl tot'!E70)</f>
        <v>1</v>
      </c>
      <c r="BA70" s="157">
        <f ca="1">DAY('wgl tot'!$AY$9)-DAY('wgl tot'!E70)</f>
        <v>18</v>
      </c>
      <c r="BB70" s="122">
        <f>IF(AND('wgl tot'!F70&gt;0,'wgl tot'!F70&lt;17),0,100)</f>
        <v>100</v>
      </c>
      <c r="BC70" s="122">
        <f t="shared" si="27"/>
        <v>0</v>
      </c>
      <c r="BD70" s="140">
        <v>42583</v>
      </c>
      <c r="BE70" s="158">
        <f t="shared" si="18"/>
        <v>0.08</v>
      </c>
      <c r="BF70" s="159">
        <f>+tabellen!$D$45</f>
        <v>6.3E-2</v>
      </c>
      <c r="BG70" s="157">
        <f>IF('wgl tot'!BB70=100,0,'wgl tot'!F70)</f>
        <v>0</v>
      </c>
      <c r="BH70" s="159" t="str">
        <f>IF(OR('wgl tot'!F70="DA",'wgl tot'!F70="DB",'wgl tot'!F70="DBuit",'wgl tot'!F70="DC",'wgl tot'!F70="DCuit",MID('wgl tot'!F70,1,5)="meerh"),"j","n")</f>
        <v>n</v>
      </c>
      <c r="BI70" s="161" t="e">
        <f>IF('wgl tot'!V70/'wgl tot'!H70&lt;tabellen!$E$6,0,(+'wgl tot'!V70-tabellen!$E$6*'wgl tot'!H70)/12*tabellen!$D$6)</f>
        <v>#DIV/0!</v>
      </c>
      <c r="BJ70" s="161" t="e">
        <f>IF('wgl tot'!V70/'wgl tot'!H70&lt;tabellen!$E$7,0,(+'wgl tot'!V70-tabellen!$E$7*'wgl tot'!H70)/12*tabellen!$D$7)</f>
        <v>#DIV/0!</v>
      </c>
      <c r="BK70" s="161">
        <f>'wgl tot'!V70/12*tabellen!$D$8</f>
        <v>0</v>
      </c>
      <c r="BL70" s="162" t="e">
        <f t="shared" si="33"/>
        <v>#DIV/0!</v>
      </c>
      <c r="BM70" s="163" t="e">
        <f>+X70/12-'wgl tot'!BL70</f>
        <v>#DIV/0!</v>
      </c>
      <c r="BN70" s="163" t="e">
        <f>ROUND(IF('wgl tot'!BM70&gt;tabellen!$H$11,tabellen!$H$11,'wgl tot'!BM70)*tabellen!$C$11,2)</f>
        <v>#DIV/0!</v>
      </c>
      <c r="BO70" s="163" t="e">
        <f>+'wgl tot'!BM70+'wgl tot'!BN70</f>
        <v>#DIV/0!</v>
      </c>
      <c r="BP70" s="164">
        <f t="shared" si="28"/>
        <v>1900</v>
      </c>
      <c r="BQ70" s="164">
        <f t="shared" si="29"/>
        <v>1</v>
      </c>
      <c r="BR70" s="157">
        <f t="shared" si="30"/>
        <v>0</v>
      </c>
      <c r="BS70" s="140">
        <f t="shared" si="16"/>
        <v>24227</v>
      </c>
      <c r="BT70" s="140">
        <f t="shared" ca="1" si="17"/>
        <v>43879.576672800926</v>
      </c>
      <c r="BU70" s="122"/>
      <c r="BV70" s="140"/>
      <c r="BW70" s="122"/>
      <c r="BX70" s="160"/>
      <c r="BY70" s="160"/>
      <c r="BZ70" s="160"/>
      <c r="CA70" s="160"/>
      <c r="CB70" s="160"/>
      <c r="CC70" s="160"/>
      <c r="CD70" s="113"/>
      <c r="CE70" s="113"/>
    </row>
    <row r="71" spans="1:83" s="124" customFormat="1" ht="12" customHeight="1" x14ac:dyDescent="0.2">
      <c r="A71" s="113"/>
      <c r="B71" s="114"/>
      <c r="C71" s="143"/>
      <c r="D71" s="149"/>
      <c r="E71" s="150"/>
      <c r="F71" s="151"/>
      <c r="G71" s="151"/>
      <c r="H71" s="152"/>
      <c r="I71" s="151"/>
      <c r="J71" s="153"/>
      <c r="K71" s="173">
        <f>IF(F71="",0,(VLOOKUP('wgl tot'!F71,saltab2020,'wgl tot'!G71+1,FALSE)))</f>
        <v>0</v>
      </c>
      <c r="L71" s="155">
        <f t="shared" ref="L71:L86" si="34">K71*H71</f>
        <v>0</v>
      </c>
      <c r="M71" s="143"/>
      <c r="N71" s="173">
        <f>ROUND(IF(('wgl tot'!L71+'wgl tot'!P71)*BE71&lt;'wgl tot'!H71*tabellen!$D$44,'wgl tot'!H71*tabellen!$D$44,('wgl tot'!L71+'wgl tot'!P71)*BE71),2)</f>
        <v>0</v>
      </c>
      <c r="O71" s="173">
        <f>ROUND(+('wgl tot'!L71+'wgl tot'!P71)*BF71,2)</f>
        <v>0</v>
      </c>
      <c r="P71" s="173">
        <f>ROUND(IF(I71="j",VLOOKUP(BC71,uitlooptoeslag,2,FALSE))*IF('wgl tot'!H71&gt;1,1,'wgl tot'!H71),2)</f>
        <v>0</v>
      </c>
      <c r="Q71" s="173">
        <f>ROUND(IF(BH71="j",tabellen!$D$55*IF('wgl tot'!H71&gt;1,1,'wgl tot'!H71),0),2)</f>
        <v>0</v>
      </c>
      <c r="R71" s="173">
        <f>VLOOKUP(BG71,eindejaarsuitkering_OOP,2,TRUE)*'wgl tot'!H71/12</f>
        <v>0</v>
      </c>
      <c r="S71" s="173">
        <f>ROUND(H71*tabellen!$D$51,2)</f>
        <v>0</v>
      </c>
      <c r="T71" s="173">
        <f>ROUND(H71*tabellen!C$39,2)</f>
        <v>0</v>
      </c>
      <c r="U71" s="173">
        <f t="shared" si="12"/>
        <v>0</v>
      </c>
      <c r="V71" s="174">
        <f t="shared" si="23"/>
        <v>0</v>
      </c>
      <c r="W71" s="173">
        <f>('wgl tot'!L71+'wgl tot'!P71)*tabellen!$C$37*12</f>
        <v>0</v>
      </c>
      <c r="X71" s="155">
        <f t="shared" si="24"/>
        <v>0</v>
      </c>
      <c r="Y71" s="143"/>
      <c r="Z71" s="174">
        <f t="shared" si="19"/>
        <v>0</v>
      </c>
      <c r="AA71" s="207">
        <f>+'wgl tot'!W71/12</f>
        <v>0</v>
      </c>
      <c r="AB71" s="143"/>
      <c r="AC71" s="173">
        <f>IF(F71="",0,(IF('wgl tot'!V71/'wgl tot'!H71&lt;tabellen!$E$6,0,('wgl tot'!V71-tabellen!$E$6*'wgl tot'!H71)/12)*tabellen!$C$6))</f>
        <v>0</v>
      </c>
      <c r="AD71" s="173">
        <f>IF(F71="",0,(IF('wgl tot'!V71/'wgl tot'!H71&lt;tabellen!$E$7,0,(+'wgl tot'!V71-tabellen!$E$7*'wgl tot'!H71)/12)*tabellen!$C$7))</f>
        <v>0</v>
      </c>
      <c r="AE71" s="173">
        <f>'wgl tot'!V71/12*tabellen!$C$8</f>
        <v>0</v>
      </c>
      <c r="AF71" s="173">
        <f>IF(H71=0,0,IF(BM71&gt;tabellen!$G$9/12,tabellen!$G$9/12,BM71)*(tabellen!$C$9+tabellen!$C$10))</f>
        <v>0</v>
      </c>
      <c r="AG71" s="173">
        <f>IF(F71="",0,('wgl tot'!BN71))</f>
        <v>0</v>
      </c>
      <c r="AH71" s="175">
        <f>IF(F71="",0,(IF('wgl tot'!BM71&gt;tabellen!$G$12*'wgl tot'!H71/12,tabellen!$G$12*'wgl tot'!H71/12,'wgl tot'!BM71)*tabellen!$C$12))</f>
        <v>0</v>
      </c>
      <c r="AI71" s="143"/>
      <c r="AJ71" s="175">
        <f>IF(F71="",0,(L71+N71)*IF(J71=1,tabellen!$C$13,IF(J71=2,tabellen!$C$14,IF(J71=3,tabellen!$C$15,IF(J71=5,tabellen!$C$17,IF(J71=6,tabellen!$C$18,IF(J71=7,tabellen!$C$19,IF(J71=8,tabellen!$C$20,tabellen!$C$16))))))))</f>
        <v>0</v>
      </c>
      <c r="AK71" s="175">
        <f>IF(F71="",0,((L71+N71)*tabellen!$C$21))</f>
        <v>0</v>
      </c>
      <c r="AL71" s="224">
        <v>0</v>
      </c>
      <c r="AM71" s="143"/>
      <c r="AN71" s="224">
        <v>0</v>
      </c>
      <c r="AO71" s="143"/>
      <c r="AP71" s="155">
        <f t="shared" si="20"/>
        <v>0</v>
      </c>
      <c r="AQ71" s="155">
        <f t="shared" si="21"/>
        <v>0</v>
      </c>
      <c r="AR71" s="143"/>
      <c r="AS71" s="179" t="str">
        <f t="shared" si="25"/>
        <v/>
      </c>
      <c r="AT71" s="179" t="str">
        <f t="shared" si="26"/>
        <v/>
      </c>
      <c r="AU71" s="143"/>
      <c r="AV71" s="121"/>
      <c r="AW71" s="113"/>
      <c r="AX71" s="113"/>
      <c r="AY71" s="157">
        <f ca="1">YEAR('wgl tot'!$AY$9)-YEAR('wgl tot'!E71)</f>
        <v>120</v>
      </c>
      <c r="AZ71" s="157">
        <f ca="1">MONTH('wgl tot'!$AY$9)-MONTH('wgl tot'!E71)</f>
        <v>1</v>
      </c>
      <c r="BA71" s="157">
        <f ca="1">DAY('wgl tot'!$AY$9)-DAY('wgl tot'!E71)</f>
        <v>18</v>
      </c>
      <c r="BB71" s="122">
        <f>IF(AND('wgl tot'!F71&gt;0,'wgl tot'!F71&lt;17),0,100)</f>
        <v>100</v>
      </c>
      <c r="BC71" s="122">
        <f t="shared" si="27"/>
        <v>0</v>
      </c>
      <c r="BD71" s="140">
        <v>42583</v>
      </c>
      <c r="BE71" s="158">
        <f t="shared" si="18"/>
        <v>0.08</v>
      </c>
      <c r="BF71" s="159">
        <f>+tabellen!$D$45</f>
        <v>6.3E-2</v>
      </c>
      <c r="BG71" s="157">
        <f>IF('wgl tot'!BB71=100,0,'wgl tot'!F71)</f>
        <v>0</v>
      </c>
      <c r="BH71" s="159" t="str">
        <f>IF(OR('wgl tot'!F71="DA",'wgl tot'!F71="DB",'wgl tot'!F71="DBuit",'wgl tot'!F71="DC",'wgl tot'!F71="DCuit",MID('wgl tot'!F71,1,5)="meerh"),"j","n")</f>
        <v>n</v>
      </c>
      <c r="BI71" s="161" t="e">
        <f>IF('wgl tot'!V71/'wgl tot'!H71&lt;tabellen!$E$6,0,(+'wgl tot'!V71-tabellen!$E$6*'wgl tot'!H71)/12*tabellen!$D$6)</f>
        <v>#DIV/0!</v>
      </c>
      <c r="BJ71" s="161" t="e">
        <f>IF('wgl tot'!V71/'wgl tot'!H71&lt;tabellen!$E$7,0,(+'wgl tot'!V71-tabellen!$E$7*'wgl tot'!H71)/12*tabellen!$D$7)</f>
        <v>#DIV/0!</v>
      </c>
      <c r="BK71" s="161">
        <f>'wgl tot'!V71/12*tabellen!$D$8</f>
        <v>0</v>
      </c>
      <c r="BL71" s="162" t="e">
        <f t="shared" si="22"/>
        <v>#DIV/0!</v>
      </c>
      <c r="BM71" s="163" t="e">
        <f>+X71/12-'wgl tot'!BL71</f>
        <v>#DIV/0!</v>
      </c>
      <c r="BN71" s="163" t="e">
        <f>ROUND(IF('wgl tot'!BM71&gt;tabellen!$H$11,tabellen!$H$11,'wgl tot'!BM71)*tabellen!$C$11,2)</f>
        <v>#DIV/0!</v>
      </c>
      <c r="BO71" s="163" t="e">
        <f>+'wgl tot'!BM71+'wgl tot'!BN71</f>
        <v>#DIV/0!</v>
      </c>
      <c r="BP71" s="164">
        <f t="shared" si="28"/>
        <v>1900</v>
      </c>
      <c r="BQ71" s="164">
        <f t="shared" si="29"/>
        <v>1</v>
      </c>
      <c r="BR71" s="157">
        <f t="shared" si="30"/>
        <v>0</v>
      </c>
      <c r="BS71" s="140">
        <f t="shared" si="16"/>
        <v>24227</v>
      </c>
      <c r="BT71" s="140">
        <f t="shared" ca="1" si="17"/>
        <v>43879.576672800926</v>
      </c>
      <c r="BU71" s="122"/>
      <c r="BV71" s="140"/>
      <c r="BW71" s="122"/>
      <c r="BX71" s="160"/>
      <c r="BY71" s="160"/>
      <c r="BZ71" s="160"/>
      <c r="CA71" s="160"/>
      <c r="CB71" s="160"/>
      <c r="CC71" s="160"/>
      <c r="CD71" s="113"/>
      <c r="CE71" s="113"/>
    </row>
    <row r="72" spans="1:83" s="124" customFormat="1" ht="12" customHeight="1" x14ac:dyDescent="0.2">
      <c r="A72" s="113"/>
      <c r="B72" s="114"/>
      <c r="C72" s="143"/>
      <c r="D72" s="149"/>
      <c r="E72" s="150"/>
      <c r="F72" s="151"/>
      <c r="G72" s="151"/>
      <c r="H72" s="152"/>
      <c r="I72" s="151"/>
      <c r="J72" s="153"/>
      <c r="K72" s="173">
        <f>IF(F72="",0,(VLOOKUP('wgl tot'!F72,saltab2020,'wgl tot'!G72+1,FALSE)))</f>
        <v>0</v>
      </c>
      <c r="L72" s="155">
        <f t="shared" si="34"/>
        <v>0</v>
      </c>
      <c r="M72" s="143"/>
      <c r="N72" s="173">
        <f>ROUND(IF(('wgl tot'!L72+'wgl tot'!P72)*BE72&lt;'wgl tot'!H72*tabellen!$D$44,'wgl tot'!H72*tabellen!$D$44,('wgl tot'!L72+'wgl tot'!P72)*BE72),2)</f>
        <v>0</v>
      </c>
      <c r="O72" s="173">
        <f>ROUND(+('wgl tot'!L72+'wgl tot'!P72)*BF72,2)</f>
        <v>0</v>
      </c>
      <c r="P72" s="173">
        <f>ROUND(IF(I72="j",VLOOKUP(BC72,uitlooptoeslag,2,FALSE))*IF('wgl tot'!H72&gt;1,1,'wgl tot'!H72),2)</f>
        <v>0</v>
      </c>
      <c r="Q72" s="173">
        <f>ROUND(IF(BH72="j",tabellen!$D$55*IF('wgl tot'!H72&gt;1,1,'wgl tot'!H72),0),2)</f>
        <v>0</v>
      </c>
      <c r="R72" s="173">
        <f>VLOOKUP(BG72,eindejaarsuitkering_OOP,2,TRUE)*'wgl tot'!H72/12</f>
        <v>0</v>
      </c>
      <c r="S72" s="173">
        <f>ROUND(H72*tabellen!$D$51,2)</f>
        <v>0</v>
      </c>
      <c r="T72" s="173">
        <f>ROUND(H72*tabellen!C$39,2)</f>
        <v>0</v>
      </c>
      <c r="U72" s="173">
        <f t="shared" si="12"/>
        <v>0</v>
      </c>
      <c r="V72" s="174">
        <f t="shared" si="23"/>
        <v>0</v>
      </c>
      <c r="W72" s="173">
        <f>('wgl tot'!L72+'wgl tot'!P72)*tabellen!$C$37*12</f>
        <v>0</v>
      </c>
      <c r="X72" s="155">
        <f t="shared" si="24"/>
        <v>0</v>
      </c>
      <c r="Y72" s="143"/>
      <c r="Z72" s="174">
        <f t="shared" si="19"/>
        <v>0</v>
      </c>
      <c r="AA72" s="207">
        <f>+'wgl tot'!W72/12</f>
        <v>0</v>
      </c>
      <c r="AB72" s="143"/>
      <c r="AC72" s="173">
        <f>IF(F72="",0,(IF('wgl tot'!V72/'wgl tot'!H72&lt;tabellen!$E$6,0,('wgl tot'!V72-tabellen!$E$6*'wgl tot'!H72)/12)*tabellen!$C$6))</f>
        <v>0</v>
      </c>
      <c r="AD72" s="173">
        <f>IF(F72="",0,(IF('wgl tot'!V72/'wgl tot'!H72&lt;tabellen!$E$7,0,(+'wgl tot'!V72-tabellen!$E$7*'wgl tot'!H72)/12)*tabellen!$C$7))</f>
        <v>0</v>
      </c>
      <c r="AE72" s="173">
        <f>'wgl tot'!V72/12*tabellen!$C$8</f>
        <v>0</v>
      </c>
      <c r="AF72" s="173">
        <f>IF(H72=0,0,IF(BM72&gt;tabellen!$G$9/12,tabellen!$G$9/12,BM72)*(tabellen!$C$9+tabellen!$C$10))</f>
        <v>0</v>
      </c>
      <c r="AG72" s="173">
        <f>IF(F72="",0,('wgl tot'!BN72))</f>
        <v>0</v>
      </c>
      <c r="AH72" s="175">
        <f>IF(F72="",0,(IF('wgl tot'!BM72&gt;tabellen!$G$12*'wgl tot'!H72/12,tabellen!$G$12*'wgl tot'!H72/12,'wgl tot'!BM72)*tabellen!$C$12))</f>
        <v>0</v>
      </c>
      <c r="AI72" s="143"/>
      <c r="AJ72" s="175">
        <f>IF(F72="",0,(L72+N72)*IF(J72=1,tabellen!$C$13,IF(J72=2,tabellen!$C$14,IF(J72=3,tabellen!$C$15,IF(J72=5,tabellen!$C$17,IF(J72=6,tabellen!$C$18,IF(J72=7,tabellen!$C$19,IF(J72=8,tabellen!$C$20,tabellen!$C$16))))))))</f>
        <v>0</v>
      </c>
      <c r="AK72" s="175">
        <f>IF(F72="",0,((L72+N72)*tabellen!$C$21))</f>
        <v>0</v>
      </c>
      <c r="AL72" s="224">
        <v>0</v>
      </c>
      <c r="AM72" s="143"/>
      <c r="AN72" s="224">
        <v>0</v>
      </c>
      <c r="AO72" s="143"/>
      <c r="AP72" s="155">
        <f t="shared" si="20"/>
        <v>0</v>
      </c>
      <c r="AQ72" s="155">
        <f t="shared" si="21"/>
        <v>0</v>
      </c>
      <c r="AR72" s="143"/>
      <c r="AS72" s="179" t="str">
        <f t="shared" si="25"/>
        <v/>
      </c>
      <c r="AT72" s="179" t="str">
        <f t="shared" si="26"/>
        <v/>
      </c>
      <c r="AU72" s="143"/>
      <c r="AV72" s="121"/>
      <c r="AW72" s="113"/>
      <c r="AX72" s="113"/>
      <c r="AY72" s="157">
        <f ca="1">YEAR('wgl tot'!$AY$9)-YEAR('wgl tot'!E72)</f>
        <v>120</v>
      </c>
      <c r="AZ72" s="157">
        <f ca="1">MONTH('wgl tot'!$AY$9)-MONTH('wgl tot'!E72)</f>
        <v>1</v>
      </c>
      <c r="BA72" s="157">
        <f ca="1">DAY('wgl tot'!$AY$9)-DAY('wgl tot'!E72)</f>
        <v>18</v>
      </c>
      <c r="BB72" s="122">
        <f>IF(AND('wgl tot'!F72&gt;0,'wgl tot'!F72&lt;17),0,100)</f>
        <v>100</v>
      </c>
      <c r="BC72" s="122">
        <f t="shared" si="27"/>
        <v>0</v>
      </c>
      <c r="BD72" s="140">
        <v>42583</v>
      </c>
      <c r="BE72" s="158">
        <f t="shared" si="18"/>
        <v>0.08</v>
      </c>
      <c r="BF72" s="159">
        <f>+tabellen!$D$45</f>
        <v>6.3E-2</v>
      </c>
      <c r="BG72" s="157">
        <f>IF('wgl tot'!BB72=100,0,'wgl tot'!F72)</f>
        <v>0</v>
      </c>
      <c r="BH72" s="159" t="str">
        <f>IF(OR('wgl tot'!F72="DA",'wgl tot'!F72="DB",'wgl tot'!F72="DBuit",'wgl tot'!F72="DC",'wgl tot'!F72="DCuit",MID('wgl tot'!F72,1,5)="meerh"),"j","n")</f>
        <v>n</v>
      </c>
      <c r="BI72" s="161" t="e">
        <f>IF('wgl tot'!V72/'wgl tot'!H72&lt;tabellen!$E$6,0,(+'wgl tot'!V72-tabellen!$E$6*'wgl tot'!H72)/12*tabellen!$D$6)</f>
        <v>#DIV/0!</v>
      </c>
      <c r="BJ72" s="161" t="e">
        <f>IF('wgl tot'!V72/'wgl tot'!H72&lt;tabellen!$E$7,0,(+'wgl tot'!V72-tabellen!$E$7*'wgl tot'!H72)/12*tabellen!$D$7)</f>
        <v>#DIV/0!</v>
      </c>
      <c r="BK72" s="161">
        <f>'wgl tot'!V72/12*tabellen!$D$8</f>
        <v>0</v>
      </c>
      <c r="BL72" s="162" t="e">
        <f t="shared" si="22"/>
        <v>#DIV/0!</v>
      </c>
      <c r="BM72" s="163" t="e">
        <f>+X72/12-'wgl tot'!BL72</f>
        <v>#DIV/0!</v>
      </c>
      <c r="BN72" s="163" t="e">
        <f>ROUND(IF('wgl tot'!BM72&gt;tabellen!$H$11,tabellen!$H$11,'wgl tot'!BM72)*tabellen!$C$11,2)</f>
        <v>#DIV/0!</v>
      </c>
      <c r="BO72" s="163" t="e">
        <f>+'wgl tot'!BM72+'wgl tot'!BN72</f>
        <v>#DIV/0!</v>
      </c>
      <c r="BP72" s="164">
        <f t="shared" si="28"/>
        <v>1900</v>
      </c>
      <c r="BQ72" s="164">
        <f t="shared" si="29"/>
        <v>1</v>
      </c>
      <c r="BR72" s="157">
        <f t="shared" si="30"/>
        <v>0</v>
      </c>
      <c r="BS72" s="140">
        <f t="shared" si="16"/>
        <v>24227</v>
      </c>
      <c r="BT72" s="140">
        <f t="shared" ca="1" si="17"/>
        <v>43879.576672800926</v>
      </c>
      <c r="BU72" s="122"/>
      <c r="BV72" s="140"/>
      <c r="BW72" s="122"/>
      <c r="BX72" s="160"/>
      <c r="BY72" s="160"/>
      <c r="BZ72" s="160"/>
      <c r="CA72" s="160"/>
      <c r="CB72" s="160"/>
      <c r="CC72" s="160"/>
      <c r="CD72" s="113"/>
      <c r="CE72" s="113"/>
    </row>
    <row r="73" spans="1:83" s="124" customFormat="1" ht="12" customHeight="1" x14ac:dyDescent="0.2">
      <c r="A73" s="113"/>
      <c r="B73" s="114"/>
      <c r="C73" s="143"/>
      <c r="D73" s="149"/>
      <c r="E73" s="150"/>
      <c r="F73" s="151"/>
      <c r="G73" s="151"/>
      <c r="H73" s="152"/>
      <c r="I73" s="151"/>
      <c r="J73" s="153"/>
      <c r="K73" s="173">
        <f>IF(F73="",0,(VLOOKUP('wgl tot'!F73,saltab2020,'wgl tot'!G73+1,FALSE)))</f>
        <v>0</v>
      </c>
      <c r="L73" s="155">
        <f t="shared" si="34"/>
        <v>0</v>
      </c>
      <c r="M73" s="143"/>
      <c r="N73" s="173">
        <f>ROUND(IF(('wgl tot'!L73+'wgl tot'!P73)*BE73&lt;'wgl tot'!H73*tabellen!$D$44,'wgl tot'!H73*tabellen!$D$44,('wgl tot'!L73+'wgl tot'!P73)*BE73),2)</f>
        <v>0</v>
      </c>
      <c r="O73" s="173">
        <f>ROUND(+('wgl tot'!L73+'wgl tot'!P73)*BF73,2)</f>
        <v>0</v>
      </c>
      <c r="P73" s="173">
        <f>ROUND(IF(I73="j",VLOOKUP(BC73,uitlooptoeslag,2,FALSE))*IF('wgl tot'!H73&gt;1,1,'wgl tot'!H73),2)</f>
        <v>0</v>
      </c>
      <c r="Q73" s="173">
        <f>ROUND(IF(BH73="j",tabellen!$D$55*IF('wgl tot'!H73&gt;1,1,'wgl tot'!H73),0),2)</f>
        <v>0</v>
      </c>
      <c r="R73" s="173">
        <f>VLOOKUP(BG73,eindejaarsuitkering_OOP,2,TRUE)*'wgl tot'!H73/12</f>
        <v>0</v>
      </c>
      <c r="S73" s="173">
        <f>ROUND(H73*tabellen!$D$51,2)</f>
        <v>0</v>
      </c>
      <c r="T73" s="173">
        <f>ROUND(H73*tabellen!C$39,2)</f>
        <v>0</v>
      </c>
      <c r="U73" s="173">
        <f t="shared" si="12"/>
        <v>0</v>
      </c>
      <c r="V73" s="174">
        <f t="shared" si="23"/>
        <v>0</v>
      </c>
      <c r="W73" s="173">
        <f>('wgl tot'!L73+'wgl tot'!P73)*tabellen!$C$37*12</f>
        <v>0</v>
      </c>
      <c r="X73" s="155">
        <f t="shared" si="24"/>
        <v>0</v>
      </c>
      <c r="Y73" s="143"/>
      <c r="Z73" s="174">
        <f t="shared" si="19"/>
        <v>0</v>
      </c>
      <c r="AA73" s="207">
        <f>+'wgl tot'!W73/12</f>
        <v>0</v>
      </c>
      <c r="AB73" s="143"/>
      <c r="AC73" s="173">
        <f>IF(F73="",0,(IF('wgl tot'!V73/'wgl tot'!H73&lt;tabellen!$E$6,0,('wgl tot'!V73-tabellen!$E$6*'wgl tot'!H73)/12)*tabellen!$C$6))</f>
        <v>0</v>
      </c>
      <c r="AD73" s="173">
        <f>IF(F73="",0,(IF('wgl tot'!V73/'wgl tot'!H73&lt;tabellen!$E$7,0,(+'wgl tot'!V73-tabellen!$E$7*'wgl tot'!H73)/12)*tabellen!$C$7))</f>
        <v>0</v>
      </c>
      <c r="AE73" s="173">
        <f>'wgl tot'!V73/12*tabellen!$C$8</f>
        <v>0</v>
      </c>
      <c r="AF73" s="173">
        <f>IF(H73=0,0,IF(BM73&gt;tabellen!$G$9/12,tabellen!$G$9/12,BM73)*(tabellen!$C$9+tabellen!$C$10))</f>
        <v>0</v>
      </c>
      <c r="AG73" s="173">
        <f>IF(F73="",0,('wgl tot'!BN73))</f>
        <v>0</v>
      </c>
      <c r="AH73" s="175">
        <f>IF(F73="",0,(IF('wgl tot'!BM73&gt;tabellen!$G$12*'wgl tot'!H73/12,tabellen!$G$12*'wgl tot'!H73/12,'wgl tot'!BM73)*tabellen!$C$12))</f>
        <v>0</v>
      </c>
      <c r="AI73" s="143"/>
      <c r="AJ73" s="175">
        <f>IF(F73="",0,(L73+N73)*IF(J73=1,tabellen!$C$13,IF(J73=2,tabellen!$C$14,IF(J73=3,tabellen!$C$15,IF(J73=5,tabellen!$C$17,IF(J73=6,tabellen!$C$18,IF(J73=7,tabellen!$C$19,IF(J73=8,tabellen!$C$20,tabellen!$C$16))))))))</f>
        <v>0</v>
      </c>
      <c r="AK73" s="175">
        <f>IF(F73="",0,((L73+N73)*tabellen!$C$21))</f>
        <v>0</v>
      </c>
      <c r="AL73" s="224">
        <v>0</v>
      </c>
      <c r="AM73" s="143"/>
      <c r="AN73" s="224">
        <v>0</v>
      </c>
      <c r="AO73" s="143"/>
      <c r="AP73" s="155">
        <f t="shared" si="20"/>
        <v>0</v>
      </c>
      <c r="AQ73" s="155">
        <f t="shared" si="21"/>
        <v>0</v>
      </c>
      <c r="AR73" s="143"/>
      <c r="AS73" s="179" t="str">
        <f t="shared" si="25"/>
        <v/>
      </c>
      <c r="AT73" s="179" t="str">
        <f t="shared" si="26"/>
        <v/>
      </c>
      <c r="AU73" s="143"/>
      <c r="AV73" s="121"/>
      <c r="AW73" s="113"/>
      <c r="AX73" s="113"/>
      <c r="AY73" s="157">
        <f ca="1">YEAR('wgl tot'!$AY$9)-YEAR('wgl tot'!E73)</f>
        <v>120</v>
      </c>
      <c r="AZ73" s="157">
        <f ca="1">MONTH('wgl tot'!$AY$9)-MONTH('wgl tot'!E73)</f>
        <v>1</v>
      </c>
      <c r="BA73" s="157">
        <f ca="1">DAY('wgl tot'!$AY$9)-DAY('wgl tot'!E73)</f>
        <v>18</v>
      </c>
      <c r="BB73" s="122">
        <f>IF(AND('wgl tot'!F73&gt;0,'wgl tot'!F73&lt;17),0,100)</f>
        <v>100</v>
      </c>
      <c r="BC73" s="122">
        <f t="shared" si="27"/>
        <v>0</v>
      </c>
      <c r="BD73" s="140">
        <v>42583</v>
      </c>
      <c r="BE73" s="158">
        <f t="shared" si="18"/>
        <v>0.08</v>
      </c>
      <c r="BF73" s="159">
        <f>+tabellen!$D$45</f>
        <v>6.3E-2</v>
      </c>
      <c r="BG73" s="157">
        <f>IF('wgl tot'!BB73=100,0,'wgl tot'!F73)</f>
        <v>0</v>
      </c>
      <c r="BH73" s="159" t="str">
        <f>IF(OR('wgl tot'!F73="DA",'wgl tot'!F73="DB",'wgl tot'!F73="DBuit",'wgl tot'!F73="DC",'wgl tot'!F73="DCuit",MID('wgl tot'!F73,1,5)="meerh"),"j","n")</f>
        <v>n</v>
      </c>
      <c r="BI73" s="161" t="e">
        <f>IF('wgl tot'!V73/'wgl tot'!H73&lt;tabellen!$E$6,0,(+'wgl tot'!V73-tabellen!$E$6*'wgl tot'!H73)/12*tabellen!$D$6)</f>
        <v>#DIV/0!</v>
      </c>
      <c r="BJ73" s="161" t="e">
        <f>IF('wgl tot'!V73/'wgl tot'!H73&lt;tabellen!$E$7,0,(+'wgl tot'!V73-tabellen!$E$7*'wgl tot'!H73)/12*tabellen!$D$7)</f>
        <v>#DIV/0!</v>
      </c>
      <c r="BK73" s="161">
        <f>'wgl tot'!V73/12*tabellen!$D$8</f>
        <v>0</v>
      </c>
      <c r="BL73" s="162" t="e">
        <f t="shared" si="22"/>
        <v>#DIV/0!</v>
      </c>
      <c r="BM73" s="163" t="e">
        <f>+X73/12-'wgl tot'!BL73</f>
        <v>#DIV/0!</v>
      </c>
      <c r="BN73" s="163" t="e">
        <f>ROUND(IF('wgl tot'!BM73&gt;tabellen!$H$11,tabellen!$H$11,'wgl tot'!BM73)*tabellen!$C$11,2)</f>
        <v>#DIV/0!</v>
      </c>
      <c r="BO73" s="163" t="e">
        <f>+'wgl tot'!BM73+'wgl tot'!BN73</f>
        <v>#DIV/0!</v>
      </c>
      <c r="BP73" s="164">
        <f t="shared" si="28"/>
        <v>1900</v>
      </c>
      <c r="BQ73" s="164">
        <f t="shared" si="29"/>
        <v>1</v>
      </c>
      <c r="BR73" s="157">
        <f t="shared" si="30"/>
        <v>0</v>
      </c>
      <c r="BS73" s="140">
        <f t="shared" si="16"/>
        <v>24227</v>
      </c>
      <c r="BT73" s="140">
        <f t="shared" ca="1" si="17"/>
        <v>43879.576672800926</v>
      </c>
      <c r="BU73" s="122"/>
      <c r="BV73" s="140"/>
      <c r="BW73" s="122"/>
      <c r="BX73" s="160"/>
      <c r="BY73" s="160"/>
      <c r="BZ73" s="160"/>
      <c r="CA73" s="160"/>
      <c r="CB73" s="160"/>
      <c r="CC73" s="160"/>
      <c r="CD73" s="113"/>
      <c r="CE73" s="113"/>
    </row>
    <row r="74" spans="1:83" s="124" customFormat="1" ht="12" customHeight="1" x14ac:dyDescent="0.2">
      <c r="A74" s="113"/>
      <c r="B74" s="114"/>
      <c r="C74" s="143"/>
      <c r="D74" s="149"/>
      <c r="E74" s="150"/>
      <c r="F74" s="151"/>
      <c r="G74" s="151"/>
      <c r="H74" s="152"/>
      <c r="I74" s="151"/>
      <c r="J74" s="153"/>
      <c r="K74" s="173">
        <f>IF(F74="",0,(VLOOKUP('wgl tot'!F74,saltab2020,'wgl tot'!G74+1,FALSE)))</f>
        <v>0</v>
      </c>
      <c r="L74" s="155">
        <f t="shared" si="34"/>
        <v>0</v>
      </c>
      <c r="M74" s="143"/>
      <c r="N74" s="173">
        <f>ROUND(IF(('wgl tot'!L74+'wgl tot'!P74)*BE74&lt;'wgl tot'!H74*tabellen!$D$44,'wgl tot'!H74*tabellen!$D$44,('wgl tot'!L74+'wgl tot'!P74)*BE74),2)</f>
        <v>0</v>
      </c>
      <c r="O74" s="173">
        <f>ROUND(+('wgl tot'!L74+'wgl tot'!P74)*BF74,2)</f>
        <v>0</v>
      </c>
      <c r="P74" s="173">
        <f>ROUND(IF(I74="j",VLOOKUP(BC74,uitlooptoeslag,2,FALSE))*IF('wgl tot'!H74&gt;1,1,'wgl tot'!H74),2)</f>
        <v>0</v>
      </c>
      <c r="Q74" s="173">
        <f>ROUND(IF(BH74="j",tabellen!$D$55*IF('wgl tot'!H74&gt;1,1,'wgl tot'!H74),0),2)</f>
        <v>0</v>
      </c>
      <c r="R74" s="173">
        <f>VLOOKUP(BG74,eindejaarsuitkering_OOP,2,TRUE)*'wgl tot'!H74/12</f>
        <v>0</v>
      </c>
      <c r="S74" s="173">
        <f>ROUND(H74*tabellen!$D$51,2)</f>
        <v>0</v>
      </c>
      <c r="T74" s="173">
        <f>ROUND(H74*tabellen!C$39,2)</f>
        <v>0</v>
      </c>
      <c r="U74" s="173">
        <f t="shared" si="12"/>
        <v>0</v>
      </c>
      <c r="V74" s="174">
        <f t="shared" si="23"/>
        <v>0</v>
      </c>
      <c r="W74" s="173">
        <f>('wgl tot'!L74+'wgl tot'!P74)*tabellen!$C$37*12</f>
        <v>0</v>
      </c>
      <c r="X74" s="155">
        <f t="shared" si="24"/>
        <v>0</v>
      </c>
      <c r="Y74" s="143"/>
      <c r="Z74" s="174">
        <f t="shared" si="19"/>
        <v>0</v>
      </c>
      <c r="AA74" s="207">
        <f>+'wgl tot'!W74/12</f>
        <v>0</v>
      </c>
      <c r="AB74" s="143"/>
      <c r="AC74" s="173">
        <f>IF(F74="",0,(IF('wgl tot'!V74/'wgl tot'!H74&lt;tabellen!$E$6,0,('wgl tot'!V74-tabellen!$E$6*'wgl tot'!H74)/12)*tabellen!$C$6))</f>
        <v>0</v>
      </c>
      <c r="AD74" s="173">
        <f>IF(F74="",0,(IF('wgl tot'!V74/'wgl tot'!H74&lt;tabellen!$E$7,0,(+'wgl tot'!V74-tabellen!$E$7*'wgl tot'!H74)/12)*tabellen!$C$7))</f>
        <v>0</v>
      </c>
      <c r="AE74" s="173">
        <f>'wgl tot'!V74/12*tabellen!$C$8</f>
        <v>0</v>
      </c>
      <c r="AF74" s="173">
        <f>IF(H74=0,0,IF(BM74&gt;tabellen!$G$9/12,tabellen!$G$9/12,BM74)*(tabellen!$C$9+tabellen!$C$10))</f>
        <v>0</v>
      </c>
      <c r="AG74" s="173">
        <f>IF(F74="",0,('wgl tot'!BN74))</f>
        <v>0</v>
      </c>
      <c r="AH74" s="175">
        <f>IF(F74="",0,(IF('wgl tot'!BM74&gt;tabellen!$G$12*'wgl tot'!H74/12,tabellen!$G$12*'wgl tot'!H74/12,'wgl tot'!BM74)*tabellen!$C$12))</f>
        <v>0</v>
      </c>
      <c r="AI74" s="143"/>
      <c r="AJ74" s="175">
        <f>IF(F74="",0,(L74+N74)*IF(J74=1,tabellen!$C$13,IF(J74=2,tabellen!$C$14,IF(J74=3,tabellen!$C$15,IF(J74=5,tabellen!$C$17,IF(J74=6,tabellen!$C$18,IF(J74=7,tabellen!$C$19,IF(J74=8,tabellen!$C$20,tabellen!$C$16))))))))</f>
        <v>0</v>
      </c>
      <c r="AK74" s="175">
        <f>IF(F74="",0,((L74+N74)*tabellen!$C$21))</f>
        <v>0</v>
      </c>
      <c r="AL74" s="224">
        <v>0</v>
      </c>
      <c r="AM74" s="143"/>
      <c r="AN74" s="224">
        <v>0</v>
      </c>
      <c r="AO74" s="143"/>
      <c r="AP74" s="155">
        <f t="shared" si="20"/>
        <v>0</v>
      </c>
      <c r="AQ74" s="155">
        <f t="shared" si="21"/>
        <v>0</v>
      </c>
      <c r="AR74" s="143"/>
      <c r="AS74" s="179" t="str">
        <f t="shared" si="25"/>
        <v/>
      </c>
      <c r="AT74" s="179" t="str">
        <f t="shared" si="26"/>
        <v/>
      </c>
      <c r="AU74" s="143"/>
      <c r="AV74" s="121"/>
      <c r="AW74" s="113"/>
      <c r="AX74" s="113"/>
      <c r="AY74" s="157">
        <f ca="1">YEAR('wgl tot'!$AY$9)-YEAR('wgl tot'!E74)</f>
        <v>120</v>
      </c>
      <c r="AZ74" s="157">
        <f ca="1">MONTH('wgl tot'!$AY$9)-MONTH('wgl tot'!E74)</f>
        <v>1</v>
      </c>
      <c r="BA74" s="157">
        <f ca="1">DAY('wgl tot'!$AY$9)-DAY('wgl tot'!E74)</f>
        <v>18</v>
      </c>
      <c r="BB74" s="122">
        <f>IF(AND('wgl tot'!F74&gt;0,'wgl tot'!F74&lt;17),0,100)</f>
        <v>100</v>
      </c>
      <c r="BC74" s="122">
        <f t="shared" si="27"/>
        <v>0</v>
      </c>
      <c r="BD74" s="140">
        <v>42583</v>
      </c>
      <c r="BE74" s="158">
        <f t="shared" si="18"/>
        <v>0.08</v>
      </c>
      <c r="BF74" s="159">
        <f>+tabellen!$D$45</f>
        <v>6.3E-2</v>
      </c>
      <c r="BG74" s="157">
        <f>IF('wgl tot'!BB74=100,0,'wgl tot'!F74)</f>
        <v>0</v>
      </c>
      <c r="BH74" s="159" t="str">
        <f>IF(OR('wgl tot'!F74="DA",'wgl tot'!F74="DB",'wgl tot'!F74="DBuit",'wgl tot'!F74="DC",'wgl tot'!F74="DCuit",MID('wgl tot'!F74,1,5)="meerh"),"j","n")</f>
        <v>n</v>
      </c>
      <c r="BI74" s="161" t="e">
        <f>IF('wgl tot'!V74/'wgl tot'!H74&lt;tabellen!$E$6,0,(+'wgl tot'!V74-tabellen!$E$6*'wgl tot'!H74)/12*tabellen!$D$6)</f>
        <v>#DIV/0!</v>
      </c>
      <c r="BJ74" s="161" t="e">
        <f>IF('wgl tot'!V74/'wgl tot'!H74&lt;tabellen!$E$7,0,(+'wgl tot'!V74-tabellen!$E$7*'wgl tot'!H74)/12*tabellen!$D$7)</f>
        <v>#DIV/0!</v>
      </c>
      <c r="BK74" s="161">
        <f>'wgl tot'!V74/12*tabellen!$D$8</f>
        <v>0</v>
      </c>
      <c r="BL74" s="162" t="e">
        <f t="shared" si="22"/>
        <v>#DIV/0!</v>
      </c>
      <c r="BM74" s="163" t="e">
        <f>+X74/12-'wgl tot'!BL74</f>
        <v>#DIV/0!</v>
      </c>
      <c r="BN74" s="163" t="e">
        <f>ROUND(IF('wgl tot'!BM74&gt;tabellen!$H$11,tabellen!$H$11,'wgl tot'!BM74)*tabellen!$C$11,2)</f>
        <v>#DIV/0!</v>
      </c>
      <c r="BO74" s="163" t="e">
        <f>+'wgl tot'!BM74+'wgl tot'!BN74</f>
        <v>#DIV/0!</v>
      </c>
      <c r="BP74" s="164">
        <f t="shared" si="28"/>
        <v>1900</v>
      </c>
      <c r="BQ74" s="164">
        <f t="shared" si="29"/>
        <v>1</v>
      </c>
      <c r="BR74" s="157">
        <f t="shared" si="30"/>
        <v>0</v>
      </c>
      <c r="BS74" s="140">
        <f t="shared" si="16"/>
        <v>24227</v>
      </c>
      <c r="BT74" s="140">
        <f t="shared" ca="1" si="17"/>
        <v>43879.576672800926</v>
      </c>
      <c r="BU74" s="122"/>
      <c r="BV74" s="140"/>
      <c r="BW74" s="122"/>
      <c r="BX74" s="160"/>
      <c r="BY74" s="160"/>
      <c r="BZ74" s="160"/>
      <c r="CA74" s="160"/>
      <c r="CB74" s="160"/>
      <c r="CC74" s="160"/>
      <c r="CD74" s="113"/>
      <c r="CE74" s="113"/>
    </row>
    <row r="75" spans="1:83" s="124" customFormat="1" ht="12" customHeight="1" x14ac:dyDescent="0.2">
      <c r="A75" s="113"/>
      <c r="B75" s="114"/>
      <c r="C75" s="143"/>
      <c r="D75" s="149"/>
      <c r="E75" s="150"/>
      <c r="F75" s="151"/>
      <c r="G75" s="151"/>
      <c r="H75" s="152"/>
      <c r="I75" s="151"/>
      <c r="J75" s="153"/>
      <c r="K75" s="173">
        <f>IF(F75="",0,(VLOOKUP('wgl tot'!F75,saltab2020,'wgl tot'!G75+1,FALSE)))</f>
        <v>0</v>
      </c>
      <c r="L75" s="155">
        <f t="shared" si="34"/>
        <v>0</v>
      </c>
      <c r="M75" s="143"/>
      <c r="N75" s="173">
        <f>ROUND(IF(('wgl tot'!L75+'wgl tot'!P75)*BE75&lt;'wgl tot'!H75*tabellen!$D$44,'wgl tot'!H75*tabellen!$D$44,('wgl tot'!L75+'wgl tot'!P75)*BE75),2)</f>
        <v>0</v>
      </c>
      <c r="O75" s="173">
        <f>ROUND(+('wgl tot'!L75+'wgl tot'!P75)*BF75,2)</f>
        <v>0</v>
      </c>
      <c r="P75" s="173">
        <f>ROUND(IF(I75="j",VLOOKUP(BC75,uitlooptoeslag,2,FALSE))*IF('wgl tot'!H75&gt;1,1,'wgl tot'!H75),2)</f>
        <v>0</v>
      </c>
      <c r="Q75" s="173">
        <f>ROUND(IF(BH75="j",tabellen!$D$55*IF('wgl tot'!H75&gt;1,1,'wgl tot'!H75),0),2)</f>
        <v>0</v>
      </c>
      <c r="R75" s="173">
        <f>VLOOKUP(BG75,eindejaarsuitkering_OOP,2,TRUE)*'wgl tot'!H75/12</f>
        <v>0</v>
      </c>
      <c r="S75" s="173">
        <f>ROUND(H75*tabellen!$D$51,2)</f>
        <v>0</v>
      </c>
      <c r="T75" s="173">
        <f>ROUND(H75*tabellen!C$39,2)</f>
        <v>0</v>
      </c>
      <c r="U75" s="173">
        <f t="shared" si="12"/>
        <v>0</v>
      </c>
      <c r="V75" s="174">
        <f t="shared" si="23"/>
        <v>0</v>
      </c>
      <c r="W75" s="173">
        <f>('wgl tot'!L75+'wgl tot'!P75)*tabellen!$C$37*12</f>
        <v>0</v>
      </c>
      <c r="X75" s="155">
        <f t="shared" si="24"/>
        <v>0</v>
      </c>
      <c r="Y75" s="143"/>
      <c r="Z75" s="174">
        <f t="shared" si="19"/>
        <v>0</v>
      </c>
      <c r="AA75" s="207">
        <f>+'wgl tot'!W75/12</f>
        <v>0</v>
      </c>
      <c r="AB75" s="143"/>
      <c r="AC75" s="173">
        <f>IF(F75="",0,(IF('wgl tot'!V75/'wgl tot'!H75&lt;tabellen!$E$6,0,('wgl tot'!V75-tabellen!$E$6*'wgl tot'!H75)/12)*tabellen!$C$6))</f>
        <v>0</v>
      </c>
      <c r="AD75" s="173">
        <f>IF(F75="",0,(IF('wgl tot'!V75/'wgl tot'!H75&lt;tabellen!$E$7,0,(+'wgl tot'!V75-tabellen!$E$7*'wgl tot'!H75)/12)*tabellen!$C$7))</f>
        <v>0</v>
      </c>
      <c r="AE75" s="173">
        <f>'wgl tot'!V75/12*tabellen!$C$8</f>
        <v>0</v>
      </c>
      <c r="AF75" s="173">
        <f>IF(H75=0,0,IF(BM75&gt;tabellen!$G$9/12,tabellen!$G$9/12,BM75)*(tabellen!$C$9+tabellen!$C$10))</f>
        <v>0</v>
      </c>
      <c r="AG75" s="173">
        <f>IF(F75="",0,('wgl tot'!BN75))</f>
        <v>0</v>
      </c>
      <c r="AH75" s="175">
        <f>IF(F75="",0,(IF('wgl tot'!BM75&gt;tabellen!$G$12*'wgl tot'!H75/12,tabellen!$G$12*'wgl tot'!H75/12,'wgl tot'!BM75)*tabellen!$C$12))</f>
        <v>0</v>
      </c>
      <c r="AI75" s="143"/>
      <c r="AJ75" s="175">
        <f>IF(F75="",0,(L75+N75)*IF(J75=1,tabellen!$C$13,IF(J75=2,tabellen!$C$14,IF(J75=3,tabellen!$C$15,IF(J75=5,tabellen!$C$17,IF(J75=6,tabellen!$C$18,IF(J75=7,tabellen!$C$19,IF(J75=8,tabellen!$C$20,tabellen!$C$16))))))))</f>
        <v>0</v>
      </c>
      <c r="AK75" s="175">
        <f>IF(F75="",0,((L75+N75)*tabellen!$C$21))</f>
        <v>0</v>
      </c>
      <c r="AL75" s="224">
        <v>0</v>
      </c>
      <c r="AM75" s="143"/>
      <c r="AN75" s="224">
        <v>0</v>
      </c>
      <c r="AO75" s="143"/>
      <c r="AP75" s="155">
        <f t="shared" si="20"/>
        <v>0</v>
      </c>
      <c r="AQ75" s="155">
        <f t="shared" si="21"/>
        <v>0</v>
      </c>
      <c r="AR75" s="143"/>
      <c r="AS75" s="179" t="str">
        <f t="shared" si="25"/>
        <v/>
      </c>
      <c r="AT75" s="179" t="str">
        <f t="shared" si="26"/>
        <v/>
      </c>
      <c r="AU75" s="143"/>
      <c r="AV75" s="121"/>
      <c r="AW75" s="113"/>
      <c r="AX75" s="113"/>
      <c r="AY75" s="157">
        <f ca="1">YEAR('wgl tot'!$AY$9)-YEAR('wgl tot'!E75)</f>
        <v>120</v>
      </c>
      <c r="AZ75" s="157">
        <f ca="1">MONTH('wgl tot'!$AY$9)-MONTH('wgl tot'!E75)</f>
        <v>1</v>
      </c>
      <c r="BA75" s="157">
        <f ca="1">DAY('wgl tot'!$AY$9)-DAY('wgl tot'!E75)</f>
        <v>18</v>
      </c>
      <c r="BB75" s="122">
        <f>IF(AND('wgl tot'!F75&gt;0,'wgl tot'!F75&lt;17),0,100)</f>
        <v>100</v>
      </c>
      <c r="BC75" s="122">
        <f t="shared" si="27"/>
        <v>0</v>
      </c>
      <c r="BD75" s="140">
        <v>42583</v>
      </c>
      <c r="BE75" s="158">
        <f t="shared" si="18"/>
        <v>0.08</v>
      </c>
      <c r="BF75" s="159">
        <f>+tabellen!$D$45</f>
        <v>6.3E-2</v>
      </c>
      <c r="BG75" s="157">
        <f>IF('wgl tot'!BB75=100,0,'wgl tot'!F75)</f>
        <v>0</v>
      </c>
      <c r="BH75" s="159" t="str">
        <f>IF(OR('wgl tot'!F75="DA",'wgl tot'!F75="DB",'wgl tot'!F75="DBuit",'wgl tot'!F75="DC",'wgl tot'!F75="DCuit",MID('wgl tot'!F75,1,5)="meerh"),"j","n")</f>
        <v>n</v>
      </c>
      <c r="BI75" s="161" t="e">
        <f>IF('wgl tot'!V75/'wgl tot'!H75&lt;tabellen!$E$6,0,(+'wgl tot'!V75-tabellen!$E$6*'wgl tot'!H75)/12*tabellen!$D$6)</f>
        <v>#DIV/0!</v>
      </c>
      <c r="BJ75" s="161" t="e">
        <f>IF('wgl tot'!V75/'wgl tot'!H75&lt;tabellen!$E$7,0,(+'wgl tot'!V75-tabellen!$E$7*'wgl tot'!H75)/12*tabellen!$D$7)</f>
        <v>#DIV/0!</v>
      </c>
      <c r="BK75" s="161">
        <f>'wgl tot'!V75/12*tabellen!$D$8</f>
        <v>0</v>
      </c>
      <c r="BL75" s="162" t="e">
        <f t="shared" si="22"/>
        <v>#DIV/0!</v>
      </c>
      <c r="BM75" s="163" t="e">
        <f>+X75/12-'wgl tot'!BL75</f>
        <v>#DIV/0!</v>
      </c>
      <c r="BN75" s="163" t="e">
        <f>ROUND(IF('wgl tot'!BM75&gt;tabellen!$H$11,tabellen!$H$11,'wgl tot'!BM75)*tabellen!$C$11,2)</f>
        <v>#DIV/0!</v>
      </c>
      <c r="BO75" s="163" t="e">
        <f>+'wgl tot'!BM75+'wgl tot'!BN75</f>
        <v>#DIV/0!</v>
      </c>
      <c r="BP75" s="164">
        <f t="shared" si="28"/>
        <v>1900</v>
      </c>
      <c r="BQ75" s="164">
        <f t="shared" si="29"/>
        <v>1</v>
      </c>
      <c r="BR75" s="157">
        <f t="shared" si="30"/>
        <v>0</v>
      </c>
      <c r="BS75" s="140">
        <f t="shared" si="16"/>
        <v>24227</v>
      </c>
      <c r="BT75" s="140">
        <f t="shared" ca="1" si="17"/>
        <v>43879.576672800926</v>
      </c>
      <c r="BU75" s="122"/>
      <c r="BV75" s="140"/>
      <c r="BW75" s="122"/>
      <c r="BX75" s="160"/>
      <c r="BY75" s="160"/>
      <c r="BZ75" s="160"/>
      <c r="CA75" s="160"/>
      <c r="CB75" s="160"/>
      <c r="CC75" s="160"/>
      <c r="CD75" s="113"/>
      <c r="CE75" s="113"/>
    </row>
    <row r="76" spans="1:83" s="124" customFormat="1" ht="12" customHeight="1" x14ac:dyDescent="0.2">
      <c r="A76" s="113"/>
      <c r="B76" s="114"/>
      <c r="C76" s="143"/>
      <c r="D76" s="149"/>
      <c r="E76" s="150"/>
      <c r="F76" s="151"/>
      <c r="G76" s="151"/>
      <c r="H76" s="152"/>
      <c r="I76" s="151"/>
      <c r="J76" s="153"/>
      <c r="K76" s="173">
        <f>IF(F76="",0,(VLOOKUP('wgl tot'!F76,saltab2020,'wgl tot'!G76+1,FALSE)))</f>
        <v>0</v>
      </c>
      <c r="L76" s="155">
        <f t="shared" si="34"/>
        <v>0</v>
      </c>
      <c r="M76" s="143"/>
      <c r="N76" s="173">
        <f>ROUND(IF(('wgl tot'!L76+'wgl tot'!P76)*BE76&lt;'wgl tot'!H76*tabellen!$D$44,'wgl tot'!H76*tabellen!$D$44,('wgl tot'!L76+'wgl tot'!P76)*BE76),2)</f>
        <v>0</v>
      </c>
      <c r="O76" s="173">
        <f>ROUND(+('wgl tot'!L76+'wgl tot'!P76)*BF76,2)</f>
        <v>0</v>
      </c>
      <c r="P76" s="173">
        <f>ROUND(IF(I76="j",VLOOKUP(BC76,uitlooptoeslag,2,FALSE))*IF('wgl tot'!H76&gt;1,1,'wgl tot'!H76),2)</f>
        <v>0</v>
      </c>
      <c r="Q76" s="173">
        <f>ROUND(IF(BH76="j",tabellen!$D$55*IF('wgl tot'!H76&gt;1,1,'wgl tot'!H76),0),2)</f>
        <v>0</v>
      </c>
      <c r="R76" s="173">
        <f>VLOOKUP(BG76,eindejaarsuitkering_OOP,2,TRUE)*'wgl tot'!H76/12</f>
        <v>0</v>
      </c>
      <c r="S76" s="173">
        <f>ROUND(H76*tabellen!$D$51,2)</f>
        <v>0</v>
      </c>
      <c r="T76" s="173">
        <f>ROUND(H76*tabellen!C$39,2)</f>
        <v>0</v>
      </c>
      <c r="U76" s="173">
        <f t="shared" si="12"/>
        <v>0</v>
      </c>
      <c r="V76" s="174">
        <f t="shared" ref="V76:V86" si="35">ROUND(((SUM(L76:R76)*12)+S76),0)</f>
        <v>0</v>
      </c>
      <c r="W76" s="173">
        <f>('wgl tot'!L76+'wgl tot'!P76)*tabellen!$C$37*12</f>
        <v>0</v>
      </c>
      <c r="X76" s="155">
        <f t="shared" ref="X76:X86" si="36">ROUND((SUM(L76:R76)*12+T76+U76+S76+W76),0)</f>
        <v>0</v>
      </c>
      <c r="Y76" s="143"/>
      <c r="Z76" s="174">
        <f t="shared" si="19"/>
        <v>0</v>
      </c>
      <c r="AA76" s="207">
        <f>+'wgl tot'!W76/12</f>
        <v>0</v>
      </c>
      <c r="AB76" s="143"/>
      <c r="AC76" s="173">
        <f>IF(F76="",0,(IF('wgl tot'!V76/'wgl tot'!H76&lt;tabellen!$E$6,0,('wgl tot'!V76-tabellen!$E$6*'wgl tot'!H76)/12)*tabellen!$C$6))</f>
        <v>0</v>
      </c>
      <c r="AD76" s="173">
        <f>IF(F76="",0,(IF('wgl tot'!V76/'wgl tot'!H76&lt;tabellen!$E$7,0,(+'wgl tot'!V76-tabellen!$E$7*'wgl tot'!H76)/12)*tabellen!$C$7))</f>
        <v>0</v>
      </c>
      <c r="AE76" s="173">
        <f>'wgl tot'!V76/12*tabellen!$C$8</f>
        <v>0</v>
      </c>
      <c r="AF76" s="173">
        <f>IF(H76=0,0,IF(BM76&gt;tabellen!$G$9/12,tabellen!$G$9/12,BM76)*(tabellen!$C$9+tabellen!$C$10))</f>
        <v>0</v>
      </c>
      <c r="AG76" s="173">
        <f>IF(F76="",0,('wgl tot'!BN76))</f>
        <v>0</v>
      </c>
      <c r="AH76" s="175">
        <f>IF(F76="",0,(IF('wgl tot'!BM76&gt;tabellen!$G$12*'wgl tot'!H76/12,tabellen!$G$12*'wgl tot'!H76/12,'wgl tot'!BM76)*tabellen!$C$12))</f>
        <v>0</v>
      </c>
      <c r="AI76" s="143"/>
      <c r="AJ76" s="175">
        <f>IF(F76="",0,(L76+N76)*IF(J76=1,tabellen!$C$13,IF(J76=2,tabellen!$C$14,IF(J76=3,tabellen!$C$15,IF(J76=5,tabellen!$C$17,IF(J76=6,tabellen!$C$18,IF(J76=7,tabellen!$C$19,IF(J76=8,tabellen!$C$20,tabellen!$C$16))))))))</f>
        <v>0</v>
      </c>
      <c r="AK76" s="175">
        <f>IF(F76="",0,((L76+N76)*tabellen!$C$21))</f>
        <v>0</v>
      </c>
      <c r="AL76" s="224">
        <v>0</v>
      </c>
      <c r="AM76" s="143"/>
      <c r="AN76" s="224">
        <v>0</v>
      </c>
      <c r="AO76" s="143"/>
      <c r="AP76" s="155">
        <f t="shared" si="20"/>
        <v>0</v>
      </c>
      <c r="AQ76" s="155">
        <f t="shared" si="21"/>
        <v>0</v>
      </c>
      <c r="AR76" s="143"/>
      <c r="AS76" s="179" t="str">
        <f t="shared" ref="AS76:AS86" si="37">IF(AP76=0,"",(AP76/L76-1))</f>
        <v/>
      </c>
      <c r="AT76" s="179" t="str">
        <f t="shared" ref="AT76:AT86" si="38">IF(AP76=0,"",(AP76/(X76/12))-1)</f>
        <v/>
      </c>
      <c r="AU76" s="143"/>
      <c r="AV76" s="121"/>
      <c r="AW76" s="113"/>
      <c r="AX76" s="113"/>
      <c r="AY76" s="157">
        <f ca="1">YEAR('wgl tot'!$AY$9)-YEAR('wgl tot'!E76)</f>
        <v>120</v>
      </c>
      <c r="AZ76" s="157">
        <f ca="1">MONTH('wgl tot'!$AY$9)-MONTH('wgl tot'!E76)</f>
        <v>1</v>
      </c>
      <c r="BA76" s="157">
        <f ca="1">DAY('wgl tot'!$AY$9)-DAY('wgl tot'!E76)</f>
        <v>18</v>
      </c>
      <c r="BB76" s="122">
        <f>IF(AND('wgl tot'!F76&gt;0,'wgl tot'!F76&lt;17),0,100)</f>
        <v>100</v>
      </c>
      <c r="BC76" s="122">
        <f t="shared" ref="BC76:BC86" si="39">F76</f>
        <v>0</v>
      </c>
      <c r="BD76" s="140">
        <v>42583</v>
      </c>
      <c r="BE76" s="158">
        <f t="shared" si="18"/>
        <v>0.08</v>
      </c>
      <c r="BF76" s="159">
        <f>+tabellen!$D$45</f>
        <v>6.3E-2</v>
      </c>
      <c r="BG76" s="157">
        <f>IF('wgl tot'!BB76=100,0,'wgl tot'!F76)</f>
        <v>0</v>
      </c>
      <c r="BH76" s="159" t="str">
        <f>IF(OR('wgl tot'!F76="DA",'wgl tot'!F76="DB",'wgl tot'!F76="DBuit",'wgl tot'!F76="DC",'wgl tot'!F76="DCuit",MID('wgl tot'!F76,1,5)="meerh"),"j","n")</f>
        <v>n</v>
      </c>
      <c r="BI76" s="161" t="e">
        <f>IF('wgl tot'!V76/'wgl tot'!H76&lt;tabellen!$E$6,0,(+'wgl tot'!V76-tabellen!$E$6*'wgl tot'!H76)/12*tabellen!$D$6)</f>
        <v>#DIV/0!</v>
      </c>
      <c r="BJ76" s="161" t="e">
        <f>IF('wgl tot'!V76/'wgl tot'!H76&lt;tabellen!$E$7,0,(+'wgl tot'!V76-tabellen!$E$7*'wgl tot'!H76)/12*tabellen!$D$7)</f>
        <v>#DIV/0!</v>
      </c>
      <c r="BK76" s="161">
        <f>'wgl tot'!V76/12*tabellen!$D$8</f>
        <v>0</v>
      </c>
      <c r="BL76" s="162" t="e">
        <f>SUM(BI76:BK76)</f>
        <v>#DIV/0!</v>
      </c>
      <c r="BM76" s="163" t="e">
        <f>+X76/12-'wgl tot'!BL76</f>
        <v>#DIV/0!</v>
      </c>
      <c r="BN76" s="163" t="e">
        <f>ROUND(IF('wgl tot'!BM76&gt;tabellen!$H$11,tabellen!$H$11,'wgl tot'!BM76)*tabellen!$C$11,2)</f>
        <v>#DIV/0!</v>
      </c>
      <c r="BO76" s="163" t="e">
        <f>+'wgl tot'!BM76+'wgl tot'!BN76</f>
        <v>#DIV/0!</v>
      </c>
      <c r="BP76" s="164">
        <f t="shared" ref="BP76:BP86" si="40">YEAR(E76)</f>
        <v>1900</v>
      </c>
      <c r="BQ76" s="164">
        <f t="shared" ref="BQ76:BQ86" si="41">MONTH(E76)</f>
        <v>1</v>
      </c>
      <c r="BR76" s="157">
        <f t="shared" ref="BR76:BR86" si="42">DAY(E76)</f>
        <v>0</v>
      </c>
      <c r="BS76" s="140">
        <f t="shared" si="16"/>
        <v>24227</v>
      </c>
      <c r="BT76" s="140">
        <f t="shared" ca="1" si="17"/>
        <v>43879.576672800926</v>
      </c>
      <c r="BU76" s="122"/>
      <c r="BV76" s="140"/>
      <c r="BW76" s="122"/>
      <c r="BX76" s="160"/>
      <c r="BY76" s="160"/>
      <c r="BZ76" s="160"/>
      <c r="CA76" s="160"/>
      <c r="CB76" s="160"/>
      <c r="CC76" s="160"/>
      <c r="CD76" s="113"/>
      <c r="CE76" s="113"/>
    </row>
    <row r="77" spans="1:83" s="124" customFormat="1" ht="12" customHeight="1" x14ac:dyDescent="0.2">
      <c r="A77" s="113"/>
      <c r="B77" s="114"/>
      <c r="C77" s="143"/>
      <c r="D77" s="149"/>
      <c r="E77" s="150"/>
      <c r="F77" s="151"/>
      <c r="G77" s="151"/>
      <c r="H77" s="152"/>
      <c r="I77" s="151"/>
      <c r="J77" s="153"/>
      <c r="K77" s="173">
        <f>IF(F77="",0,(VLOOKUP('wgl tot'!F77,saltab2020,'wgl tot'!G77+1,FALSE)))</f>
        <v>0</v>
      </c>
      <c r="L77" s="155">
        <f t="shared" si="34"/>
        <v>0</v>
      </c>
      <c r="M77" s="143"/>
      <c r="N77" s="173">
        <f>ROUND(IF(('wgl tot'!L77+'wgl tot'!P77)*BE77&lt;'wgl tot'!H77*tabellen!$D$44,'wgl tot'!H77*tabellen!$D$44,('wgl tot'!L77+'wgl tot'!P77)*BE77),2)</f>
        <v>0</v>
      </c>
      <c r="O77" s="173">
        <f>ROUND(+('wgl tot'!L77+'wgl tot'!P77)*BF77,2)</f>
        <v>0</v>
      </c>
      <c r="P77" s="173">
        <f>ROUND(IF(I77="j",VLOOKUP(BC77,uitlooptoeslag,2,FALSE))*IF('wgl tot'!H77&gt;1,1,'wgl tot'!H77),2)</f>
        <v>0</v>
      </c>
      <c r="Q77" s="173">
        <f>ROUND(IF(BH77="j",tabellen!$D$55*IF('wgl tot'!H77&gt;1,1,'wgl tot'!H77),0),2)</f>
        <v>0</v>
      </c>
      <c r="R77" s="173">
        <f>VLOOKUP(BG77,eindejaarsuitkering_OOP,2,TRUE)*'wgl tot'!H77/12</f>
        <v>0</v>
      </c>
      <c r="S77" s="173">
        <f>ROUND(H77*tabellen!$D$51,2)</f>
        <v>0</v>
      </c>
      <c r="T77" s="173">
        <f>ROUND(H77*tabellen!C$39,2)</f>
        <v>0</v>
      </c>
      <c r="U77" s="173">
        <f t="shared" ref="U77:U86" si="43">33%*L77</f>
        <v>0</v>
      </c>
      <c r="V77" s="174">
        <f t="shared" si="35"/>
        <v>0</v>
      </c>
      <c r="W77" s="173">
        <f>('wgl tot'!L77+'wgl tot'!P77)*tabellen!$C$37*12</f>
        <v>0</v>
      </c>
      <c r="X77" s="155">
        <f t="shared" si="36"/>
        <v>0</v>
      </c>
      <c r="Y77" s="143"/>
      <c r="Z77" s="174">
        <f t="shared" ref="Z77:Z86" si="44">X77/12</f>
        <v>0</v>
      </c>
      <c r="AA77" s="207">
        <f>+'wgl tot'!W77/12</f>
        <v>0</v>
      </c>
      <c r="AB77" s="143"/>
      <c r="AC77" s="173">
        <f>IF(F77="",0,(IF('wgl tot'!V77/'wgl tot'!H77&lt;tabellen!$E$6,0,('wgl tot'!V77-tabellen!$E$6*'wgl tot'!H77)/12)*tabellen!$C$6))</f>
        <v>0</v>
      </c>
      <c r="AD77" s="173">
        <f>IF(F77="",0,(IF('wgl tot'!V77/'wgl tot'!H77&lt;tabellen!$E$7,0,(+'wgl tot'!V77-tabellen!$E$7*'wgl tot'!H77)/12)*tabellen!$C$7))</f>
        <v>0</v>
      </c>
      <c r="AE77" s="173">
        <f>'wgl tot'!V77/12*tabellen!$C$8</f>
        <v>0</v>
      </c>
      <c r="AF77" s="173">
        <f>IF(H77=0,0,IF(BM77&gt;tabellen!$G$9/12,tabellen!$G$9/12,BM77)*(tabellen!$C$9+tabellen!$C$10))</f>
        <v>0</v>
      </c>
      <c r="AG77" s="173">
        <f>IF(F77="",0,('wgl tot'!BN77))</f>
        <v>0</v>
      </c>
      <c r="AH77" s="175">
        <f>IF(F77="",0,(IF('wgl tot'!BM77&gt;tabellen!$G$12*'wgl tot'!H77/12,tabellen!$G$12*'wgl tot'!H77/12,'wgl tot'!BM77)*tabellen!$C$12))</f>
        <v>0</v>
      </c>
      <c r="AI77" s="143"/>
      <c r="AJ77" s="175">
        <f>IF(F77="",0,(L77+N77)*IF(J77=1,tabellen!$C$13,IF(J77=2,tabellen!$C$14,IF(J77=3,tabellen!$C$15,IF(J77=5,tabellen!$C$17,IF(J77=6,tabellen!$C$18,IF(J77=7,tabellen!$C$19,IF(J77=8,tabellen!$C$20,tabellen!$C$16))))))))</f>
        <v>0</v>
      </c>
      <c r="AK77" s="175">
        <f>IF(F77="",0,((L77+N77)*tabellen!$C$21))</f>
        <v>0</v>
      </c>
      <c r="AL77" s="224">
        <v>0</v>
      </c>
      <c r="AM77" s="143"/>
      <c r="AN77" s="224">
        <v>0</v>
      </c>
      <c r="AO77" s="143"/>
      <c r="AP77" s="155">
        <f t="shared" si="20"/>
        <v>0</v>
      </c>
      <c r="AQ77" s="155">
        <f t="shared" si="21"/>
        <v>0</v>
      </c>
      <c r="AR77" s="143"/>
      <c r="AS77" s="179" t="str">
        <f t="shared" si="37"/>
        <v/>
      </c>
      <c r="AT77" s="179" t="str">
        <f t="shared" si="38"/>
        <v/>
      </c>
      <c r="AU77" s="143"/>
      <c r="AV77" s="121"/>
      <c r="AW77" s="113"/>
      <c r="AX77" s="113"/>
      <c r="AY77" s="157">
        <f ca="1">YEAR('wgl tot'!$AY$9)-YEAR('wgl tot'!E77)</f>
        <v>120</v>
      </c>
      <c r="AZ77" s="157">
        <f ca="1">MONTH('wgl tot'!$AY$9)-MONTH('wgl tot'!E77)</f>
        <v>1</v>
      </c>
      <c r="BA77" s="157">
        <f ca="1">DAY('wgl tot'!$AY$9)-DAY('wgl tot'!E77)</f>
        <v>18</v>
      </c>
      <c r="BB77" s="122">
        <f>IF(AND('wgl tot'!F77&gt;0,'wgl tot'!F77&lt;17),0,100)</f>
        <v>100</v>
      </c>
      <c r="BC77" s="122">
        <f t="shared" si="39"/>
        <v>0</v>
      </c>
      <c r="BD77" s="140">
        <v>42583</v>
      </c>
      <c r="BE77" s="158">
        <f t="shared" si="18"/>
        <v>0.08</v>
      </c>
      <c r="BF77" s="159">
        <f>+tabellen!$D$45</f>
        <v>6.3E-2</v>
      </c>
      <c r="BG77" s="157">
        <f>IF('wgl tot'!BB77=100,0,'wgl tot'!F77)</f>
        <v>0</v>
      </c>
      <c r="BH77" s="159" t="str">
        <f>IF(OR('wgl tot'!F77="DA",'wgl tot'!F77="DB",'wgl tot'!F77="DBuit",'wgl tot'!F77="DC",'wgl tot'!F77="DCuit",MID('wgl tot'!F77,1,5)="meerh"),"j","n")</f>
        <v>n</v>
      </c>
      <c r="BI77" s="161" t="e">
        <f>IF('wgl tot'!V77/'wgl tot'!H77&lt;tabellen!$E$6,0,(+'wgl tot'!V77-tabellen!$E$6*'wgl tot'!H77)/12*tabellen!$D$6)</f>
        <v>#DIV/0!</v>
      </c>
      <c r="BJ77" s="161" t="e">
        <f>IF('wgl tot'!V77/'wgl tot'!H77&lt;tabellen!$E$7,0,(+'wgl tot'!V77-tabellen!$E$7*'wgl tot'!H77)/12*tabellen!$D$7)</f>
        <v>#DIV/0!</v>
      </c>
      <c r="BK77" s="161">
        <f>'wgl tot'!V77/12*tabellen!$D$8</f>
        <v>0</v>
      </c>
      <c r="BL77" s="162" t="e">
        <f>SUM(BI77:BK77)</f>
        <v>#DIV/0!</v>
      </c>
      <c r="BM77" s="163" t="e">
        <f>+X77/12-'wgl tot'!BL77</f>
        <v>#DIV/0!</v>
      </c>
      <c r="BN77" s="163" t="e">
        <f>ROUND(IF('wgl tot'!BM77&gt;tabellen!$H$11,tabellen!$H$11,'wgl tot'!BM77)*tabellen!$C$11,2)</f>
        <v>#DIV/0!</v>
      </c>
      <c r="BO77" s="163" t="e">
        <f>+'wgl tot'!BM77+'wgl tot'!BN77</f>
        <v>#DIV/0!</v>
      </c>
      <c r="BP77" s="164">
        <f t="shared" si="40"/>
        <v>1900</v>
      </c>
      <c r="BQ77" s="164">
        <f t="shared" si="41"/>
        <v>1</v>
      </c>
      <c r="BR77" s="157">
        <f t="shared" si="42"/>
        <v>0</v>
      </c>
      <c r="BS77" s="140">
        <f t="shared" ref="BS77:BS86" si="45">DATE(BP77+66,BQ77+4,BR77)</f>
        <v>24227</v>
      </c>
      <c r="BT77" s="140">
        <f t="shared" ca="1" si="17"/>
        <v>43879.576672800926</v>
      </c>
      <c r="BU77" s="122"/>
      <c r="BV77" s="140"/>
      <c r="BW77" s="122"/>
      <c r="BX77" s="160"/>
      <c r="BY77" s="160"/>
      <c r="BZ77" s="160"/>
      <c r="CA77" s="160"/>
      <c r="CB77" s="160"/>
      <c r="CC77" s="160"/>
      <c r="CD77" s="113"/>
      <c r="CE77" s="113"/>
    </row>
    <row r="78" spans="1:83" s="124" customFormat="1" ht="12" customHeight="1" x14ac:dyDescent="0.2">
      <c r="A78" s="113"/>
      <c r="B78" s="114"/>
      <c r="C78" s="143"/>
      <c r="D78" s="149"/>
      <c r="E78" s="150"/>
      <c r="F78" s="151"/>
      <c r="G78" s="151"/>
      <c r="H78" s="152"/>
      <c r="I78" s="151"/>
      <c r="J78" s="153"/>
      <c r="K78" s="173">
        <f>IF(F78="",0,(VLOOKUP('wgl tot'!F78,saltab2020,'wgl tot'!G78+1,FALSE)))</f>
        <v>0</v>
      </c>
      <c r="L78" s="155">
        <f t="shared" si="34"/>
        <v>0</v>
      </c>
      <c r="M78" s="143"/>
      <c r="N78" s="173">
        <f>ROUND(IF(('wgl tot'!L78+'wgl tot'!P78)*BE78&lt;'wgl tot'!H78*tabellen!$D$44,'wgl tot'!H78*tabellen!$D$44,('wgl tot'!L78+'wgl tot'!P78)*BE78),2)</f>
        <v>0</v>
      </c>
      <c r="O78" s="173">
        <f>ROUND(+('wgl tot'!L78+'wgl tot'!P78)*BF78,2)</f>
        <v>0</v>
      </c>
      <c r="P78" s="173">
        <f>ROUND(IF(I78="j",VLOOKUP(BC78,uitlooptoeslag,2,FALSE))*IF('wgl tot'!H78&gt;1,1,'wgl tot'!H78),2)</f>
        <v>0</v>
      </c>
      <c r="Q78" s="173">
        <f>ROUND(IF(BH78="j",tabellen!$D$55*IF('wgl tot'!H78&gt;1,1,'wgl tot'!H78),0),2)</f>
        <v>0</v>
      </c>
      <c r="R78" s="173">
        <f>VLOOKUP(BG78,eindejaarsuitkering_OOP,2,TRUE)*'wgl tot'!H78/12</f>
        <v>0</v>
      </c>
      <c r="S78" s="173">
        <f>ROUND(H78*tabellen!$D$51,2)</f>
        <v>0</v>
      </c>
      <c r="T78" s="173">
        <f>ROUND(H78*tabellen!C$39,2)</f>
        <v>0</v>
      </c>
      <c r="U78" s="173">
        <f t="shared" si="43"/>
        <v>0</v>
      </c>
      <c r="V78" s="174">
        <f t="shared" si="35"/>
        <v>0</v>
      </c>
      <c r="W78" s="173">
        <f>('wgl tot'!L78+'wgl tot'!P78)*tabellen!$C$37*12</f>
        <v>0</v>
      </c>
      <c r="X78" s="155">
        <f t="shared" si="36"/>
        <v>0</v>
      </c>
      <c r="Y78" s="143"/>
      <c r="Z78" s="174">
        <f t="shared" si="44"/>
        <v>0</v>
      </c>
      <c r="AA78" s="207">
        <f>+'wgl tot'!W78/12</f>
        <v>0</v>
      </c>
      <c r="AB78" s="143"/>
      <c r="AC78" s="173">
        <f>IF(F78="",0,(IF('wgl tot'!V78/'wgl tot'!H78&lt;tabellen!$E$6,0,('wgl tot'!V78-tabellen!$E$6*'wgl tot'!H78)/12)*tabellen!$C$6))</f>
        <v>0</v>
      </c>
      <c r="AD78" s="173">
        <f>IF(F78="",0,(IF('wgl tot'!V78/'wgl tot'!H78&lt;tabellen!$E$7,0,(+'wgl tot'!V78-tabellen!$E$7*'wgl tot'!H78)/12)*tabellen!$C$7))</f>
        <v>0</v>
      </c>
      <c r="AE78" s="173">
        <f>'wgl tot'!V78/12*tabellen!$C$8</f>
        <v>0</v>
      </c>
      <c r="AF78" s="173">
        <f>IF(H78=0,0,IF(BM78&gt;tabellen!$G$9/12,tabellen!$G$9/12,BM78)*(tabellen!$C$9+tabellen!$C$10))</f>
        <v>0</v>
      </c>
      <c r="AG78" s="173">
        <f>IF(F78="",0,('wgl tot'!BN78))</f>
        <v>0</v>
      </c>
      <c r="AH78" s="175">
        <f>IF(F78="",0,(IF('wgl tot'!BM78&gt;tabellen!$G$12*'wgl tot'!H78/12,tabellen!$G$12*'wgl tot'!H78/12,'wgl tot'!BM78)*tabellen!$C$12))</f>
        <v>0</v>
      </c>
      <c r="AI78" s="143"/>
      <c r="AJ78" s="175">
        <f>IF(F78="",0,(L78+N78)*IF(J78=1,tabellen!$C$13,IF(J78=2,tabellen!$C$14,IF(J78=3,tabellen!$C$15,IF(J78=5,tabellen!$C$17,IF(J78=6,tabellen!$C$18,IF(J78=7,tabellen!$C$19,IF(J78=8,tabellen!$C$20,tabellen!$C$16))))))))</f>
        <v>0</v>
      </c>
      <c r="AK78" s="175">
        <f>IF(F78="",0,((L78+N78)*tabellen!$C$21))</f>
        <v>0</v>
      </c>
      <c r="AL78" s="224">
        <v>0</v>
      </c>
      <c r="AM78" s="143"/>
      <c r="AN78" s="224">
        <v>0</v>
      </c>
      <c r="AO78" s="143"/>
      <c r="AP78" s="155">
        <f t="shared" si="20"/>
        <v>0</v>
      </c>
      <c r="AQ78" s="155">
        <f t="shared" si="21"/>
        <v>0</v>
      </c>
      <c r="AR78" s="143"/>
      <c r="AS78" s="179" t="str">
        <f t="shared" si="37"/>
        <v/>
      </c>
      <c r="AT78" s="179" t="str">
        <f t="shared" si="38"/>
        <v/>
      </c>
      <c r="AU78" s="143"/>
      <c r="AV78" s="121"/>
      <c r="AW78" s="113"/>
      <c r="AX78" s="113"/>
      <c r="AY78" s="157">
        <f ca="1">YEAR('wgl tot'!$AY$9)-YEAR('wgl tot'!E78)</f>
        <v>120</v>
      </c>
      <c r="AZ78" s="157">
        <f ca="1">MONTH('wgl tot'!$AY$9)-MONTH('wgl tot'!E78)</f>
        <v>1</v>
      </c>
      <c r="BA78" s="157">
        <f ca="1">DAY('wgl tot'!$AY$9)-DAY('wgl tot'!E78)</f>
        <v>18</v>
      </c>
      <c r="BB78" s="122">
        <f>IF(AND('wgl tot'!F78&gt;0,'wgl tot'!F78&lt;17),0,100)</f>
        <v>100</v>
      </c>
      <c r="BC78" s="122">
        <f t="shared" si="39"/>
        <v>0</v>
      </c>
      <c r="BD78" s="140">
        <v>42583</v>
      </c>
      <c r="BE78" s="158">
        <f t="shared" si="18"/>
        <v>0.08</v>
      </c>
      <c r="BF78" s="159">
        <f>+tabellen!$D$45</f>
        <v>6.3E-2</v>
      </c>
      <c r="BG78" s="157">
        <f>IF('wgl tot'!BB78=100,0,'wgl tot'!F78)</f>
        <v>0</v>
      </c>
      <c r="BH78" s="159" t="str">
        <f>IF(OR('wgl tot'!F78="DA",'wgl tot'!F78="DB",'wgl tot'!F78="DBuit",'wgl tot'!F78="DC",'wgl tot'!F78="DCuit",MID('wgl tot'!F78,1,5)="meerh"),"j","n")</f>
        <v>n</v>
      </c>
      <c r="BI78" s="161" t="e">
        <f>IF('wgl tot'!V78/'wgl tot'!H78&lt;tabellen!$E$6,0,(+'wgl tot'!V78-tabellen!$E$6*'wgl tot'!H78)/12*tabellen!$D$6)</f>
        <v>#DIV/0!</v>
      </c>
      <c r="BJ78" s="161" t="e">
        <f>IF('wgl tot'!V78/'wgl tot'!H78&lt;tabellen!$E$7,0,(+'wgl tot'!V78-tabellen!$E$7*'wgl tot'!H78)/12*tabellen!$D$7)</f>
        <v>#DIV/0!</v>
      </c>
      <c r="BK78" s="161">
        <f>'wgl tot'!V78/12*tabellen!$D$8</f>
        <v>0</v>
      </c>
      <c r="BL78" s="162" t="e">
        <f>SUM(BI78:BK78)</f>
        <v>#DIV/0!</v>
      </c>
      <c r="BM78" s="163" t="e">
        <f>+X78/12-'wgl tot'!BL78</f>
        <v>#DIV/0!</v>
      </c>
      <c r="BN78" s="163" t="e">
        <f>ROUND(IF('wgl tot'!BM78&gt;tabellen!$H$11,tabellen!$H$11,'wgl tot'!BM78)*tabellen!$C$11,2)</f>
        <v>#DIV/0!</v>
      </c>
      <c r="BO78" s="163" t="e">
        <f>+'wgl tot'!BM78+'wgl tot'!BN78</f>
        <v>#DIV/0!</v>
      </c>
      <c r="BP78" s="164">
        <f t="shared" si="40"/>
        <v>1900</v>
      </c>
      <c r="BQ78" s="164">
        <f t="shared" si="41"/>
        <v>1</v>
      </c>
      <c r="BR78" s="157">
        <f t="shared" si="42"/>
        <v>0</v>
      </c>
      <c r="BS78" s="140">
        <f t="shared" si="45"/>
        <v>24227</v>
      </c>
      <c r="BT78" s="140">
        <f t="shared" ca="1" si="17"/>
        <v>43879.576672800926</v>
      </c>
      <c r="BU78" s="122"/>
      <c r="BV78" s="140"/>
      <c r="BW78" s="122"/>
      <c r="BX78" s="160"/>
      <c r="BY78" s="160"/>
      <c r="BZ78" s="160"/>
      <c r="CA78" s="160"/>
      <c r="CB78" s="160"/>
      <c r="CC78" s="160"/>
      <c r="CD78" s="113"/>
      <c r="CE78" s="113"/>
    </row>
    <row r="79" spans="1:83" s="124" customFormat="1" ht="12" customHeight="1" x14ac:dyDescent="0.2">
      <c r="A79" s="113"/>
      <c r="B79" s="114"/>
      <c r="C79" s="143"/>
      <c r="D79" s="149"/>
      <c r="E79" s="150"/>
      <c r="F79" s="151"/>
      <c r="G79" s="151"/>
      <c r="H79" s="152"/>
      <c r="I79" s="151"/>
      <c r="J79" s="153"/>
      <c r="K79" s="173">
        <f>IF(F79="",0,(VLOOKUP('wgl tot'!F79,saltab2020,'wgl tot'!G79+1,FALSE)))</f>
        <v>0</v>
      </c>
      <c r="L79" s="155">
        <f t="shared" si="34"/>
        <v>0</v>
      </c>
      <c r="M79" s="143"/>
      <c r="N79" s="173">
        <f>ROUND(IF(('wgl tot'!L79+'wgl tot'!P79)*BE79&lt;'wgl tot'!H79*tabellen!$D$44,'wgl tot'!H79*tabellen!$D$44,('wgl tot'!L79+'wgl tot'!P79)*BE79),2)</f>
        <v>0</v>
      </c>
      <c r="O79" s="173">
        <f>ROUND(+('wgl tot'!L79+'wgl tot'!P79)*BF79,2)</f>
        <v>0</v>
      </c>
      <c r="P79" s="173">
        <f>ROUND(IF(I79="j",VLOOKUP(BC79,uitlooptoeslag,2,FALSE))*IF('wgl tot'!H79&gt;1,1,'wgl tot'!H79),2)</f>
        <v>0</v>
      </c>
      <c r="Q79" s="173">
        <f>ROUND(IF(BH79="j",tabellen!$D$55*IF('wgl tot'!H79&gt;1,1,'wgl tot'!H79),0),2)</f>
        <v>0</v>
      </c>
      <c r="R79" s="173">
        <f>VLOOKUP(BG79,eindejaarsuitkering_OOP,2,TRUE)*'wgl tot'!H79/12</f>
        <v>0</v>
      </c>
      <c r="S79" s="173">
        <f>ROUND(H79*tabellen!$D$51,2)</f>
        <v>0</v>
      </c>
      <c r="T79" s="173">
        <f>ROUND(H79*tabellen!C$39,2)</f>
        <v>0</v>
      </c>
      <c r="U79" s="173">
        <f t="shared" si="43"/>
        <v>0</v>
      </c>
      <c r="V79" s="174">
        <f t="shared" si="35"/>
        <v>0</v>
      </c>
      <c r="W79" s="173">
        <f>('wgl tot'!L79+'wgl tot'!P79)*tabellen!$C$37*12</f>
        <v>0</v>
      </c>
      <c r="X79" s="155">
        <f t="shared" si="36"/>
        <v>0</v>
      </c>
      <c r="Y79" s="143"/>
      <c r="Z79" s="174">
        <f t="shared" si="44"/>
        <v>0</v>
      </c>
      <c r="AA79" s="207">
        <f>+'wgl tot'!W79/12</f>
        <v>0</v>
      </c>
      <c r="AB79" s="143"/>
      <c r="AC79" s="173">
        <f>IF(F79="",0,(IF('wgl tot'!V79/'wgl tot'!H79&lt;tabellen!$E$6,0,('wgl tot'!V79-tabellen!$E$6*'wgl tot'!H79)/12)*tabellen!$C$6))</f>
        <v>0</v>
      </c>
      <c r="AD79" s="173">
        <f>IF(F79="",0,(IF('wgl tot'!V79/'wgl tot'!H79&lt;tabellen!$E$7,0,(+'wgl tot'!V79-tabellen!$E$7*'wgl tot'!H79)/12)*tabellen!$C$7))</f>
        <v>0</v>
      </c>
      <c r="AE79" s="173">
        <f>'wgl tot'!V79/12*tabellen!$C$8</f>
        <v>0</v>
      </c>
      <c r="AF79" s="173">
        <f>IF(H79=0,0,IF(BM79&gt;tabellen!$G$9/12,tabellen!$G$9/12,BM79)*(tabellen!$C$9+tabellen!$C$10))</f>
        <v>0</v>
      </c>
      <c r="AG79" s="173">
        <f>IF(F79="",0,('wgl tot'!BN79))</f>
        <v>0</v>
      </c>
      <c r="AH79" s="175">
        <f>IF(F79="",0,(IF('wgl tot'!BM79&gt;tabellen!$G$12*'wgl tot'!H79/12,tabellen!$G$12*'wgl tot'!H79/12,'wgl tot'!BM79)*tabellen!$C$12))</f>
        <v>0</v>
      </c>
      <c r="AI79" s="143"/>
      <c r="AJ79" s="175">
        <f>IF(F79="",0,(L79+N79)*IF(J79=1,tabellen!$C$13,IF(J79=2,tabellen!$C$14,IF(J79=3,tabellen!$C$15,IF(J79=5,tabellen!$C$17,IF(J79=6,tabellen!$C$18,IF(J79=7,tabellen!$C$19,IF(J79=8,tabellen!$C$20,tabellen!$C$16))))))))</f>
        <v>0</v>
      </c>
      <c r="AK79" s="175">
        <f>IF(F79="",0,((L79+N79)*tabellen!$C$21))</f>
        <v>0</v>
      </c>
      <c r="AL79" s="224">
        <v>0</v>
      </c>
      <c r="AM79" s="143"/>
      <c r="AN79" s="224">
        <v>0</v>
      </c>
      <c r="AO79" s="143"/>
      <c r="AP79" s="155">
        <f t="shared" ref="AP79:AP86" si="46">SUM(Z79:AN79)-AA79</f>
        <v>0</v>
      </c>
      <c r="AQ79" s="155">
        <f t="shared" si="21"/>
        <v>0</v>
      </c>
      <c r="AR79" s="143"/>
      <c r="AS79" s="179" t="str">
        <f t="shared" si="37"/>
        <v/>
      </c>
      <c r="AT79" s="179" t="str">
        <f t="shared" si="38"/>
        <v/>
      </c>
      <c r="AU79" s="143"/>
      <c r="AV79" s="121"/>
      <c r="AW79" s="113"/>
      <c r="AX79" s="113"/>
      <c r="AY79" s="157">
        <f ca="1">YEAR('wgl tot'!$AY$9)-YEAR('wgl tot'!E79)</f>
        <v>120</v>
      </c>
      <c r="AZ79" s="157">
        <f ca="1">MONTH('wgl tot'!$AY$9)-MONTH('wgl tot'!E79)</f>
        <v>1</v>
      </c>
      <c r="BA79" s="157">
        <f ca="1">DAY('wgl tot'!$AY$9)-DAY('wgl tot'!E79)</f>
        <v>18</v>
      </c>
      <c r="BB79" s="122">
        <f>IF(AND('wgl tot'!F79&gt;0,'wgl tot'!F79&lt;17),0,100)</f>
        <v>100</v>
      </c>
      <c r="BC79" s="122">
        <f t="shared" si="39"/>
        <v>0</v>
      </c>
      <c r="BD79" s="140">
        <v>42583</v>
      </c>
      <c r="BE79" s="158">
        <f t="shared" si="18"/>
        <v>0.08</v>
      </c>
      <c r="BF79" s="159">
        <f>+tabellen!$D$45</f>
        <v>6.3E-2</v>
      </c>
      <c r="BG79" s="157">
        <f>IF('wgl tot'!BB79=100,0,'wgl tot'!F79)</f>
        <v>0</v>
      </c>
      <c r="BH79" s="159" t="str">
        <f>IF(OR('wgl tot'!F79="DA",'wgl tot'!F79="DB",'wgl tot'!F79="DBuit",'wgl tot'!F79="DC",'wgl tot'!F79="DCuit",MID('wgl tot'!F79,1,5)="meerh"),"j","n")</f>
        <v>n</v>
      </c>
      <c r="BI79" s="161" t="e">
        <f>IF('wgl tot'!V79/'wgl tot'!H79&lt;tabellen!$E$6,0,(+'wgl tot'!V79-tabellen!$E$6*'wgl tot'!H79)/12*tabellen!$D$6)</f>
        <v>#DIV/0!</v>
      </c>
      <c r="BJ79" s="161" t="e">
        <f>IF('wgl tot'!V79/'wgl tot'!H79&lt;tabellen!$E$7,0,(+'wgl tot'!V79-tabellen!$E$7*'wgl tot'!H79)/12*tabellen!$D$7)</f>
        <v>#DIV/0!</v>
      </c>
      <c r="BK79" s="161">
        <f>'wgl tot'!V79/12*tabellen!$D$8</f>
        <v>0</v>
      </c>
      <c r="BL79" s="162" t="e">
        <f>SUM(BI79:BK79)</f>
        <v>#DIV/0!</v>
      </c>
      <c r="BM79" s="163" t="e">
        <f>+X79/12-'wgl tot'!BL79</f>
        <v>#DIV/0!</v>
      </c>
      <c r="BN79" s="163" t="e">
        <f>ROUND(IF('wgl tot'!BM79&gt;tabellen!$H$11,tabellen!$H$11,'wgl tot'!BM79)*tabellen!$C$11,2)</f>
        <v>#DIV/0!</v>
      </c>
      <c r="BO79" s="163" t="e">
        <f>+'wgl tot'!BM79+'wgl tot'!BN79</f>
        <v>#DIV/0!</v>
      </c>
      <c r="BP79" s="164">
        <f t="shared" si="40"/>
        <v>1900</v>
      </c>
      <c r="BQ79" s="164">
        <f t="shared" si="41"/>
        <v>1</v>
      </c>
      <c r="BR79" s="157">
        <f t="shared" si="42"/>
        <v>0</v>
      </c>
      <c r="BS79" s="140">
        <f t="shared" si="45"/>
        <v>24227</v>
      </c>
      <c r="BT79" s="140">
        <f t="shared" ca="1" si="17"/>
        <v>43879.576672800926</v>
      </c>
      <c r="BU79" s="122"/>
      <c r="BV79" s="140"/>
      <c r="BW79" s="122"/>
      <c r="BX79" s="160"/>
      <c r="BY79" s="160"/>
      <c r="BZ79" s="160"/>
      <c r="CA79" s="160"/>
      <c r="CB79" s="160"/>
      <c r="CC79" s="160"/>
      <c r="CD79" s="113"/>
      <c r="CE79" s="113"/>
    </row>
    <row r="80" spans="1:83" s="124" customFormat="1" ht="12" customHeight="1" x14ac:dyDescent="0.2">
      <c r="A80" s="113"/>
      <c r="B80" s="114"/>
      <c r="C80" s="143"/>
      <c r="D80" s="149"/>
      <c r="E80" s="150"/>
      <c r="F80" s="151"/>
      <c r="G80" s="151"/>
      <c r="H80" s="152"/>
      <c r="I80" s="151"/>
      <c r="J80" s="153"/>
      <c r="K80" s="173">
        <f>IF(F80="",0,(VLOOKUP('wgl tot'!F80,saltab2020,'wgl tot'!G80+1,FALSE)))</f>
        <v>0</v>
      </c>
      <c r="L80" s="155">
        <f t="shared" si="34"/>
        <v>0</v>
      </c>
      <c r="M80" s="143"/>
      <c r="N80" s="173">
        <f>ROUND(IF(('wgl tot'!L80+'wgl tot'!P80)*BE80&lt;'wgl tot'!H80*tabellen!$D$44,'wgl tot'!H80*tabellen!$D$44,('wgl tot'!L80+'wgl tot'!P80)*BE80),2)</f>
        <v>0</v>
      </c>
      <c r="O80" s="173">
        <f>ROUND(+('wgl tot'!L80+'wgl tot'!P80)*BF80,2)</f>
        <v>0</v>
      </c>
      <c r="P80" s="173">
        <f>ROUND(IF(I80="j",VLOOKUP(BC80,uitlooptoeslag,2,FALSE))*IF('wgl tot'!H80&gt;1,1,'wgl tot'!H80),2)</f>
        <v>0</v>
      </c>
      <c r="Q80" s="173">
        <f>ROUND(IF(BH80="j",tabellen!$D$55*IF('wgl tot'!H80&gt;1,1,'wgl tot'!H80),0),2)</f>
        <v>0</v>
      </c>
      <c r="R80" s="173">
        <f>VLOOKUP(BG80,eindejaarsuitkering_OOP,2,TRUE)*'wgl tot'!H80/12</f>
        <v>0</v>
      </c>
      <c r="S80" s="173">
        <f>ROUND(H80*tabellen!$D$51,2)</f>
        <v>0</v>
      </c>
      <c r="T80" s="173">
        <f>ROUND(H80*tabellen!C$39,2)</f>
        <v>0</v>
      </c>
      <c r="U80" s="173">
        <f t="shared" si="43"/>
        <v>0</v>
      </c>
      <c r="V80" s="174">
        <f t="shared" si="35"/>
        <v>0</v>
      </c>
      <c r="W80" s="173">
        <f>('wgl tot'!L80+'wgl tot'!P80)*tabellen!$C$37*12</f>
        <v>0</v>
      </c>
      <c r="X80" s="155">
        <f t="shared" si="36"/>
        <v>0</v>
      </c>
      <c r="Y80" s="143"/>
      <c r="Z80" s="174">
        <f t="shared" si="44"/>
        <v>0</v>
      </c>
      <c r="AA80" s="207">
        <f>+'wgl tot'!W80/12</f>
        <v>0</v>
      </c>
      <c r="AB80" s="143"/>
      <c r="AC80" s="173">
        <f>IF(F80="",0,(IF('wgl tot'!V80/'wgl tot'!H80&lt;tabellen!$E$6,0,('wgl tot'!V80-tabellen!$E$6*'wgl tot'!H80)/12)*tabellen!$C$6))</f>
        <v>0</v>
      </c>
      <c r="AD80" s="173">
        <f>IF(F80="",0,(IF('wgl tot'!V80/'wgl tot'!H80&lt;tabellen!$E$7,0,(+'wgl tot'!V80-tabellen!$E$7*'wgl tot'!H80)/12)*tabellen!$C$7))</f>
        <v>0</v>
      </c>
      <c r="AE80" s="173">
        <f>'wgl tot'!V80/12*tabellen!$C$8</f>
        <v>0</v>
      </c>
      <c r="AF80" s="173">
        <f>IF(H80=0,0,IF(BM80&gt;tabellen!$G$9/12,tabellen!$G$9/12,BM80)*(tabellen!$C$9+tabellen!$C$10))</f>
        <v>0</v>
      </c>
      <c r="AG80" s="173">
        <f>IF(F80="",0,('wgl tot'!BN80))</f>
        <v>0</v>
      </c>
      <c r="AH80" s="175">
        <f>IF(F80="",0,(IF('wgl tot'!BM80&gt;tabellen!$G$12*'wgl tot'!H80/12,tabellen!$G$12*'wgl tot'!H80/12,'wgl tot'!BM80)*tabellen!$C$12))</f>
        <v>0</v>
      </c>
      <c r="AI80" s="143"/>
      <c r="AJ80" s="175">
        <f>IF(F80="",0,(L80+N80)*IF(J80=1,tabellen!$C$13,IF(J80=2,tabellen!$C$14,IF(J80=3,tabellen!$C$15,IF(J80=5,tabellen!$C$17,IF(J80=6,tabellen!$C$18,IF(J80=7,tabellen!$C$19,IF(J80=8,tabellen!$C$20,tabellen!$C$16))))))))</f>
        <v>0</v>
      </c>
      <c r="AK80" s="175">
        <f>IF(F80="",0,((L80+N80)*tabellen!$C$21))</f>
        <v>0</v>
      </c>
      <c r="AL80" s="224">
        <v>0</v>
      </c>
      <c r="AM80" s="143"/>
      <c r="AN80" s="224">
        <v>0</v>
      </c>
      <c r="AO80" s="143"/>
      <c r="AP80" s="155">
        <f t="shared" si="46"/>
        <v>0</v>
      </c>
      <c r="AQ80" s="155">
        <f t="shared" si="21"/>
        <v>0</v>
      </c>
      <c r="AR80" s="143"/>
      <c r="AS80" s="179" t="str">
        <f t="shared" si="37"/>
        <v/>
      </c>
      <c r="AT80" s="179" t="str">
        <f t="shared" si="38"/>
        <v/>
      </c>
      <c r="AU80" s="143"/>
      <c r="AV80" s="121"/>
      <c r="AW80" s="113"/>
      <c r="AX80" s="113"/>
      <c r="AY80" s="157">
        <f ca="1">YEAR('wgl tot'!$AY$9)-YEAR('wgl tot'!E80)</f>
        <v>120</v>
      </c>
      <c r="AZ80" s="157">
        <f ca="1">MONTH('wgl tot'!$AY$9)-MONTH('wgl tot'!E80)</f>
        <v>1</v>
      </c>
      <c r="BA80" s="157">
        <f ca="1">DAY('wgl tot'!$AY$9)-DAY('wgl tot'!E80)</f>
        <v>18</v>
      </c>
      <c r="BB80" s="122">
        <f>IF(AND('wgl tot'!F80&gt;0,'wgl tot'!F80&lt;17),0,100)</f>
        <v>100</v>
      </c>
      <c r="BC80" s="122">
        <f t="shared" si="39"/>
        <v>0</v>
      </c>
      <c r="BD80" s="140">
        <v>42583</v>
      </c>
      <c r="BE80" s="158">
        <f t="shared" si="18"/>
        <v>0.08</v>
      </c>
      <c r="BF80" s="159">
        <f>+tabellen!$D$45</f>
        <v>6.3E-2</v>
      </c>
      <c r="BG80" s="157">
        <f>IF('wgl tot'!BB80=100,0,'wgl tot'!F80)</f>
        <v>0</v>
      </c>
      <c r="BH80" s="159" t="str">
        <f>IF(OR('wgl tot'!F80="DA",'wgl tot'!F80="DB",'wgl tot'!F80="DBuit",'wgl tot'!F80="DC",'wgl tot'!F80="DCuit",MID('wgl tot'!F80,1,5)="meerh"),"j","n")</f>
        <v>n</v>
      </c>
      <c r="BI80" s="161" t="e">
        <f>IF('wgl tot'!V80/'wgl tot'!H80&lt;tabellen!$E$6,0,(+'wgl tot'!V80-tabellen!$E$6*'wgl tot'!H80)/12*tabellen!$D$6)</f>
        <v>#DIV/0!</v>
      </c>
      <c r="BJ80" s="161" t="e">
        <f>IF('wgl tot'!V80/'wgl tot'!H80&lt;tabellen!$E$7,0,(+'wgl tot'!V80-tabellen!$E$7*'wgl tot'!H80)/12*tabellen!$D$7)</f>
        <v>#DIV/0!</v>
      </c>
      <c r="BK80" s="161">
        <f>'wgl tot'!V80/12*tabellen!$D$8</f>
        <v>0</v>
      </c>
      <c r="BL80" s="162" t="e">
        <f>SUM(BI80:BK80)</f>
        <v>#DIV/0!</v>
      </c>
      <c r="BM80" s="163" t="e">
        <f>+X80/12-'wgl tot'!BL80</f>
        <v>#DIV/0!</v>
      </c>
      <c r="BN80" s="163" t="e">
        <f>ROUND(IF('wgl tot'!BM80&gt;tabellen!$H$11,tabellen!$H$11,'wgl tot'!BM80)*tabellen!$C$11,2)</f>
        <v>#DIV/0!</v>
      </c>
      <c r="BO80" s="163" t="e">
        <f>+'wgl tot'!BM80+'wgl tot'!BN80</f>
        <v>#DIV/0!</v>
      </c>
      <c r="BP80" s="164">
        <f t="shared" si="40"/>
        <v>1900</v>
      </c>
      <c r="BQ80" s="164">
        <f t="shared" si="41"/>
        <v>1</v>
      </c>
      <c r="BR80" s="157">
        <f t="shared" si="42"/>
        <v>0</v>
      </c>
      <c r="BS80" s="140">
        <f t="shared" si="45"/>
        <v>24227</v>
      </c>
      <c r="BT80" s="140">
        <f t="shared" ca="1" si="17"/>
        <v>43879.576672800926</v>
      </c>
      <c r="BU80" s="122"/>
      <c r="BV80" s="140"/>
      <c r="BW80" s="122"/>
      <c r="BX80" s="160"/>
      <c r="BY80" s="160"/>
      <c r="BZ80" s="160"/>
      <c r="CA80" s="160"/>
      <c r="CB80" s="160"/>
      <c r="CC80" s="160"/>
      <c r="CD80" s="113"/>
      <c r="CE80" s="113"/>
    </row>
    <row r="81" spans="1:83" s="124" customFormat="1" ht="12" customHeight="1" x14ac:dyDescent="0.2">
      <c r="A81" s="113"/>
      <c r="B81" s="114"/>
      <c r="C81" s="143"/>
      <c r="D81" s="149"/>
      <c r="E81" s="150"/>
      <c r="F81" s="151"/>
      <c r="G81" s="151"/>
      <c r="H81" s="152"/>
      <c r="I81" s="151"/>
      <c r="J81" s="153"/>
      <c r="K81" s="173">
        <f>IF(F81="",0,(VLOOKUP('wgl tot'!F81,saltab2020,'wgl tot'!G81+1,FALSE)))</f>
        <v>0</v>
      </c>
      <c r="L81" s="155">
        <f t="shared" si="34"/>
        <v>0</v>
      </c>
      <c r="M81" s="143"/>
      <c r="N81" s="173">
        <f>ROUND(IF(('wgl tot'!L81+'wgl tot'!P81)*BE81&lt;'wgl tot'!H81*tabellen!$D$44,'wgl tot'!H81*tabellen!$D$44,('wgl tot'!L81+'wgl tot'!P81)*BE81),2)</f>
        <v>0</v>
      </c>
      <c r="O81" s="173">
        <f>ROUND(+('wgl tot'!L81+'wgl tot'!P81)*BF81,2)</f>
        <v>0</v>
      </c>
      <c r="P81" s="173">
        <f>ROUND(IF(I81="j",VLOOKUP(BC81,uitlooptoeslag,2,FALSE))*IF('wgl tot'!H81&gt;1,1,'wgl tot'!H81),2)</f>
        <v>0</v>
      </c>
      <c r="Q81" s="173">
        <f>ROUND(IF(BH81="j",tabellen!$D$55*IF('wgl tot'!H81&gt;1,1,'wgl tot'!H81),0),2)</f>
        <v>0</v>
      </c>
      <c r="R81" s="173">
        <f>VLOOKUP(BG81,eindejaarsuitkering_OOP,2,TRUE)*'wgl tot'!H81/12</f>
        <v>0</v>
      </c>
      <c r="S81" s="173">
        <f>ROUND(H81*tabellen!$D$51,2)</f>
        <v>0</v>
      </c>
      <c r="T81" s="173">
        <f>ROUND(H81*tabellen!C$39,2)</f>
        <v>0</v>
      </c>
      <c r="U81" s="173">
        <f t="shared" si="43"/>
        <v>0</v>
      </c>
      <c r="V81" s="174">
        <f t="shared" si="35"/>
        <v>0</v>
      </c>
      <c r="W81" s="173">
        <f>('wgl tot'!L81+'wgl tot'!P81)*tabellen!$C$37*12</f>
        <v>0</v>
      </c>
      <c r="X81" s="155">
        <f t="shared" si="36"/>
        <v>0</v>
      </c>
      <c r="Y81" s="143"/>
      <c r="Z81" s="174">
        <f t="shared" si="44"/>
        <v>0</v>
      </c>
      <c r="AA81" s="207">
        <f>+'wgl tot'!W81/12</f>
        <v>0</v>
      </c>
      <c r="AB81" s="143"/>
      <c r="AC81" s="173">
        <f>IF(F81="",0,(IF('wgl tot'!V81/'wgl tot'!H81&lt;tabellen!$E$6,0,('wgl tot'!V81-tabellen!$E$6*'wgl tot'!H81)/12)*tabellen!$C$6))</f>
        <v>0</v>
      </c>
      <c r="AD81" s="173">
        <f>IF(F81="",0,(IF('wgl tot'!V81/'wgl tot'!H81&lt;tabellen!$E$7,0,(+'wgl tot'!V81-tabellen!$E$7*'wgl tot'!H81)/12)*tabellen!$C$7))</f>
        <v>0</v>
      </c>
      <c r="AE81" s="173">
        <f>'wgl tot'!V81/12*tabellen!$C$8</f>
        <v>0</v>
      </c>
      <c r="AF81" s="173">
        <f>IF(H81=0,0,IF(BM81&gt;tabellen!$G$9/12,tabellen!$G$9/12,BM81)*(tabellen!$C$9+tabellen!$C$10))</f>
        <v>0</v>
      </c>
      <c r="AG81" s="173">
        <f>IF(F81="",0,('wgl tot'!BN81))</f>
        <v>0</v>
      </c>
      <c r="AH81" s="175">
        <f>IF(F81="",0,(IF('wgl tot'!BM81&gt;tabellen!$G$12*'wgl tot'!H81/12,tabellen!$G$12*'wgl tot'!H81/12,'wgl tot'!BM81)*tabellen!$C$12))</f>
        <v>0</v>
      </c>
      <c r="AI81" s="143"/>
      <c r="AJ81" s="175">
        <f>IF(F81="",0,(L81+N81)*IF(J81=1,tabellen!$C$13,IF(J81=2,tabellen!$C$14,IF(J81=3,tabellen!$C$15,IF(J81=5,tabellen!$C$17,IF(J81=6,tabellen!$C$18,IF(J81=7,tabellen!$C$19,IF(J81=8,tabellen!$C$20,tabellen!$C$16))))))))</f>
        <v>0</v>
      </c>
      <c r="AK81" s="175">
        <f>IF(F81="",0,((L81+N81)*tabellen!$C$21))</f>
        <v>0</v>
      </c>
      <c r="AL81" s="224">
        <v>0</v>
      </c>
      <c r="AM81" s="143"/>
      <c r="AN81" s="224">
        <v>0</v>
      </c>
      <c r="AO81" s="143"/>
      <c r="AP81" s="155">
        <f t="shared" si="46"/>
        <v>0</v>
      </c>
      <c r="AQ81" s="155">
        <f t="shared" si="21"/>
        <v>0</v>
      </c>
      <c r="AR81" s="143"/>
      <c r="AS81" s="179" t="str">
        <f t="shared" si="37"/>
        <v/>
      </c>
      <c r="AT81" s="179" t="str">
        <f t="shared" si="38"/>
        <v/>
      </c>
      <c r="AU81" s="143"/>
      <c r="AV81" s="121"/>
      <c r="AW81" s="113"/>
      <c r="AX81" s="113"/>
      <c r="AY81" s="157">
        <f ca="1">YEAR('wgl tot'!$AY$9)-YEAR('wgl tot'!E81)</f>
        <v>120</v>
      </c>
      <c r="AZ81" s="157">
        <f ca="1">MONTH('wgl tot'!$AY$9)-MONTH('wgl tot'!E81)</f>
        <v>1</v>
      </c>
      <c r="BA81" s="157">
        <f ca="1">DAY('wgl tot'!$AY$9)-DAY('wgl tot'!E81)</f>
        <v>18</v>
      </c>
      <c r="BB81" s="122">
        <f>IF(AND('wgl tot'!F81&gt;0,'wgl tot'!F81&lt;17),0,100)</f>
        <v>100</v>
      </c>
      <c r="BC81" s="122">
        <f t="shared" si="39"/>
        <v>0</v>
      </c>
      <c r="BD81" s="140">
        <v>42583</v>
      </c>
      <c r="BE81" s="158">
        <f t="shared" si="18"/>
        <v>0.08</v>
      </c>
      <c r="BF81" s="159">
        <f>+tabellen!$D$45</f>
        <v>6.3E-2</v>
      </c>
      <c r="BG81" s="157">
        <f>IF('wgl tot'!BB81=100,0,'wgl tot'!F81)</f>
        <v>0</v>
      </c>
      <c r="BH81" s="159" t="str">
        <f>IF(OR('wgl tot'!F81="DA",'wgl tot'!F81="DB",'wgl tot'!F81="DBuit",'wgl tot'!F81="DC",'wgl tot'!F81="DCuit",MID('wgl tot'!F81,1,5)="meerh"),"j","n")</f>
        <v>n</v>
      </c>
      <c r="BI81" s="161" t="e">
        <f>IF('wgl tot'!V81/'wgl tot'!H81&lt;tabellen!$E$6,0,(+'wgl tot'!V81-tabellen!$E$6*'wgl tot'!H81)/12*tabellen!$D$6)</f>
        <v>#DIV/0!</v>
      </c>
      <c r="BJ81" s="161" t="e">
        <f>IF('wgl tot'!V81/'wgl tot'!H81&lt;tabellen!$E$7,0,(+'wgl tot'!V81-tabellen!$E$7*'wgl tot'!H81)/12*tabellen!$D$7)</f>
        <v>#DIV/0!</v>
      </c>
      <c r="BK81" s="161">
        <f>'wgl tot'!V81/12*tabellen!$D$8</f>
        <v>0</v>
      </c>
      <c r="BL81" s="162" t="e">
        <f t="shared" si="22"/>
        <v>#DIV/0!</v>
      </c>
      <c r="BM81" s="163" t="e">
        <f>+X81/12-'wgl tot'!BL81</f>
        <v>#DIV/0!</v>
      </c>
      <c r="BN81" s="163" t="e">
        <f>ROUND(IF('wgl tot'!BM81&gt;tabellen!$H$11,tabellen!$H$11,'wgl tot'!BM81)*tabellen!$C$11,2)</f>
        <v>#DIV/0!</v>
      </c>
      <c r="BO81" s="163" t="e">
        <f>+'wgl tot'!BM81+'wgl tot'!BN81</f>
        <v>#DIV/0!</v>
      </c>
      <c r="BP81" s="164">
        <f t="shared" si="40"/>
        <v>1900</v>
      </c>
      <c r="BQ81" s="164">
        <f t="shared" si="41"/>
        <v>1</v>
      </c>
      <c r="BR81" s="157">
        <f t="shared" si="42"/>
        <v>0</v>
      </c>
      <c r="BS81" s="140">
        <f t="shared" si="45"/>
        <v>24227</v>
      </c>
      <c r="BT81" s="140">
        <f t="shared" ca="1" si="17"/>
        <v>43879.576672800926</v>
      </c>
      <c r="BU81" s="122"/>
      <c r="BV81" s="140"/>
      <c r="BW81" s="122"/>
      <c r="BX81" s="160"/>
      <c r="BY81" s="160"/>
      <c r="BZ81" s="160"/>
      <c r="CA81" s="160"/>
      <c r="CB81" s="160"/>
      <c r="CC81" s="160"/>
      <c r="CD81" s="113"/>
      <c r="CE81" s="113"/>
    </row>
    <row r="82" spans="1:83" s="124" customFormat="1" ht="12" customHeight="1" x14ac:dyDescent="0.2">
      <c r="A82" s="113"/>
      <c r="B82" s="114"/>
      <c r="C82" s="143"/>
      <c r="D82" s="149"/>
      <c r="E82" s="150"/>
      <c r="F82" s="151"/>
      <c r="G82" s="151"/>
      <c r="H82" s="152"/>
      <c r="I82" s="151"/>
      <c r="J82" s="153"/>
      <c r="K82" s="173">
        <f>IF(F82="",0,(VLOOKUP('wgl tot'!F82,saltab2020,'wgl tot'!G82+1,FALSE)))</f>
        <v>0</v>
      </c>
      <c r="L82" s="155">
        <f t="shared" si="34"/>
        <v>0</v>
      </c>
      <c r="M82" s="143"/>
      <c r="N82" s="173">
        <f>ROUND(IF(('wgl tot'!L82+'wgl tot'!P82)*BE82&lt;'wgl tot'!H82*tabellen!$D$44,'wgl tot'!H82*tabellen!$D$44,('wgl tot'!L82+'wgl tot'!P82)*BE82),2)</f>
        <v>0</v>
      </c>
      <c r="O82" s="173">
        <f>ROUND(+('wgl tot'!L82+'wgl tot'!P82)*BF82,2)</f>
        <v>0</v>
      </c>
      <c r="P82" s="173">
        <f>ROUND(IF(I82="j",VLOOKUP(BC82,uitlooptoeslag,2,FALSE))*IF('wgl tot'!H82&gt;1,1,'wgl tot'!H82),2)</f>
        <v>0</v>
      </c>
      <c r="Q82" s="173">
        <f>ROUND(IF(BH82="j",tabellen!$D$55*IF('wgl tot'!H82&gt;1,1,'wgl tot'!H82),0),2)</f>
        <v>0</v>
      </c>
      <c r="R82" s="173">
        <f>VLOOKUP(BG82,eindejaarsuitkering_OOP,2,TRUE)*'wgl tot'!H82/12</f>
        <v>0</v>
      </c>
      <c r="S82" s="173">
        <f>ROUND(H82*tabellen!$D$51,2)</f>
        <v>0</v>
      </c>
      <c r="T82" s="173">
        <f>ROUND(H82*tabellen!C$39,2)</f>
        <v>0</v>
      </c>
      <c r="U82" s="173">
        <f t="shared" si="43"/>
        <v>0</v>
      </c>
      <c r="V82" s="174">
        <f t="shared" si="35"/>
        <v>0</v>
      </c>
      <c r="W82" s="173">
        <f>('wgl tot'!L82+'wgl tot'!P82)*tabellen!$C$37*12</f>
        <v>0</v>
      </c>
      <c r="X82" s="155">
        <f t="shared" si="36"/>
        <v>0</v>
      </c>
      <c r="Y82" s="143"/>
      <c r="Z82" s="174">
        <f t="shared" si="44"/>
        <v>0</v>
      </c>
      <c r="AA82" s="207">
        <f>+'wgl tot'!W82/12</f>
        <v>0</v>
      </c>
      <c r="AB82" s="143"/>
      <c r="AC82" s="173">
        <f>IF(F82="",0,(IF('wgl tot'!V82/'wgl tot'!H82&lt;tabellen!$E$6,0,('wgl tot'!V82-tabellen!$E$6*'wgl tot'!H82)/12)*tabellen!$C$6))</f>
        <v>0</v>
      </c>
      <c r="AD82" s="173">
        <f>IF(F82="",0,(IF('wgl tot'!V82/'wgl tot'!H82&lt;tabellen!$E$7,0,(+'wgl tot'!V82-tabellen!$E$7*'wgl tot'!H82)/12)*tabellen!$C$7))</f>
        <v>0</v>
      </c>
      <c r="AE82" s="173">
        <f>'wgl tot'!V82/12*tabellen!$C$8</f>
        <v>0</v>
      </c>
      <c r="AF82" s="173">
        <f>IF(H82=0,0,IF(BM82&gt;tabellen!$G$9/12,tabellen!$G$9/12,BM82)*(tabellen!$C$9+tabellen!$C$10))</f>
        <v>0</v>
      </c>
      <c r="AG82" s="173">
        <f>IF(F82="",0,('wgl tot'!BN82))</f>
        <v>0</v>
      </c>
      <c r="AH82" s="175">
        <f>IF(F82="",0,(IF('wgl tot'!BM82&gt;tabellen!$G$12*'wgl tot'!H82/12,tabellen!$G$12*'wgl tot'!H82/12,'wgl tot'!BM82)*tabellen!$C$12))</f>
        <v>0</v>
      </c>
      <c r="AI82" s="143"/>
      <c r="AJ82" s="175">
        <f>IF(F82="",0,(L82+N82)*IF(J82=1,tabellen!$C$13,IF(J82=2,tabellen!$C$14,IF(J82=3,tabellen!$C$15,IF(J82=5,tabellen!$C$17,IF(J82=6,tabellen!$C$18,IF(J82=7,tabellen!$C$19,IF(J82=8,tabellen!$C$20,tabellen!$C$16))))))))</f>
        <v>0</v>
      </c>
      <c r="AK82" s="175">
        <f>IF(F82="",0,((L82+N82)*tabellen!$C$21))</f>
        <v>0</v>
      </c>
      <c r="AL82" s="224">
        <v>0</v>
      </c>
      <c r="AM82" s="143"/>
      <c r="AN82" s="224">
        <v>0</v>
      </c>
      <c r="AO82" s="143"/>
      <c r="AP82" s="155">
        <f t="shared" si="46"/>
        <v>0</v>
      </c>
      <c r="AQ82" s="155">
        <f t="shared" si="21"/>
        <v>0</v>
      </c>
      <c r="AR82" s="143"/>
      <c r="AS82" s="179" t="str">
        <f t="shared" si="37"/>
        <v/>
      </c>
      <c r="AT82" s="179" t="str">
        <f t="shared" si="38"/>
        <v/>
      </c>
      <c r="AU82" s="143"/>
      <c r="AV82" s="121"/>
      <c r="AW82" s="113"/>
      <c r="AX82" s="113"/>
      <c r="AY82" s="157">
        <f ca="1">YEAR('wgl tot'!$AY$9)-YEAR('wgl tot'!E82)</f>
        <v>120</v>
      </c>
      <c r="AZ82" s="157">
        <f ca="1">MONTH('wgl tot'!$AY$9)-MONTH('wgl tot'!E82)</f>
        <v>1</v>
      </c>
      <c r="BA82" s="157">
        <f ca="1">DAY('wgl tot'!$AY$9)-DAY('wgl tot'!E82)</f>
        <v>18</v>
      </c>
      <c r="BB82" s="122">
        <f>IF(AND('wgl tot'!F82&gt;0,'wgl tot'!F82&lt;17),0,100)</f>
        <v>100</v>
      </c>
      <c r="BC82" s="122">
        <f t="shared" si="39"/>
        <v>0</v>
      </c>
      <c r="BD82" s="140">
        <v>42583</v>
      </c>
      <c r="BE82" s="158">
        <f t="shared" si="18"/>
        <v>0.08</v>
      </c>
      <c r="BF82" s="159">
        <f>+tabellen!$D$45</f>
        <v>6.3E-2</v>
      </c>
      <c r="BG82" s="157">
        <f>IF('wgl tot'!BB82=100,0,'wgl tot'!F82)</f>
        <v>0</v>
      </c>
      <c r="BH82" s="159" t="str">
        <f>IF(OR('wgl tot'!F82="DA",'wgl tot'!F82="DB",'wgl tot'!F82="DBuit",'wgl tot'!F82="DC",'wgl tot'!F82="DCuit",MID('wgl tot'!F82,1,5)="meerh"),"j","n")</f>
        <v>n</v>
      </c>
      <c r="BI82" s="161" t="e">
        <f>IF('wgl tot'!V82/'wgl tot'!H82&lt;tabellen!$E$6,0,(+'wgl tot'!V82-tabellen!$E$6*'wgl tot'!H82)/12*tabellen!$D$6)</f>
        <v>#DIV/0!</v>
      </c>
      <c r="BJ82" s="161" t="e">
        <f>IF('wgl tot'!V82/'wgl tot'!H82&lt;tabellen!$E$7,0,(+'wgl tot'!V82-tabellen!$E$7*'wgl tot'!H82)/12*tabellen!$D$7)</f>
        <v>#DIV/0!</v>
      </c>
      <c r="BK82" s="161">
        <f>'wgl tot'!V82/12*tabellen!$D$8</f>
        <v>0</v>
      </c>
      <c r="BL82" s="162" t="e">
        <f t="shared" si="22"/>
        <v>#DIV/0!</v>
      </c>
      <c r="BM82" s="163" t="e">
        <f>+X82/12-'wgl tot'!BL82</f>
        <v>#DIV/0!</v>
      </c>
      <c r="BN82" s="163" t="e">
        <f>ROUND(IF('wgl tot'!BM82&gt;tabellen!$H$11,tabellen!$H$11,'wgl tot'!BM82)*tabellen!$C$11,2)</f>
        <v>#DIV/0!</v>
      </c>
      <c r="BO82" s="163" t="e">
        <f>+'wgl tot'!BM82+'wgl tot'!BN82</f>
        <v>#DIV/0!</v>
      </c>
      <c r="BP82" s="164">
        <f t="shared" si="40"/>
        <v>1900</v>
      </c>
      <c r="BQ82" s="164">
        <f t="shared" si="41"/>
        <v>1</v>
      </c>
      <c r="BR82" s="157">
        <f t="shared" si="42"/>
        <v>0</v>
      </c>
      <c r="BS82" s="140">
        <f t="shared" si="45"/>
        <v>24227</v>
      </c>
      <c r="BT82" s="140">
        <f t="shared" ca="1" si="17"/>
        <v>43879.576672800926</v>
      </c>
      <c r="BU82" s="122"/>
      <c r="BV82" s="140"/>
      <c r="BW82" s="122"/>
      <c r="BX82" s="160"/>
      <c r="BY82" s="160"/>
      <c r="BZ82" s="160"/>
      <c r="CA82" s="160"/>
      <c r="CB82" s="160"/>
      <c r="CC82" s="160"/>
      <c r="CD82" s="113"/>
      <c r="CE82" s="113"/>
    </row>
    <row r="83" spans="1:83" s="124" customFormat="1" ht="12" customHeight="1" x14ac:dyDescent="0.2">
      <c r="A83" s="113"/>
      <c r="B83" s="114"/>
      <c r="C83" s="143"/>
      <c r="D83" s="149"/>
      <c r="E83" s="150"/>
      <c r="F83" s="151"/>
      <c r="G83" s="151"/>
      <c r="H83" s="152"/>
      <c r="I83" s="151"/>
      <c r="J83" s="153"/>
      <c r="K83" s="173">
        <f>IF(F83="",0,(VLOOKUP('wgl tot'!F83,saltab2020,'wgl tot'!G83+1,FALSE)))</f>
        <v>0</v>
      </c>
      <c r="L83" s="155">
        <f t="shared" si="34"/>
        <v>0</v>
      </c>
      <c r="M83" s="143"/>
      <c r="N83" s="173">
        <f>ROUND(IF(('wgl tot'!L83+'wgl tot'!P83)*BE83&lt;'wgl tot'!H83*tabellen!$D$44,'wgl tot'!H83*tabellen!$D$44,('wgl tot'!L83+'wgl tot'!P83)*BE83),2)</f>
        <v>0</v>
      </c>
      <c r="O83" s="173">
        <f>ROUND(+('wgl tot'!L83+'wgl tot'!P83)*BF83,2)</f>
        <v>0</v>
      </c>
      <c r="P83" s="173">
        <f>ROUND(IF(I83="j",VLOOKUP(BC83,uitlooptoeslag,2,FALSE))*IF('wgl tot'!H83&gt;1,1,'wgl tot'!H83),2)</f>
        <v>0</v>
      </c>
      <c r="Q83" s="173">
        <f>ROUND(IF(BH83="j",tabellen!$D$55*IF('wgl tot'!H83&gt;1,1,'wgl tot'!H83),0),2)</f>
        <v>0</v>
      </c>
      <c r="R83" s="173">
        <f>VLOOKUP(BG83,eindejaarsuitkering_OOP,2,TRUE)*'wgl tot'!H83/12</f>
        <v>0</v>
      </c>
      <c r="S83" s="173">
        <f>ROUND(H83*tabellen!$D$51,2)</f>
        <v>0</v>
      </c>
      <c r="T83" s="173">
        <f>ROUND(H83*tabellen!C$39,2)</f>
        <v>0</v>
      </c>
      <c r="U83" s="173">
        <f t="shared" si="43"/>
        <v>0</v>
      </c>
      <c r="V83" s="174">
        <f t="shared" si="35"/>
        <v>0</v>
      </c>
      <c r="W83" s="173">
        <f>('wgl tot'!L83+'wgl tot'!P83)*tabellen!$C$37*12</f>
        <v>0</v>
      </c>
      <c r="X83" s="155">
        <f t="shared" si="36"/>
        <v>0</v>
      </c>
      <c r="Y83" s="143"/>
      <c r="Z83" s="174">
        <f t="shared" si="44"/>
        <v>0</v>
      </c>
      <c r="AA83" s="207">
        <f>+'wgl tot'!W83/12</f>
        <v>0</v>
      </c>
      <c r="AB83" s="143"/>
      <c r="AC83" s="173">
        <f>IF(F83="",0,(IF('wgl tot'!V83/'wgl tot'!H83&lt;tabellen!$E$6,0,('wgl tot'!V83-tabellen!$E$6*'wgl tot'!H83)/12)*tabellen!$C$6))</f>
        <v>0</v>
      </c>
      <c r="AD83" s="173">
        <f>IF(F83="",0,(IF('wgl tot'!V83/'wgl tot'!H83&lt;tabellen!$E$7,0,(+'wgl tot'!V83-tabellen!$E$7*'wgl tot'!H83)/12)*tabellen!$C$7))</f>
        <v>0</v>
      </c>
      <c r="AE83" s="173">
        <f>'wgl tot'!V83/12*tabellen!$C$8</f>
        <v>0</v>
      </c>
      <c r="AF83" s="173">
        <f>IF(H83=0,0,IF(BM83&gt;tabellen!$G$9/12,tabellen!$G$9/12,BM83)*(tabellen!$C$9+tabellen!$C$10))</f>
        <v>0</v>
      </c>
      <c r="AG83" s="173">
        <f>IF(F83="",0,('wgl tot'!BN83))</f>
        <v>0</v>
      </c>
      <c r="AH83" s="175">
        <f>IF(F83="",0,(IF('wgl tot'!BM83&gt;tabellen!$G$12*'wgl tot'!H83/12,tabellen!$G$12*'wgl tot'!H83/12,'wgl tot'!BM83)*tabellen!$C$12))</f>
        <v>0</v>
      </c>
      <c r="AI83" s="143"/>
      <c r="AJ83" s="175">
        <f>IF(F83="",0,(L83+N83)*IF(J83=1,tabellen!$C$13,IF(J83=2,tabellen!$C$14,IF(J83=3,tabellen!$C$15,IF(J83=5,tabellen!$C$17,IF(J83=6,tabellen!$C$18,IF(J83=7,tabellen!$C$19,IF(J83=8,tabellen!$C$20,tabellen!$C$16))))))))</f>
        <v>0</v>
      </c>
      <c r="AK83" s="175">
        <f>IF(F83="",0,((L83+N83)*tabellen!$C$21))</f>
        <v>0</v>
      </c>
      <c r="AL83" s="224">
        <v>0</v>
      </c>
      <c r="AM83" s="143"/>
      <c r="AN83" s="224">
        <v>0</v>
      </c>
      <c r="AO83" s="143"/>
      <c r="AP83" s="155">
        <f t="shared" si="46"/>
        <v>0</v>
      </c>
      <c r="AQ83" s="155">
        <f t="shared" si="21"/>
        <v>0</v>
      </c>
      <c r="AR83" s="143"/>
      <c r="AS83" s="179" t="str">
        <f t="shared" si="37"/>
        <v/>
      </c>
      <c r="AT83" s="179" t="str">
        <f t="shared" si="38"/>
        <v/>
      </c>
      <c r="AU83" s="143"/>
      <c r="AV83" s="121"/>
      <c r="AW83" s="113"/>
      <c r="AX83" s="113"/>
      <c r="AY83" s="157">
        <f ca="1">YEAR('wgl tot'!$AY$9)-YEAR('wgl tot'!E83)</f>
        <v>120</v>
      </c>
      <c r="AZ83" s="157">
        <f ca="1">MONTH('wgl tot'!$AY$9)-MONTH('wgl tot'!E83)</f>
        <v>1</v>
      </c>
      <c r="BA83" s="157">
        <f ca="1">DAY('wgl tot'!$AY$9)-DAY('wgl tot'!E83)</f>
        <v>18</v>
      </c>
      <c r="BB83" s="122">
        <f>IF(AND('wgl tot'!F83&gt;0,'wgl tot'!F83&lt;17),0,100)</f>
        <v>100</v>
      </c>
      <c r="BC83" s="122">
        <f t="shared" si="39"/>
        <v>0</v>
      </c>
      <c r="BD83" s="140">
        <v>42583</v>
      </c>
      <c r="BE83" s="158">
        <f t="shared" si="18"/>
        <v>0.08</v>
      </c>
      <c r="BF83" s="159">
        <f>+tabellen!$D$45</f>
        <v>6.3E-2</v>
      </c>
      <c r="BG83" s="157">
        <f>IF('wgl tot'!BB83=100,0,'wgl tot'!F83)</f>
        <v>0</v>
      </c>
      <c r="BH83" s="159" t="str">
        <f>IF(OR('wgl tot'!F83="DA",'wgl tot'!F83="DB",'wgl tot'!F83="DBuit",'wgl tot'!F83="DC",'wgl tot'!F83="DCuit",MID('wgl tot'!F83,1,5)="meerh"),"j","n")</f>
        <v>n</v>
      </c>
      <c r="BI83" s="161" t="e">
        <f>IF('wgl tot'!V83/'wgl tot'!H83&lt;tabellen!$E$6,0,(+'wgl tot'!V83-tabellen!$E$6*'wgl tot'!H83)/12*tabellen!$D$6)</f>
        <v>#DIV/0!</v>
      </c>
      <c r="BJ83" s="161" t="e">
        <f>IF('wgl tot'!V83/'wgl tot'!H83&lt;tabellen!$E$7,0,(+'wgl tot'!V83-tabellen!$E$7*'wgl tot'!H83)/12*tabellen!$D$7)</f>
        <v>#DIV/0!</v>
      </c>
      <c r="BK83" s="161">
        <f>'wgl tot'!V83/12*tabellen!$D$8</f>
        <v>0</v>
      </c>
      <c r="BL83" s="162" t="e">
        <f t="shared" si="22"/>
        <v>#DIV/0!</v>
      </c>
      <c r="BM83" s="163" t="e">
        <f>+X83/12-'wgl tot'!BL83</f>
        <v>#DIV/0!</v>
      </c>
      <c r="BN83" s="163" t="e">
        <f>ROUND(IF('wgl tot'!BM83&gt;tabellen!$H$11,tabellen!$H$11,'wgl tot'!BM83)*tabellen!$C$11,2)</f>
        <v>#DIV/0!</v>
      </c>
      <c r="BO83" s="163" t="e">
        <f>+'wgl tot'!BM83+'wgl tot'!BN83</f>
        <v>#DIV/0!</v>
      </c>
      <c r="BP83" s="164">
        <f t="shared" si="40"/>
        <v>1900</v>
      </c>
      <c r="BQ83" s="164">
        <f t="shared" si="41"/>
        <v>1</v>
      </c>
      <c r="BR83" s="157">
        <f t="shared" si="42"/>
        <v>0</v>
      </c>
      <c r="BS83" s="140">
        <f t="shared" si="45"/>
        <v>24227</v>
      </c>
      <c r="BT83" s="140">
        <f t="shared" ca="1" si="17"/>
        <v>43879.576672800926</v>
      </c>
      <c r="BU83" s="122"/>
      <c r="BV83" s="140"/>
      <c r="BW83" s="122"/>
      <c r="BX83" s="160"/>
      <c r="BY83" s="160"/>
      <c r="BZ83" s="160"/>
      <c r="CA83" s="160"/>
      <c r="CB83" s="160"/>
      <c r="CC83" s="160"/>
      <c r="CD83" s="113"/>
      <c r="CE83" s="113"/>
    </row>
    <row r="84" spans="1:83" s="124" customFormat="1" ht="12" customHeight="1" x14ac:dyDescent="0.2">
      <c r="A84" s="113"/>
      <c r="B84" s="114"/>
      <c r="C84" s="143"/>
      <c r="D84" s="149"/>
      <c r="E84" s="150"/>
      <c r="F84" s="151"/>
      <c r="G84" s="151"/>
      <c r="H84" s="152"/>
      <c r="I84" s="151"/>
      <c r="J84" s="153"/>
      <c r="K84" s="173">
        <f>IF(F84="",0,(VLOOKUP('wgl tot'!F84,saltab2020,'wgl tot'!G84+1,FALSE)))</f>
        <v>0</v>
      </c>
      <c r="L84" s="155">
        <f t="shared" si="34"/>
        <v>0</v>
      </c>
      <c r="M84" s="143"/>
      <c r="N84" s="173">
        <f>ROUND(IF(('wgl tot'!L84+'wgl tot'!P84)*BE84&lt;'wgl tot'!H84*tabellen!$D$44,'wgl tot'!H84*tabellen!$D$44,('wgl tot'!L84+'wgl tot'!P84)*BE84),2)</f>
        <v>0</v>
      </c>
      <c r="O84" s="173">
        <f>ROUND(+('wgl tot'!L84+'wgl tot'!P84)*BF84,2)</f>
        <v>0</v>
      </c>
      <c r="P84" s="173">
        <f>ROUND(IF(I84="j",VLOOKUP(BC84,uitlooptoeslag,2,FALSE))*IF('wgl tot'!H84&gt;1,1,'wgl tot'!H84),2)</f>
        <v>0</v>
      </c>
      <c r="Q84" s="173">
        <f>ROUND(IF(BH84="j",tabellen!$D$55*IF('wgl tot'!H84&gt;1,1,'wgl tot'!H84),0),2)</f>
        <v>0</v>
      </c>
      <c r="R84" s="173">
        <f>VLOOKUP(BG84,eindejaarsuitkering_OOP,2,TRUE)*'wgl tot'!H84/12</f>
        <v>0</v>
      </c>
      <c r="S84" s="173">
        <f>ROUND(H84*tabellen!$D$51,2)</f>
        <v>0</v>
      </c>
      <c r="T84" s="173">
        <f>ROUND(H84*tabellen!C$39,2)</f>
        <v>0</v>
      </c>
      <c r="U84" s="173">
        <f t="shared" si="43"/>
        <v>0</v>
      </c>
      <c r="V84" s="174">
        <f t="shared" si="35"/>
        <v>0</v>
      </c>
      <c r="W84" s="173">
        <f>('wgl tot'!L84+'wgl tot'!P84)*tabellen!$C$37*12</f>
        <v>0</v>
      </c>
      <c r="X84" s="155">
        <f t="shared" si="36"/>
        <v>0</v>
      </c>
      <c r="Y84" s="143"/>
      <c r="Z84" s="174">
        <f t="shared" si="44"/>
        <v>0</v>
      </c>
      <c r="AA84" s="207">
        <f>+'wgl tot'!W84/12</f>
        <v>0</v>
      </c>
      <c r="AB84" s="143"/>
      <c r="AC84" s="173">
        <f>IF(F84="",0,(IF('wgl tot'!V84/'wgl tot'!H84&lt;tabellen!$E$6,0,('wgl tot'!V84-tabellen!$E$6*'wgl tot'!H84)/12)*tabellen!$C$6))</f>
        <v>0</v>
      </c>
      <c r="AD84" s="173">
        <f>IF(F84="",0,(IF('wgl tot'!V84/'wgl tot'!H84&lt;tabellen!$E$7,0,(+'wgl tot'!V84-tabellen!$E$7*'wgl tot'!H84)/12)*tabellen!$C$7))</f>
        <v>0</v>
      </c>
      <c r="AE84" s="173">
        <f>'wgl tot'!V84/12*tabellen!$C$8</f>
        <v>0</v>
      </c>
      <c r="AF84" s="173">
        <f>IF(H84=0,0,IF(BM84&gt;tabellen!$G$9/12,tabellen!$G$9/12,BM84)*(tabellen!$C$9+tabellen!$C$10))</f>
        <v>0</v>
      </c>
      <c r="AG84" s="173">
        <f>IF(F84="",0,('wgl tot'!BN84))</f>
        <v>0</v>
      </c>
      <c r="AH84" s="175">
        <f>IF(F84="",0,(IF('wgl tot'!BM84&gt;tabellen!$G$12*'wgl tot'!H84/12,tabellen!$G$12*'wgl tot'!H84/12,'wgl tot'!BM84)*tabellen!$C$12))</f>
        <v>0</v>
      </c>
      <c r="AI84" s="143"/>
      <c r="AJ84" s="175">
        <f>IF(F84="",0,(L84+N84)*IF(J84=1,tabellen!$C$13,IF(J84=2,tabellen!$C$14,IF(J84=3,tabellen!$C$15,IF(J84=5,tabellen!$C$17,IF(J84=6,tabellen!$C$18,IF(J84=7,tabellen!$C$19,IF(J84=8,tabellen!$C$20,tabellen!$C$16))))))))</f>
        <v>0</v>
      </c>
      <c r="AK84" s="175">
        <f>IF(F84="",0,((L84+N84)*tabellen!$C$21))</f>
        <v>0</v>
      </c>
      <c r="AL84" s="224">
        <v>0</v>
      </c>
      <c r="AM84" s="143"/>
      <c r="AN84" s="224">
        <v>0</v>
      </c>
      <c r="AO84" s="143"/>
      <c r="AP84" s="155">
        <f t="shared" si="46"/>
        <v>0</v>
      </c>
      <c r="AQ84" s="155">
        <f t="shared" si="21"/>
        <v>0</v>
      </c>
      <c r="AR84" s="143"/>
      <c r="AS84" s="179" t="str">
        <f t="shared" si="37"/>
        <v/>
      </c>
      <c r="AT84" s="179" t="str">
        <f t="shared" si="38"/>
        <v/>
      </c>
      <c r="AU84" s="143"/>
      <c r="AV84" s="121"/>
      <c r="AW84" s="113"/>
      <c r="AX84" s="113"/>
      <c r="AY84" s="157">
        <f ca="1">YEAR('wgl tot'!$AY$9)-YEAR('wgl tot'!E84)</f>
        <v>120</v>
      </c>
      <c r="AZ84" s="157">
        <f ca="1">MONTH('wgl tot'!$AY$9)-MONTH('wgl tot'!E84)</f>
        <v>1</v>
      </c>
      <c r="BA84" s="157">
        <f ca="1">DAY('wgl tot'!$AY$9)-DAY('wgl tot'!E84)</f>
        <v>18</v>
      </c>
      <c r="BB84" s="122">
        <f>IF(AND('wgl tot'!F84&gt;0,'wgl tot'!F84&lt;17),0,100)</f>
        <v>100</v>
      </c>
      <c r="BC84" s="122">
        <f t="shared" si="39"/>
        <v>0</v>
      </c>
      <c r="BD84" s="140">
        <v>42583</v>
      </c>
      <c r="BE84" s="158">
        <f t="shared" si="18"/>
        <v>0.08</v>
      </c>
      <c r="BF84" s="159">
        <f>+tabellen!$D$45</f>
        <v>6.3E-2</v>
      </c>
      <c r="BG84" s="157">
        <f>IF('wgl tot'!BB84=100,0,'wgl tot'!F84)</f>
        <v>0</v>
      </c>
      <c r="BH84" s="159" t="str">
        <f>IF(OR('wgl tot'!F84="DA",'wgl tot'!F84="DB",'wgl tot'!F84="DBuit",'wgl tot'!F84="DC",'wgl tot'!F84="DCuit",MID('wgl tot'!F84,1,5)="meerh"),"j","n")</f>
        <v>n</v>
      </c>
      <c r="BI84" s="161" t="e">
        <f>IF('wgl tot'!V84/'wgl tot'!H84&lt;tabellen!$E$6,0,(+'wgl tot'!V84-tabellen!$E$6*'wgl tot'!H84)/12*tabellen!$D$6)</f>
        <v>#DIV/0!</v>
      </c>
      <c r="BJ84" s="161" t="e">
        <f>IF('wgl tot'!V84/'wgl tot'!H84&lt;tabellen!$E$7,0,(+'wgl tot'!V84-tabellen!$E$7*'wgl tot'!H84)/12*tabellen!$D$7)</f>
        <v>#DIV/0!</v>
      </c>
      <c r="BK84" s="161">
        <f>'wgl tot'!V84/12*tabellen!$D$8</f>
        <v>0</v>
      </c>
      <c r="BL84" s="162" t="e">
        <f t="shared" si="22"/>
        <v>#DIV/0!</v>
      </c>
      <c r="BM84" s="163" t="e">
        <f>+X84/12-'wgl tot'!BL84</f>
        <v>#DIV/0!</v>
      </c>
      <c r="BN84" s="163" t="e">
        <f>ROUND(IF('wgl tot'!BM84&gt;tabellen!$H$11,tabellen!$H$11,'wgl tot'!BM84)*tabellen!$C$11,2)</f>
        <v>#DIV/0!</v>
      </c>
      <c r="BO84" s="163" t="e">
        <f>+'wgl tot'!BM84+'wgl tot'!BN84</f>
        <v>#DIV/0!</v>
      </c>
      <c r="BP84" s="164">
        <f t="shared" si="40"/>
        <v>1900</v>
      </c>
      <c r="BQ84" s="164">
        <f t="shared" si="41"/>
        <v>1</v>
      </c>
      <c r="BR84" s="157">
        <f t="shared" si="42"/>
        <v>0</v>
      </c>
      <c r="BS84" s="140">
        <f t="shared" si="45"/>
        <v>24227</v>
      </c>
      <c r="BT84" s="140">
        <f t="shared" ca="1" si="17"/>
        <v>43879.576672800926</v>
      </c>
      <c r="BU84" s="122"/>
      <c r="BV84" s="140"/>
      <c r="BW84" s="122"/>
      <c r="BX84" s="160"/>
      <c r="BY84" s="160"/>
      <c r="BZ84" s="160"/>
      <c r="CA84" s="160"/>
      <c r="CB84" s="160"/>
      <c r="CC84" s="160"/>
      <c r="CD84" s="113"/>
      <c r="CE84" s="113"/>
    </row>
    <row r="85" spans="1:83" s="124" customFormat="1" ht="12" customHeight="1" x14ac:dyDescent="0.2">
      <c r="A85" s="113"/>
      <c r="B85" s="114"/>
      <c r="C85" s="143"/>
      <c r="D85" s="149"/>
      <c r="E85" s="150"/>
      <c r="F85" s="151"/>
      <c r="G85" s="151"/>
      <c r="H85" s="152"/>
      <c r="I85" s="151"/>
      <c r="J85" s="153"/>
      <c r="K85" s="173">
        <f>IF(F85="",0,(VLOOKUP('wgl tot'!F85,saltab2020,'wgl tot'!G85+1,FALSE)))</f>
        <v>0</v>
      </c>
      <c r="L85" s="155">
        <f t="shared" si="34"/>
        <v>0</v>
      </c>
      <c r="M85" s="143"/>
      <c r="N85" s="173">
        <f>ROUND(IF(('wgl tot'!L85+'wgl tot'!P85)*BE85&lt;'wgl tot'!H85*tabellen!$D$44,'wgl tot'!H85*tabellen!$D$44,('wgl tot'!L85+'wgl tot'!P85)*BE85),2)</f>
        <v>0</v>
      </c>
      <c r="O85" s="173">
        <f>ROUND(+('wgl tot'!L85+'wgl tot'!P85)*BF85,2)</f>
        <v>0</v>
      </c>
      <c r="P85" s="173">
        <f>ROUND(IF(I85="j",VLOOKUP(BC85,uitlooptoeslag,2,FALSE))*IF('wgl tot'!H85&gt;1,1,'wgl tot'!H85),2)</f>
        <v>0</v>
      </c>
      <c r="Q85" s="173">
        <f>ROUND(IF(BH85="j",tabellen!$D$55*IF('wgl tot'!H85&gt;1,1,'wgl tot'!H85),0),2)</f>
        <v>0</v>
      </c>
      <c r="R85" s="173">
        <f>VLOOKUP(BG85,eindejaarsuitkering_OOP,2,TRUE)*'wgl tot'!H85/12</f>
        <v>0</v>
      </c>
      <c r="S85" s="173">
        <f>ROUND(H85*tabellen!$D$51,2)</f>
        <v>0</v>
      </c>
      <c r="T85" s="173">
        <f>ROUND(H85*tabellen!C$39,2)</f>
        <v>0</v>
      </c>
      <c r="U85" s="173">
        <f t="shared" si="43"/>
        <v>0</v>
      </c>
      <c r="V85" s="174">
        <f t="shared" si="35"/>
        <v>0</v>
      </c>
      <c r="W85" s="173">
        <f>('wgl tot'!L85+'wgl tot'!P85)*tabellen!$C$37*12</f>
        <v>0</v>
      </c>
      <c r="X85" s="155">
        <f t="shared" si="36"/>
        <v>0</v>
      </c>
      <c r="Y85" s="143"/>
      <c r="Z85" s="174">
        <f t="shared" si="44"/>
        <v>0</v>
      </c>
      <c r="AA85" s="207">
        <f>+'wgl tot'!W85/12</f>
        <v>0</v>
      </c>
      <c r="AB85" s="143"/>
      <c r="AC85" s="173">
        <f>IF(F85="",0,(IF('wgl tot'!V85/'wgl tot'!H85&lt;tabellen!$E$6,0,('wgl tot'!V85-tabellen!$E$6*'wgl tot'!H85)/12)*tabellen!$C$6))</f>
        <v>0</v>
      </c>
      <c r="AD85" s="173">
        <f>IF(F85="",0,(IF('wgl tot'!V85/'wgl tot'!H85&lt;tabellen!$E$7,0,(+'wgl tot'!V85-tabellen!$E$7*'wgl tot'!H85)/12)*tabellen!$C$7))</f>
        <v>0</v>
      </c>
      <c r="AE85" s="173">
        <f>'wgl tot'!V85/12*tabellen!$C$8</f>
        <v>0</v>
      </c>
      <c r="AF85" s="173">
        <f>IF(H85=0,0,IF(BM85&gt;tabellen!$G$9/12,tabellen!$G$9/12,BM85)*(tabellen!$C$9+tabellen!$C$10))</f>
        <v>0</v>
      </c>
      <c r="AG85" s="173">
        <f>IF(F85="",0,('wgl tot'!BN85))</f>
        <v>0</v>
      </c>
      <c r="AH85" s="175">
        <f>IF(F85="",0,(IF('wgl tot'!BM85&gt;tabellen!$G$12*'wgl tot'!H85/12,tabellen!$G$12*'wgl tot'!H85/12,'wgl tot'!BM85)*tabellen!$C$12))</f>
        <v>0</v>
      </c>
      <c r="AI85" s="143"/>
      <c r="AJ85" s="175">
        <f>IF(F85="",0,(L85+N85)*IF(J85=1,tabellen!$C$13,IF(J85=2,tabellen!$C$14,IF(J85=3,tabellen!$C$15,IF(J85=5,tabellen!$C$17,IF(J85=6,tabellen!$C$18,IF(J85=7,tabellen!$C$19,IF(J85=8,tabellen!$C$20,tabellen!$C$16))))))))</f>
        <v>0</v>
      </c>
      <c r="AK85" s="175">
        <f>IF(F85="",0,((L85+N85)*tabellen!$C$21))</f>
        <v>0</v>
      </c>
      <c r="AL85" s="224">
        <v>0</v>
      </c>
      <c r="AM85" s="143"/>
      <c r="AN85" s="224">
        <v>0</v>
      </c>
      <c r="AO85" s="143"/>
      <c r="AP85" s="155">
        <f t="shared" si="46"/>
        <v>0</v>
      </c>
      <c r="AQ85" s="155">
        <f t="shared" si="21"/>
        <v>0</v>
      </c>
      <c r="AR85" s="143"/>
      <c r="AS85" s="179" t="str">
        <f t="shared" si="37"/>
        <v/>
      </c>
      <c r="AT85" s="179" t="str">
        <f t="shared" si="38"/>
        <v/>
      </c>
      <c r="AU85" s="143"/>
      <c r="AV85" s="121"/>
      <c r="AW85" s="113"/>
      <c r="AX85" s="113"/>
      <c r="AY85" s="157">
        <f ca="1">YEAR('wgl tot'!$AY$9)-YEAR('wgl tot'!E85)</f>
        <v>120</v>
      </c>
      <c r="AZ85" s="157">
        <f ca="1">MONTH('wgl tot'!$AY$9)-MONTH('wgl tot'!E85)</f>
        <v>1</v>
      </c>
      <c r="BA85" s="157">
        <f ca="1">DAY('wgl tot'!$AY$9)-DAY('wgl tot'!E85)</f>
        <v>18</v>
      </c>
      <c r="BB85" s="122">
        <f>IF(AND('wgl tot'!F85&gt;0,'wgl tot'!F85&lt;17),0,100)</f>
        <v>100</v>
      </c>
      <c r="BC85" s="122">
        <f t="shared" si="39"/>
        <v>0</v>
      </c>
      <c r="BD85" s="140">
        <v>42583</v>
      </c>
      <c r="BE85" s="158">
        <f t="shared" si="18"/>
        <v>0.08</v>
      </c>
      <c r="BF85" s="159">
        <f>+tabellen!$D$45</f>
        <v>6.3E-2</v>
      </c>
      <c r="BG85" s="157">
        <f>IF('wgl tot'!BB85=100,0,'wgl tot'!F85)</f>
        <v>0</v>
      </c>
      <c r="BH85" s="159" t="str">
        <f>IF(OR('wgl tot'!F85="DA",'wgl tot'!F85="DB",'wgl tot'!F85="DBuit",'wgl tot'!F85="DC",'wgl tot'!F85="DCuit",MID('wgl tot'!F85,1,5)="meerh"),"j","n")</f>
        <v>n</v>
      </c>
      <c r="BI85" s="161" t="e">
        <f>IF('wgl tot'!V85/'wgl tot'!H85&lt;tabellen!$E$6,0,(+'wgl tot'!V85-tabellen!$E$6*'wgl tot'!H85)/12*tabellen!$D$6)</f>
        <v>#DIV/0!</v>
      </c>
      <c r="BJ85" s="161" t="e">
        <f>IF('wgl tot'!V85/'wgl tot'!H85&lt;tabellen!$E$7,0,(+'wgl tot'!V85-tabellen!$E$7*'wgl tot'!H85)/12*tabellen!$D$7)</f>
        <v>#DIV/0!</v>
      </c>
      <c r="BK85" s="161">
        <f>'wgl tot'!V85/12*tabellen!$D$8</f>
        <v>0</v>
      </c>
      <c r="BL85" s="162" t="e">
        <f t="shared" si="22"/>
        <v>#DIV/0!</v>
      </c>
      <c r="BM85" s="163" t="e">
        <f>+X85/12-'wgl tot'!BL85</f>
        <v>#DIV/0!</v>
      </c>
      <c r="BN85" s="163" t="e">
        <f>ROUND(IF('wgl tot'!BM85&gt;tabellen!$H$11,tabellen!$H$11,'wgl tot'!BM85)*tabellen!$C$11,2)</f>
        <v>#DIV/0!</v>
      </c>
      <c r="BO85" s="163" t="e">
        <f>+'wgl tot'!BM85+'wgl tot'!BN85</f>
        <v>#DIV/0!</v>
      </c>
      <c r="BP85" s="164">
        <f t="shared" si="40"/>
        <v>1900</v>
      </c>
      <c r="BQ85" s="164">
        <f t="shared" si="41"/>
        <v>1</v>
      </c>
      <c r="BR85" s="157">
        <f t="shared" si="42"/>
        <v>0</v>
      </c>
      <c r="BS85" s="140">
        <f t="shared" si="45"/>
        <v>24227</v>
      </c>
      <c r="BT85" s="140">
        <f t="shared" ca="1" si="17"/>
        <v>43879.576672800926</v>
      </c>
      <c r="BU85" s="122"/>
      <c r="BV85" s="140"/>
      <c r="BW85" s="122"/>
      <c r="BX85" s="160"/>
      <c r="BY85" s="160"/>
      <c r="BZ85" s="160"/>
      <c r="CA85" s="160"/>
      <c r="CB85" s="160"/>
      <c r="CC85" s="160"/>
      <c r="CD85" s="113"/>
      <c r="CE85" s="113"/>
    </row>
    <row r="86" spans="1:83" s="124" customFormat="1" ht="12" customHeight="1" x14ac:dyDescent="0.2">
      <c r="A86" s="113"/>
      <c r="B86" s="114"/>
      <c r="C86" s="143"/>
      <c r="D86" s="149"/>
      <c r="E86" s="150"/>
      <c r="F86" s="151"/>
      <c r="G86" s="151"/>
      <c r="H86" s="152"/>
      <c r="I86" s="151"/>
      <c r="J86" s="153"/>
      <c r="K86" s="173">
        <f>IF(F86="",0,(VLOOKUP('wgl tot'!F86,saltab2020,'wgl tot'!G86+1,FALSE)))</f>
        <v>0</v>
      </c>
      <c r="L86" s="155">
        <f t="shared" si="34"/>
        <v>0</v>
      </c>
      <c r="M86" s="143"/>
      <c r="N86" s="173">
        <f>ROUND(IF(('wgl tot'!L86+'wgl tot'!P86)*BE86&lt;'wgl tot'!H86*tabellen!$D$44,'wgl tot'!H86*tabellen!$D$44,('wgl tot'!L86+'wgl tot'!P86)*BE86),2)</f>
        <v>0</v>
      </c>
      <c r="O86" s="173">
        <f>ROUND(+('wgl tot'!L86+'wgl tot'!P86)*BF86,2)</f>
        <v>0</v>
      </c>
      <c r="P86" s="173">
        <f>ROUND(IF(I86="j",VLOOKUP(BC86,uitlooptoeslag,2,FALSE))*IF('wgl tot'!H86&gt;1,1,'wgl tot'!H86),2)</f>
        <v>0</v>
      </c>
      <c r="Q86" s="173">
        <f>ROUND(IF(BH86="j",tabellen!$D$55*IF('wgl tot'!H86&gt;1,1,'wgl tot'!H86),0),2)</f>
        <v>0</v>
      </c>
      <c r="R86" s="173">
        <f>VLOOKUP(BG86,eindejaarsuitkering_OOP,2,TRUE)*'wgl tot'!H86/12</f>
        <v>0</v>
      </c>
      <c r="S86" s="173">
        <f>ROUND(H86*tabellen!$D$51,2)</f>
        <v>0</v>
      </c>
      <c r="T86" s="173">
        <f>ROUND(H86*tabellen!C$39,2)</f>
        <v>0</v>
      </c>
      <c r="U86" s="173">
        <f t="shared" si="43"/>
        <v>0</v>
      </c>
      <c r="V86" s="174">
        <f t="shared" si="35"/>
        <v>0</v>
      </c>
      <c r="W86" s="173">
        <f>('wgl tot'!L86+'wgl tot'!P86)*tabellen!$C$37*12</f>
        <v>0</v>
      </c>
      <c r="X86" s="155">
        <f t="shared" si="36"/>
        <v>0</v>
      </c>
      <c r="Y86" s="143"/>
      <c r="Z86" s="174">
        <f t="shared" si="44"/>
        <v>0</v>
      </c>
      <c r="AA86" s="207">
        <f>+'wgl tot'!W86/12</f>
        <v>0</v>
      </c>
      <c r="AB86" s="143"/>
      <c r="AC86" s="173">
        <f>IF(F86="",0,(IF('wgl tot'!V86/'wgl tot'!H86&lt;tabellen!$E$6,0,('wgl tot'!V86-tabellen!$E$6*'wgl tot'!H86)/12)*tabellen!$C$6))</f>
        <v>0</v>
      </c>
      <c r="AD86" s="173">
        <f>IF(F86="",0,(IF('wgl tot'!V86/'wgl tot'!H86&lt;tabellen!$E$7,0,(+'wgl tot'!V86-tabellen!$E$7*'wgl tot'!H86)/12)*tabellen!$C$7))</f>
        <v>0</v>
      </c>
      <c r="AE86" s="173">
        <f>'wgl tot'!V86/12*tabellen!$C$8</f>
        <v>0</v>
      </c>
      <c r="AF86" s="173">
        <f>IF(H86=0,0,IF(BM86&gt;tabellen!$G$9/12,tabellen!$G$9/12,BM86)*(tabellen!$C$9+tabellen!$C$10))</f>
        <v>0</v>
      </c>
      <c r="AG86" s="173">
        <f>IF(F86="",0,('wgl tot'!BN86))</f>
        <v>0</v>
      </c>
      <c r="AH86" s="175">
        <f>IF(F86="",0,(IF('wgl tot'!BM86&gt;tabellen!$G$12*'wgl tot'!H86/12,tabellen!$G$12*'wgl tot'!H86/12,'wgl tot'!BM86)*tabellen!$C$12))</f>
        <v>0</v>
      </c>
      <c r="AI86" s="143"/>
      <c r="AJ86" s="175">
        <f>IF(F86="",0,(L86+N86)*IF(J86=1,tabellen!$C$13,IF(J86=2,tabellen!$C$14,IF(J86=3,tabellen!$C$15,IF(J86=5,tabellen!$C$17,IF(J86=6,tabellen!$C$18,IF(J86=7,tabellen!$C$19,IF(J86=8,tabellen!$C$20,tabellen!$C$16))))))))</f>
        <v>0</v>
      </c>
      <c r="AK86" s="175">
        <f>IF(F86="",0,((L86+N86)*tabellen!$C$21))</f>
        <v>0</v>
      </c>
      <c r="AL86" s="224">
        <v>0</v>
      </c>
      <c r="AM86" s="143"/>
      <c r="AN86" s="224">
        <v>0</v>
      </c>
      <c r="AO86" s="143"/>
      <c r="AP86" s="155">
        <f t="shared" si="46"/>
        <v>0</v>
      </c>
      <c r="AQ86" s="155">
        <f t="shared" si="21"/>
        <v>0</v>
      </c>
      <c r="AR86" s="143"/>
      <c r="AS86" s="179" t="str">
        <f t="shared" si="37"/>
        <v/>
      </c>
      <c r="AT86" s="179" t="str">
        <f t="shared" si="38"/>
        <v/>
      </c>
      <c r="AU86" s="143"/>
      <c r="AV86" s="121"/>
      <c r="AW86" s="113"/>
      <c r="AX86" s="113"/>
      <c r="AY86" s="157">
        <f ca="1">YEAR('wgl tot'!$AY$9)-YEAR('wgl tot'!E86)</f>
        <v>120</v>
      </c>
      <c r="AZ86" s="157">
        <f ca="1">MONTH('wgl tot'!$AY$9)-MONTH('wgl tot'!E86)</f>
        <v>1</v>
      </c>
      <c r="BA86" s="157">
        <f ca="1">DAY('wgl tot'!$AY$9)-DAY('wgl tot'!E86)</f>
        <v>18</v>
      </c>
      <c r="BB86" s="122">
        <f>IF(AND('wgl tot'!F86&gt;0,'wgl tot'!F86&lt;17),0,100)</f>
        <v>100</v>
      </c>
      <c r="BC86" s="122">
        <f t="shared" si="39"/>
        <v>0</v>
      </c>
      <c r="BD86" s="140">
        <v>42583</v>
      </c>
      <c r="BE86" s="158">
        <f t="shared" si="18"/>
        <v>0.08</v>
      </c>
      <c r="BF86" s="159">
        <f>+tabellen!$D$45</f>
        <v>6.3E-2</v>
      </c>
      <c r="BG86" s="157">
        <f>IF('wgl tot'!BB86=100,0,'wgl tot'!F86)</f>
        <v>0</v>
      </c>
      <c r="BH86" s="159" t="str">
        <f>IF(OR('wgl tot'!F86="DA",'wgl tot'!F86="DB",'wgl tot'!F86="DBuit",'wgl tot'!F86="DC",'wgl tot'!F86="DCuit",MID('wgl tot'!F86,1,5)="meerh"),"j","n")</f>
        <v>n</v>
      </c>
      <c r="BI86" s="161" t="e">
        <f>IF('wgl tot'!V86/'wgl tot'!H86&lt;tabellen!$E$6,0,(+'wgl tot'!V86-tabellen!$E$6*'wgl tot'!H86)/12*tabellen!$D$6)</f>
        <v>#DIV/0!</v>
      </c>
      <c r="BJ86" s="161" t="e">
        <f>IF('wgl tot'!V86/'wgl tot'!H86&lt;tabellen!$E$7,0,(+'wgl tot'!V86-tabellen!$E$7*'wgl tot'!H86)/12*tabellen!$D$7)</f>
        <v>#DIV/0!</v>
      </c>
      <c r="BK86" s="161">
        <f>'wgl tot'!V86/12*tabellen!$D$8</f>
        <v>0</v>
      </c>
      <c r="BL86" s="162" t="e">
        <f t="shared" si="22"/>
        <v>#DIV/0!</v>
      </c>
      <c r="BM86" s="163" t="e">
        <f>+X86/12-'wgl tot'!BL86</f>
        <v>#DIV/0!</v>
      </c>
      <c r="BN86" s="163" t="e">
        <f>ROUND(IF('wgl tot'!BM86&gt;tabellen!$H$11,tabellen!$H$11,'wgl tot'!BM86)*tabellen!$C$11,2)</f>
        <v>#DIV/0!</v>
      </c>
      <c r="BO86" s="163" t="e">
        <f>+'wgl tot'!BM86+'wgl tot'!BN86</f>
        <v>#DIV/0!</v>
      </c>
      <c r="BP86" s="164">
        <f t="shared" si="40"/>
        <v>1900</v>
      </c>
      <c r="BQ86" s="164">
        <f t="shared" si="41"/>
        <v>1</v>
      </c>
      <c r="BR86" s="157">
        <f t="shared" si="42"/>
        <v>0</v>
      </c>
      <c r="BS86" s="140">
        <f t="shared" si="45"/>
        <v>24227</v>
      </c>
      <c r="BT86" s="140">
        <f t="shared" ca="1" si="17"/>
        <v>43879.576672800926</v>
      </c>
      <c r="BU86" s="122"/>
      <c r="BV86" s="140"/>
      <c r="BW86" s="122"/>
      <c r="BX86" s="160"/>
      <c r="BY86" s="160"/>
      <c r="BZ86" s="160"/>
      <c r="CA86" s="160"/>
      <c r="CB86" s="160"/>
      <c r="CC86" s="160"/>
      <c r="CD86" s="113"/>
      <c r="CE86" s="113"/>
    </row>
    <row r="87" spans="1:83" s="124" customFormat="1" ht="12" customHeight="1" x14ac:dyDescent="0.2">
      <c r="A87" s="113"/>
      <c r="B87" s="114"/>
      <c r="C87" s="143"/>
      <c r="D87" s="144"/>
      <c r="E87" s="143"/>
      <c r="F87" s="143"/>
      <c r="G87" s="143"/>
      <c r="H87" s="143"/>
      <c r="I87" s="143"/>
      <c r="J87" s="143"/>
      <c r="K87" s="143"/>
      <c r="L87" s="143"/>
      <c r="M87" s="143"/>
      <c r="N87" s="143"/>
      <c r="O87" s="143"/>
      <c r="P87" s="143"/>
      <c r="Q87" s="143"/>
      <c r="R87" s="143"/>
      <c r="S87" s="143"/>
      <c r="T87" s="143"/>
      <c r="U87" s="143"/>
      <c r="V87" s="145"/>
      <c r="W87" s="143"/>
      <c r="X87" s="143"/>
      <c r="Y87" s="143"/>
      <c r="Z87" s="145"/>
      <c r="AA87" s="208"/>
      <c r="AB87" s="143"/>
      <c r="AC87" s="143"/>
      <c r="AD87" s="143"/>
      <c r="AE87" s="143"/>
      <c r="AF87" s="143"/>
      <c r="AG87" s="143"/>
      <c r="AH87" s="146"/>
      <c r="AI87" s="143"/>
      <c r="AJ87" s="146"/>
      <c r="AK87" s="146"/>
      <c r="AL87" s="165"/>
      <c r="AM87" s="143"/>
      <c r="AN87" s="143"/>
      <c r="AO87" s="143"/>
      <c r="AP87" s="143"/>
      <c r="AQ87" s="143"/>
      <c r="AR87" s="143"/>
      <c r="AS87" s="143"/>
      <c r="AT87" s="143"/>
      <c r="AU87" s="143"/>
      <c r="AV87" s="121"/>
      <c r="AW87" s="113"/>
      <c r="AX87" s="113"/>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3"/>
      <c r="BV87" s="123"/>
      <c r="BW87" s="123"/>
      <c r="BX87" s="122"/>
      <c r="BY87" s="122"/>
      <c r="BZ87" s="122"/>
      <c r="CA87" s="122"/>
      <c r="CB87" s="122"/>
      <c r="CC87" s="122"/>
      <c r="CD87" s="113"/>
      <c r="CE87" s="113"/>
    </row>
    <row r="88" spans="1:83" s="124" customFormat="1" ht="12" customHeight="1" x14ac:dyDescent="0.2">
      <c r="A88" s="113"/>
      <c r="B88" s="166"/>
      <c r="C88" s="167"/>
      <c r="D88" s="168"/>
      <c r="E88" s="167"/>
      <c r="F88" s="167"/>
      <c r="G88" s="167"/>
      <c r="H88" s="167"/>
      <c r="I88" s="167"/>
      <c r="J88" s="167"/>
      <c r="K88" s="167"/>
      <c r="L88" s="167"/>
      <c r="M88" s="167"/>
      <c r="N88" s="167"/>
      <c r="O88" s="167"/>
      <c r="P88" s="167"/>
      <c r="Q88" s="167"/>
      <c r="R88" s="167"/>
      <c r="S88" s="167"/>
      <c r="T88" s="383"/>
      <c r="U88" s="167"/>
      <c r="V88" s="169"/>
      <c r="W88" s="167"/>
      <c r="X88" s="167"/>
      <c r="Y88" s="167"/>
      <c r="Z88" s="169"/>
      <c r="AA88" s="209"/>
      <c r="AB88" s="167"/>
      <c r="AC88" s="167"/>
      <c r="AD88" s="167"/>
      <c r="AE88" s="167"/>
      <c r="AF88" s="167"/>
      <c r="AG88" s="167"/>
      <c r="AH88" s="170"/>
      <c r="AI88" s="167"/>
      <c r="AJ88" s="170"/>
      <c r="AK88" s="170"/>
      <c r="AL88" s="171"/>
      <c r="AM88" s="167"/>
      <c r="AN88" s="167"/>
      <c r="AO88" s="167"/>
      <c r="AP88" s="167"/>
      <c r="AQ88" s="167"/>
      <c r="AR88" s="167"/>
      <c r="AS88" s="167"/>
      <c r="AT88" s="167"/>
      <c r="AU88" s="167"/>
      <c r="AV88" s="172"/>
      <c r="AW88" s="113"/>
      <c r="AX88" s="113"/>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3"/>
      <c r="BV88" s="123"/>
      <c r="BW88" s="123"/>
      <c r="BX88" s="122"/>
      <c r="BY88" s="122"/>
      <c r="BZ88" s="122"/>
      <c r="CA88" s="122"/>
      <c r="CB88" s="122"/>
      <c r="CC88" s="122"/>
      <c r="CD88" s="113"/>
      <c r="CE88" s="113"/>
    </row>
    <row r="89" spans="1:83" s="30" customFormat="1" ht="13.5" customHeight="1" x14ac:dyDescent="0.2">
      <c r="D89" s="33"/>
      <c r="K89" s="176"/>
      <c r="L89" s="176"/>
      <c r="V89" s="189"/>
      <c r="W89" s="176"/>
      <c r="Z89" s="189"/>
      <c r="AA89" s="198"/>
      <c r="AH89" s="34"/>
      <c r="AJ89" s="34"/>
      <c r="AK89" s="34"/>
      <c r="AL89" s="35"/>
      <c r="AS89" s="176"/>
      <c r="AT89" s="176"/>
      <c r="AY89" s="36"/>
      <c r="AZ89" s="36"/>
      <c r="BA89" s="36"/>
      <c r="BB89" s="36"/>
      <c r="BC89" s="36"/>
      <c r="BD89" s="36"/>
      <c r="BE89" s="36"/>
      <c r="BF89" s="36"/>
      <c r="BG89" s="36"/>
      <c r="BH89" s="36"/>
      <c r="BI89" s="36"/>
      <c r="BJ89" s="36"/>
      <c r="BK89" s="36"/>
      <c r="BL89" s="36"/>
      <c r="BM89" s="36"/>
      <c r="BN89" s="36"/>
      <c r="BO89" s="36"/>
      <c r="BP89" s="36"/>
      <c r="BQ89" s="36"/>
      <c r="BR89" s="36"/>
      <c r="BS89" s="36"/>
      <c r="BT89" s="36"/>
      <c r="BU89" s="37"/>
      <c r="BV89" s="37"/>
      <c r="BW89" s="37"/>
      <c r="BX89" s="36"/>
      <c r="BY89" s="36"/>
      <c r="BZ89" s="36"/>
      <c r="CA89" s="36"/>
      <c r="CB89" s="36"/>
      <c r="CC89" s="36"/>
    </row>
    <row r="90" spans="1:83" s="30" customFormat="1" ht="13.5" customHeight="1" x14ac:dyDescent="0.2">
      <c r="D90" s="33"/>
      <c r="K90" s="176"/>
      <c r="L90" s="176"/>
      <c r="V90" s="189"/>
      <c r="W90" s="176"/>
      <c r="Z90" s="189"/>
      <c r="AA90" s="198"/>
      <c r="AH90" s="34"/>
      <c r="AJ90" s="34"/>
      <c r="AK90" s="34"/>
      <c r="AL90" s="35"/>
      <c r="AS90" s="176"/>
      <c r="AT90" s="176"/>
      <c r="AY90" s="36"/>
      <c r="AZ90" s="36"/>
      <c r="BA90" s="36"/>
      <c r="BB90" s="36"/>
      <c r="BC90" s="36"/>
      <c r="BD90" s="36"/>
      <c r="BE90" s="36"/>
      <c r="BF90" s="36"/>
      <c r="BG90" s="36"/>
      <c r="BH90" s="36"/>
      <c r="BI90" s="36"/>
      <c r="BJ90" s="36"/>
      <c r="BK90" s="36"/>
      <c r="BL90" s="36"/>
      <c r="BM90" s="36"/>
      <c r="BN90" s="36"/>
      <c r="BO90" s="36"/>
      <c r="BP90" s="36"/>
      <c r="BQ90" s="36"/>
      <c r="BR90" s="36"/>
      <c r="BS90" s="36"/>
      <c r="BT90" s="36"/>
      <c r="BU90" s="37"/>
      <c r="BV90" s="37"/>
      <c r="BW90" s="37"/>
      <c r="BX90" s="36"/>
      <c r="BY90" s="36"/>
      <c r="BZ90" s="36"/>
      <c r="CA90" s="36"/>
      <c r="CB90" s="36"/>
      <c r="CC90" s="36"/>
    </row>
    <row r="91" spans="1:83" s="32" customFormat="1" ht="13.5" customHeight="1" x14ac:dyDescent="0.2">
      <c r="C91" s="405" t="s">
        <v>312</v>
      </c>
      <c r="D91" s="40"/>
      <c r="K91" s="178"/>
      <c r="L91" s="178"/>
      <c r="N91" s="30"/>
      <c r="V91" s="41"/>
      <c r="W91" s="178"/>
      <c r="Z91" s="41"/>
      <c r="AA91" s="198"/>
      <c r="AF91" s="30"/>
      <c r="AG91" s="30"/>
      <c r="AH91" s="34"/>
      <c r="AJ91" s="34"/>
      <c r="AK91" s="34"/>
      <c r="AL91" s="35"/>
      <c r="AS91" s="178"/>
      <c r="AT91" s="178"/>
      <c r="AY91" s="36"/>
      <c r="AZ91" s="36"/>
      <c r="BA91" s="36"/>
      <c r="BB91" s="36"/>
      <c r="BC91" s="36"/>
      <c r="BD91" s="36"/>
      <c r="BE91" s="36"/>
      <c r="BF91" s="36"/>
      <c r="BG91" s="36"/>
      <c r="BH91" s="36"/>
      <c r="BI91" s="36"/>
      <c r="BJ91" s="36"/>
      <c r="BK91" s="36"/>
      <c r="BL91" s="36"/>
      <c r="BM91" s="36"/>
      <c r="BN91" s="36"/>
      <c r="BO91" s="36"/>
      <c r="BP91" s="36"/>
      <c r="BQ91" s="36"/>
      <c r="BR91" s="36"/>
      <c r="BS91" s="36"/>
      <c r="BT91" s="36"/>
      <c r="BU91" s="37"/>
      <c r="BV91" s="37"/>
      <c r="BW91" s="37"/>
      <c r="BX91" s="36"/>
      <c r="BY91" s="36"/>
      <c r="BZ91" s="36"/>
      <c r="CA91" s="36"/>
      <c r="CB91" s="36"/>
      <c r="CC91" s="36"/>
    </row>
    <row r="92" spans="1:83" s="32" customFormat="1" ht="13.5" customHeight="1" x14ac:dyDescent="0.2">
      <c r="C92" s="405" t="s">
        <v>313</v>
      </c>
      <c r="D92" s="40"/>
      <c r="K92" s="178"/>
      <c r="L92" s="178"/>
      <c r="N92" s="30"/>
      <c r="V92" s="41"/>
      <c r="W92" s="178"/>
      <c r="Z92" s="41"/>
      <c r="AA92" s="198"/>
      <c r="AF92" s="30"/>
      <c r="AG92" s="30"/>
      <c r="AH92" s="34"/>
      <c r="AJ92" s="34"/>
      <c r="AK92" s="34"/>
      <c r="AL92" s="35"/>
      <c r="AS92" s="178"/>
      <c r="AT92" s="178"/>
      <c r="AY92" s="36"/>
      <c r="AZ92" s="36"/>
      <c r="BA92" s="36"/>
      <c r="BB92" s="36"/>
      <c r="BC92" s="36"/>
      <c r="BD92" s="36"/>
      <c r="BE92" s="36"/>
      <c r="BF92" s="36"/>
      <c r="BG92" s="36"/>
      <c r="BH92" s="36"/>
      <c r="BI92" s="36"/>
      <c r="BJ92" s="36"/>
      <c r="BK92" s="36"/>
      <c r="BL92" s="36"/>
      <c r="BM92" s="36"/>
      <c r="BN92" s="36"/>
      <c r="BO92" s="36"/>
      <c r="BP92" s="36"/>
      <c r="BQ92" s="36"/>
      <c r="BR92" s="36"/>
      <c r="BS92" s="36"/>
      <c r="BT92" s="36"/>
      <c r="BU92" s="37"/>
      <c r="BV92" s="37"/>
      <c r="BW92" s="37"/>
      <c r="BX92" s="36"/>
      <c r="BY92" s="36"/>
      <c r="BZ92" s="36"/>
      <c r="CA92" s="36"/>
      <c r="CB92" s="36"/>
      <c r="CC92" s="36"/>
    </row>
    <row r="93" spans="1:83" s="32" customFormat="1" ht="13.5" customHeight="1" x14ac:dyDescent="0.2">
      <c r="C93" s="405" t="s">
        <v>314</v>
      </c>
      <c r="D93" s="40"/>
      <c r="K93" s="178"/>
      <c r="L93" s="178"/>
      <c r="N93" s="30"/>
      <c r="V93" s="41"/>
      <c r="W93" s="178"/>
      <c r="Z93" s="41"/>
      <c r="AA93" s="198"/>
      <c r="AF93" s="30"/>
      <c r="AG93" s="30"/>
      <c r="AH93" s="34"/>
      <c r="AJ93" s="34"/>
      <c r="AK93" s="34"/>
      <c r="AL93" s="35"/>
      <c r="AS93" s="178"/>
      <c r="AT93" s="178"/>
      <c r="AY93" s="36"/>
      <c r="AZ93" s="36"/>
      <c r="BA93" s="36"/>
      <c r="BB93" s="36"/>
      <c r="BC93" s="36"/>
      <c r="BD93" s="36"/>
      <c r="BE93" s="36"/>
      <c r="BF93" s="36"/>
      <c r="BG93" s="36"/>
      <c r="BH93" s="36"/>
      <c r="BI93" s="36"/>
      <c r="BJ93" s="36"/>
      <c r="BK93" s="36"/>
      <c r="BL93" s="36"/>
      <c r="BM93" s="36"/>
      <c r="BN93" s="36"/>
      <c r="BO93" s="36"/>
      <c r="BP93" s="36"/>
      <c r="BQ93" s="36"/>
      <c r="BR93" s="36"/>
      <c r="BS93" s="36"/>
      <c r="BT93" s="36"/>
      <c r="BU93" s="37"/>
      <c r="BV93" s="37"/>
      <c r="BW93" s="37"/>
      <c r="BX93" s="36"/>
      <c r="BY93" s="36"/>
      <c r="BZ93" s="36"/>
      <c r="CA93" s="36"/>
      <c r="CB93" s="36"/>
      <c r="CC93" s="36"/>
    </row>
    <row r="94" spans="1:83" s="32" customFormat="1" ht="13.5" customHeight="1" x14ac:dyDescent="0.2">
      <c r="C94" s="405" t="s">
        <v>315</v>
      </c>
      <c r="D94" s="40"/>
      <c r="K94" s="178"/>
      <c r="L94" s="178"/>
      <c r="N94" s="30"/>
      <c r="V94" s="41"/>
      <c r="W94" s="178"/>
      <c r="Z94" s="41"/>
      <c r="AA94" s="198"/>
      <c r="AF94" s="30"/>
      <c r="AG94" s="30"/>
      <c r="AH94" s="34"/>
      <c r="AJ94" s="34"/>
      <c r="AK94" s="34"/>
      <c r="AL94" s="35"/>
      <c r="AS94" s="178"/>
      <c r="AT94" s="178"/>
      <c r="AY94" s="36"/>
      <c r="AZ94" s="36"/>
      <c r="BA94" s="36"/>
      <c r="BB94" s="36"/>
      <c r="BC94" s="36"/>
      <c r="BD94" s="36"/>
      <c r="BE94" s="36"/>
      <c r="BF94" s="36"/>
      <c r="BG94" s="36"/>
      <c r="BH94" s="36"/>
      <c r="BI94" s="36"/>
      <c r="BJ94" s="36"/>
      <c r="BK94" s="36"/>
      <c r="BL94" s="36"/>
      <c r="BM94" s="36"/>
      <c r="BN94" s="36"/>
      <c r="BO94" s="36"/>
      <c r="BP94" s="36"/>
      <c r="BQ94" s="36"/>
      <c r="BR94" s="36"/>
      <c r="BS94" s="36"/>
      <c r="BT94" s="36"/>
      <c r="BU94" s="37"/>
      <c r="BV94" s="37"/>
      <c r="BW94" s="37"/>
      <c r="BX94" s="36"/>
      <c r="BY94" s="36"/>
      <c r="BZ94" s="36"/>
      <c r="CA94" s="36"/>
      <c r="CB94" s="36"/>
      <c r="CC94" s="36"/>
    </row>
    <row r="95" spans="1:83" s="32" customFormat="1" ht="13.5" customHeight="1" x14ac:dyDescent="0.2">
      <c r="C95" s="406" t="s">
        <v>9</v>
      </c>
      <c r="D95" s="40"/>
      <c r="K95" s="178"/>
      <c r="L95" s="178"/>
      <c r="N95" s="30"/>
      <c r="V95" s="41"/>
      <c r="W95" s="178"/>
      <c r="Z95" s="41"/>
      <c r="AA95" s="198"/>
      <c r="AF95" s="30"/>
      <c r="AG95" s="30"/>
      <c r="AH95" s="34"/>
      <c r="AJ95" s="34"/>
      <c r="AK95" s="34"/>
      <c r="AL95" s="35"/>
      <c r="AS95" s="178"/>
      <c r="AT95" s="178"/>
      <c r="AY95" s="36"/>
      <c r="AZ95" s="36"/>
      <c r="BA95" s="36"/>
      <c r="BB95" s="36"/>
      <c r="BC95" s="36"/>
      <c r="BD95" s="36"/>
      <c r="BE95" s="36"/>
      <c r="BF95" s="36"/>
      <c r="BG95" s="36"/>
      <c r="BH95" s="36"/>
      <c r="BI95" s="36"/>
      <c r="BJ95" s="36"/>
      <c r="BK95" s="36"/>
      <c r="BL95" s="36"/>
      <c r="BM95" s="36"/>
      <c r="BN95" s="36"/>
      <c r="BO95" s="36"/>
      <c r="BP95" s="36"/>
      <c r="BQ95" s="36"/>
      <c r="BR95" s="36"/>
      <c r="BS95" s="36"/>
      <c r="BT95" s="36"/>
      <c r="BU95" s="37"/>
      <c r="BV95" s="37"/>
      <c r="BW95" s="37"/>
      <c r="BX95" s="36"/>
      <c r="BY95" s="36"/>
      <c r="BZ95" s="36"/>
      <c r="CA95" s="36"/>
      <c r="CB95" s="36"/>
      <c r="CC95" s="36"/>
    </row>
    <row r="96" spans="1:83" s="32" customFormat="1" ht="13.5" customHeight="1" x14ac:dyDescent="0.2">
      <c r="C96" s="406" t="s">
        <v>10</v>
      </c>
      <c r="D96" s="40"/>
      <c r="K96" s="178"/>
      <c r="L96" s="178"/>
      <c r="N96" s="30"/>
      <c r="V96" s="41"/>
      <c r="W96" s="178"/>
      <c r="Z96" s="41"/>
      <c r="AA96" s="198"/>
      <c r="AF96" s="30"/>
      <c r="AG96" s="30"/>
      <c r="AH96" s="34"/>
      <c r="AJ96" s="34"/>
      <c r="AK96" s="34"/>
      <c r="AL96" s="35"/>
      <c r="AS96" s="178"/>
      <c r="AT96" s="178"/>
      <c r="AY96" s="36"/>
      <c r="AZ96" s="36"/>
      <c r="BA96" s="36"/>
      <c r="BB96" s="36"/>
      <c r="BC96" s="36"/>
      <c r="BD96" s="36"/>
      <c r="BE96" s="36"/>
      <c r="BF96" s="36"/>
      <c r="BG96" s="36"/>
      <c r="BH96" s="36"/>
      <c r="BI96" s="36"/>
      <c r="BJ96" s="36"/>
      <c r="BK96" s="36"/>
      <c r="BL96" s="36"/>
      <c r="BM96" s="36"/>
      <c r="BN96" s="36"/>
      <c r="BO96" s="36"/>
      <c r="BP96" s="36"/>
      <c r="BQ96" s="36"/>
      <c r="BR96" s="36"/>
      <c r="BS96" s="36"/>
      <c r="BT96" s="36"/>
      <c r="BU96" s="37"/>
      <c r="BV96" s="37"/>
      <c r="BW96" s="37"/>
      <c r="BX96" s="36"/>
      <c r="BY96" s="36"/>
      <c r="BZ96" s="36"/>
      <c r="CA96" s="36"/>
      <c r="CB96" s="36"/>
      <c r="CC96" s="36"/>
    </row>
    <row r="97" spans="3:81" s="32" customFormat="1" ht="13.5" customHeight="1" x14ac:dyDescent="0.2">
      <c r="C97" s="406" t="s">
        <v>11</v>
      </c>
      <c r="D97" s="40"/>
      <c r="K97" s="178"/>
      <c r="L97" s="178"/>
      <c r="N97" s="30"/>
      <c r="V97" s="41"/>
      <c r="W97" s="178"/>
      <c r="Z97" s="41"/>
      <c r="AA97" s="198"/>
      <c r="AF97" s="30"/>
      <c r="AG97" s="30"/>
      <c r="AH97" s="34"/>
      <c r="AJ97" s="34"/>
      <c r="AK97" s="34"/>
      <c r="AL97" s="35"/>
      <c r="AS97" s="178"/>
      <c r="AT97" s="178"/>
      <c r="AY97" s="36"/>
      <c r="AZ97" s="36"/>
      <c r="BA97" s="36"/>
      <c r="BB97" s="36"/>
      <c r="BC97" s="36"/>
      <c r="BD97" s="36"/>
      <c r="BE97" s="36"/>
      <c r="BF97" s="36"/>
      <c r="BG97" s="36"/>
      <c r="BH97" s="36"/>
      <c r="BI97" s="36"/>
      <c r="BJ97" s="36"/>
      <c r="BK97" s="36"/>
      <c r="BL97" s="36"/>
      <c r="BM97" s="36"/>
      <c r="BN97" s="36"/>
      <c r="BO97" s="36"/>
      <c r="BP97" s="36"/>
      <c r="BQ97" s="36"/>
      <c r="BR97" s="36"/>
      <c r="BS97" s="36"/>
      <c r="BT97" s="36"/>
      <c r="BU97" s="37"/>
      <c r="BV97" s="37"/>
      <c r="BW97" s="37"/>
      <c r="BX97" s="36"/>
      <c r="BY97" s="36"/>
      <c r="BZ97" s="36"/>
      <c r="CA97" s="36"/>
      <c r="CB97" s="36"/>
      <c r="CC97" s="36"/>
    </row>
    <row r="98" spans="3:81" s="32" customFormat="1" ht="13.5" customHeight="1" x14ac:dyDescent="0.2">
      <c r="C98" s="406" t="s">
        <v>12</v>
      </c>
      <c r="D98" s="40"/>
      <c r="K98" s="178"/>
      <c r="L98" s="178"/>
      <c r="N98" s="30"/>
      <c r="V98" s="41"/>
      <c r="W98" s="178"/>
      <c r="Z98" s="41"/>
      <c r="AA98" s="198"/>
      <c r="AF98" s="30"/>
      <c r="AG98" s="30"/>
      <c r="AH98" s="34"/>
      <c r="AJ98" s="34"/>
      <c r="AK98" s="34"/>
      <c r="AL98" s="35"/>
      <c r="AS98" s="178"/>
      <c r="AT98" s="178"/>
      <c r="AY98" s="36"/>
      <c r="AZ98" s="36"/>
      <c r="BA98" s="36"/>
      <c r="BB98" s="36"/>
      <c r="BC98" s="36"/>
      <c r="BD98" s="36"/>
      <c r="BE98" s="36"/>
      <c r="BF98" s="36"/>
      <c r="BG98" s="36"/>
      <c r="BH98" s="36"/>
      <c r="BI98" s="36"/>
      <c r="BJ98" s="36"/>
      <c r="BK98" s="36"/>
      <c r="BL98" s="36"/>
      <c r="BM98" s="36"/>
      <c r="BN98" s="36"/>
      <c r="BO98" s="36"/>
      <c r="BP98" s="36"/>
      <c r="BQ98" s="36"/>
      <c r="BR98" s="36"/>
      <c r="BS98" s="36"/>
      <c r="BT98" s="36"/>
      <c r="BU98" s="37"/>
      <c r="BV98" s="37"/>
      <c r="BW98" s="37"/>
      <c r="BX98" s="36"/>
      <c r="BY98" s="36"/>
      <c r="BZ98" s="36"/>
      <c r="CA98" s="36"/>
      <c r="CB98" s="36"/>
      <c r="CC98" s="36"/>
    </row>
    <row r="99" spans="3:81" s="32" customFormat="1" ht="13.5" customHeight="1" x14ac:dyDescent="0.2">
      <c r="C99" s="406" t="s">
        <v>322</v>
      </c>
      <c r="D99" s="40"/>
      <c r="K99" s="178"/>
      <c r="L99" s="178"/>
      <c r="N99" s="30"/>
      <c r="V99" s="41"/>
      <c r="W99" s="178"/>
      <c r="Z99" s="41"/>
      <c r="AA99" s="198"/>
      <c r="AF99" s="30"/>
      <c r="AG99" s="30"/>
      <c r="AH99" s="34"/>
      <c r="AJ99" s="34"/>
      <c r="AK99" s="34"/>
      <c r="AL99" s="35"/>
      <c r="AS99" s="178"/>
      <c r="AT99" s="178"/>
      <c r="AY99" s="36"/>
      <c r="AZ99" s="36"/>
      <c r="BA99" s="36"/>
      <c r="BB99" s="36"/>
      <c r="BC99" s="36"/>
      <c r="BD99" s="36"/>
      <c r="BE99" s="36"/>
      <c r="BF99" s="36"/>
      <c r="BG99" s="36"/>
      <c r="BH99" s="36"/>
      <c r="BI99" s="36"/>
      <c r="BJ99" s="36"/>
      <c r="BK99" s="36"/>
      <c r="BL99" s="36"/>
      <c r="BM99" s="36"/>
      <c r="BN99" s="36"/>
      <c r="BO99" s="36"/>
      <c r="BP99" s="36"/>
      <c r="BQ99" s="36"/>
      <c r="BR99" s="36"/>
      <c r="BS99" s="36"/>
      <c r="BT99" s="36"/>
      <c r="BU99" s="37"/>
      <c r="BV99" s="37"/>
      <c r="BW99" s="37"/>
      <c r="BX99" s="36"/>
      <c r="BY99" s="36"/>
      <c r="BZ99" s="36"/>
      <c r="CA99" s="36"/>
      <c r="CB99" s="36"/>
      <c r="CC99" s="36"/>
    </row>
    <row r="100" spans="3:81" s="32" customFormat="1" ht="13.5" customHeight="1" x14ac:dyDescent="0.2">
      <c r="C100" s="406" t="s">
        <v>323</v>
      </c>
      <c r="D100" s="40"/>
      <c r="K100" s="178"/>
      <c r="L100" s="178"/>
      <c r="N100" s="30"/>
      <c r="V100" s="41"/>
      <c r="W100" s="178"/>
      <c r="Z100" s="41"/>
      <c r="AA100" s="198"/>
      <c r="AF100" s="30"/>
      <c r="AG100" s="30"/>
      <c r="AH100" s="34"/>
      <c r="AJ100" s="34"/>
      <c r="AK100" s="34"/>
      <c r="AL100" s="35"/>
      <c r="AS100" s="178"/>
      <c r="AT100" s="178"/>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7"/>
      <c r="BV100" s="37"/>
      <c r="BW100" s="37"/>
      <c r="BX100" s="36"/>
      <c r="BY100" s="36"/>
      <c r="BZ100" s="36"/>
      <c r="CA100" s="36"/>
      <c r="CB100" s="36"/>
      <c r="CC100" s="36"/>
    </row>
    <row r="101" spans="3:81" s="32" customFormat="1" ht="13.5" customHeight="1" x14ac:dyDescent="0.2">
      <c r="C101" s="406" t="s">
        <v>324</v>
      </c>
      <c r="D101" s="40"/>
      <c r="K101" s="178"/>
      <c r="L101" s="178"/>
      <c r="N101" s="30"/>
      <c r="V101" s="41"/>
      <c r="W101" s="178"/>
      <c r="Z101" s="41"/>
      <c r="AA101" s="198"/>
      <c r="AF101" s="30"/>
      <c r="AG101" s="30"/>
      <c r="AH101" s="34"/>
      <c r="AJ101" s="34"/>
      <c r="AK101" s="34"/>
      <c r="AL101" s="35"/>
      <c r="AS101" s="178"/>
      <c r="AT101" s="178"/>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7"/>
      <c r="BV101" s="37"/>
      <c r="BW101" s="37"/>
      <c r="BX101" s="36"/>
      <c r="BY101" s="36"/>
      <c r="BZ101" s="36"/>
      <c r="CA101" s="36"/>
      <c r="CB101" s="36"/>
      <c r="CC101" s="36"/>
    </row>
    <row r="102" spans="3:81" s="32" customFormat="1" ht="13.5" customHeight="1" x14ac:dyDescent="0.2">
      <c r="C102" s="406" t="s">
        <v>325</v>
      </c>
      <c r="D102" s="40"/>
      <c r="K102" s="178"/>
      <c r="L102" s="178"/>
      <c r="N102" s="30"/>
      <c r="V102" s="41"/>
      <c r="W102" s="178"/>
      <c r="Z102" s="41"/>
      <c r="AA102" s="198"/>
      <c r="AF102" s="30"/>
      <c r="AG102" s="30"/>
      <c r="AH102" s="34"/>
      <c r="AJ102" s="34"/>
      <c r="AK102" s="34"/>
      <c r="AL102" s="35"/>
      <c r="AS102" s="178"/>
      <c r="AT102" s="178"/>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7"/>
      <c r="BV102" s="37"/>
      <c r="BW102" s="37"/>
      <c r="BX102" s="36"/>
      <c r="BY102" s="36"/>
      <c r="BZ102" s="36"/>
      <c r="CA102" s="36"/>
      <c r="CB102" s="36"/>
      <c r="CC102" s="36"/>
    </row>
    <row r="103" spans="3:81" s="32" customFormat="1" ht="13.5" customHeight="1" x14ac:dyDescent="0.2">
      <c r="C103" s="406" t="s">
        <v>326</v>
      </c>
      <c r="D103" s="40"/>
      <c r="K103" s="178"/>
      <c r="L103" s="178"/>
      <c r="N103" s="30"/>
      <c r="V103" s="41"/>
      <c r="W103" s="178"/>
      <c r="Z103" s="41"/>
      <c r="AA103" s="198"/>
      <c r="AF103" s="30"/>
      <c r="AG103" s="30"/>
      <c r="AH103" s="34"/>
      <c r="AJ103" s="34"/>
      <c r="AK103" s="34"/>
      <c r="AL103" s="35"/>
      <c r="AS103" s="178"/>
      <c r="AT103" s="178"/>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7"/>
      <c r="BV103" s="37"/>
      <c r="BW103" s="37"/>
      <c r="BX103" s="36"/>
      <c r="BY103" s="36"/>
      <c r="BZ103" s="36"/>
      <c r="CA103" s="36"/>
      <c r="CB103" s="36"/>
      <c r="CC103" s="36"/>
    </row>
    <row r="104" spans="3:81" s="32" customFormat="1" ht="13.5" customHeight="1" x14ac:dyDescent="0.2">
      <c r="C104" s="406" t="s">
        <v>2</v>
      </c>
      <c r="D104" s="40"/>
      <c r="K104" s="178"/>
      <c r="L104" s="178"/>
      <c r="N104" s="30"/>
      <c r="V104" s="41"/>
      <c r="W104" s="178"/>
      <c r="Z104" s="41"/>
      <c r="AA104" s="198"/>
      <c r="AF104" s="30"/>
      <c r="AG104" s="30"/>
      <c r="AH104" s="34"/>
      <c r="AJ104" s="34"/>
      <c r="AK104" s="34"/>
      <c r="AL104" s="35"/>
      <c r="AS104" s="178"/>
      <c r="AT104" s="178"/>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7"/>
      <c r="BV104" s="37"/>
      <c r="BW104" s="37"/>
      <c r="BX104" s="36"/>
      <c r="BY104" s="36"/>
      <c r="BZ104" s="36"/>
      <c r="CA104" s="36"/>
      <c r="CB104" s="36"/>
      <c r="CC104" s="36"/>
    </row>
    <row r="105" spans="3:81" s="32" customFormat="1" ht="13.5" customHeight="1" x14ac:dyDescent="0.2">
      <c r="C105" s="406" t="s">
        <v>3</v>
      </c>
      <c r="D105" s="40"/>
      <c r="K105" s="178"/>
      <c r="L105" s="178"/>
      <c r="N105" s="30"/>
      <c r="V105" s="41"/>
      <c r="W105" s="178"/>
      <c r="Z105" s="41"/>
      <c r="AA105" s="198"/>
      <c r="AF105" s="30"/>
      <c r="AG105" s="30"/>
      <c r="AH105" s="34"/>
      <c r="AJ105" s="34"/>
      <c r="AK105" s="34"/>
      <c r="AL105" s="35"/>
      <c r="AS105" s="178"/>
      <c r="AT105" s="178"/>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7"/>
      <c r="BV105" s="37"/>
      <c r="BW105" s="37"/>
      <c r="BX105" s="36"/>
      <c r="BY105" s="36"/>
      <c r="BZ105" s="36"/>
      <c r="CA105" s="36"/>
      <c r="CB105" s="36"/>
      <c r="CC105" s="36"/>
    </row>
    <row r="106" spans="3:81" s="32" customFormat="1" ht="13.5" customHeight="1" x14ac:dyDescent="0.2">
      <c r="C106" s="406" t="s">
        <v>4</v>
      </c>
      <c r="D106" s="40"/>
      <c r="K106" s="178"/>
      <c r="L106" s="178"/>
      <c r="N106" s="30"/>
      <c r="V106" s="41"/>
      <c r="W106" s="178"/>
      <c r="Z106" s="41"/>
      <c r="AA106" s="198"/>
      <c r="AF106" s="30"/>
      <c r="AG106" s="30"/>
      <c r="AH106" s="34"/>
      <c r="AJ106" s="34"/>
      <c r="AK106" s="34"/>
      <c r="AL106" s="35"/>
      <c r="AS106" s="178"/>
      <c r="AT106" s="178"/>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7"/>
      <c r="BV106" s="37"/>
      <c r="BW106" s="37"/>
      <c r="BX106" s="36"/>
      <c r="BY106" s="36"/>
      <c r="BZ106" s="36"/>
      <c r="CA106" s="36"/>
      <c r="CB106" s="36"/>
      <c r="CC106" s="36"/>
    </row>
    <row r="107" spans="3:81" s="32" customFormat="1" ht="13.5" customHeight="1" x14ac:dyDescent="0.2">
      <c r="C107" s="406" t="s">
        <v>5</v>
      </c>
      <c r="D107" s="40"/>
      <c r="K107" s="178"/>
      <c r="L107" s="178"/>
      <c r="N107" s="30"/>
      <c r="V107" s="41"/>
      <c r="W107" s="178"/>
      <c r="Z107" s="41"/>
      <c r="AA107" s="198"/>
      <c r="AF107" s="30"/>
      <c r="AG107" s="30"/>
      <c r="AH107" s="34"/>
      <c r="AJ107" s="34"/>
      <c r="AK107" s="34"/>
      <c r="AL107" s="35"/>
      <c r="AS107" s="178"/>
      <c r="AT107" s="178"/>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7"/>
      <c r="BV107" s="37"/>
      <c r="BW107" s="37"/>
      <c r="BX107" s="36"/>
      <c r="BY107" s="36"/>
      <c r="BZ107" s="36"/>
      <c r="CA107" s="36"/>
      <c r="CB107" s="36"/>
      <c r="CC107" s="36"/>
    </row>
    <row r="108" spans="3:81" s="32" customFormat="1" ht="13.5" customHeight="1" x14ac:dyDescent="0.2">
      <c r="C108" s="406" t="s">
        <v>6</v>
      </c>
      <c r="D108" s="40"/>
      <c r="K108" s="178"/>
      <c r="L108" s="178"/>
      <c r="N108" s="30"/>
      <c r="V108" s="41"/>
      <c r="W108" s="178"/>
      <c r="Z108" s="41"/>
      <c r="AA108" s="198"/>
      <c r="AF108" s="30"/>
      <c r="AG108" s="30"/>
      <c r="AH108" s="34"/>
      <c r="AJ108" s="34"/>
      <c r="AK108" s="34"/>
      <c r="AL108" s="35"/>
      <c r="AS108" s="178"/>
      <c r="AT108" s="178"/>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7"/>
      <c r="BV108" s="37"/>
      <c r="BW108" s="37"/>
      <c r="BX108" s="36"/>
      <c r="BY108" s="36"/>
      <c r="BZ108" s="36"/>
      <c r="CA108" s="36"/>
      <c r="CB108" s="36"/>
      <c r="CC108" s="36"/>
    </row>
    <row r="109" spans="3:81" s="32" customFormat="1" ht="13.5" customHeight="1" x14ac:dyDescent="0.2">
      <c r="C109" s="406" t="s">
        <v>7</v>
      </c>
      <c r="D109" s="40"/>
      <c r="K109" s="178"/>
      <c r="L109" s="178"/>
      <c r="N109" s="30"/>
      <c r="V109" s="41"/>
      <c r="W109" s="178"/>
      <c r="Z109" s="41"/>
      <c r="AA109" s="198"/>
      <c r="AF109" s="30"/>
      <c r="AG109" s="30"/>
      <c r="AH109" s="34"/>
      <c r="AJ109" s="34"/>
      <c r="AK109" s="34"/>
      <c r="AL109" s="35"/>
      <c r="AS109" s="178"/>
      <c r="AT109" s="178"/>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7"/>
      <c r="BV109" s="37"/>
      <c r="BW109" s="37"/>
      <c r="BX109" s="36"/>
      <c r="BY109" s="36"/>
      <c r="BZ109" s="36"/>
      <c r="CA109" s="36"/>
      <c r="CB109" s="36"/>
      <c r="CC109" s="36"/>
    </row>
    <row r="110" spans="3:81" s="32" customFormat="1" ht="13.5" customHeight="1" x14ac:dyDescent="0.2">
      <c r="C110" s="406" t="s">
        <v>8</v>
      </c>
      <c r="D110" s="40"/>
      <c r="K110" s="178"/>
      <c r="L110" s="178"/>
      <c r="N110" s="30"/>
      <c r="V110" s="41"/>
      <c r="W110" s="178"/>
      <c r="Z110" s="41"/>
      <c r="AA110" s="198"/>
      <c r="AF110" s="30"/>
      <c r="AG110" s="30"/>
      <c r="AH110" s="34"/>
      <c r="AJ110" s="34"/>
      <c r="AK110" s="34"/>
      <c r="AL110" s="35"/>
      <c r="AS110" s="178"/>
      <c r="AT110" s="178"/>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7"/>
      <c r="BV110" s="37"/>
      <c r="BW110" s="37"/>
      <c r="BX110" s="36"/>
      <c r="BY110" s="36"/>
      <c r="BZ110" s="36"/>
      <c r="CA110" s="36"/>
      <c r="CB110" s="36"/>
      <c r="CC110" s="36"/>
    </row>
    <row r="111" spans="3:81" s="32" customFormat="1" ht="13.5" customHeight="1" x14ac:dyDescent="0.2">
      <c r="C111" s="407" t="s">
        <v>52</v>
      </c>
      <c r="D111" s="40"/>
      <c r="K111" s="178"/>
      <c r="L111" s="178"/>
      <c r="N111" s="30"/>
      <c r="V111" s="41"/>
      <c r="W111" s="178"/>
      <c r="Z111" s="41"/>
      <c r="AA111" s="198"/>
      <c r="AF111" s="30"/>
      <c r="AG111" s="30"/>
      <c r="AH111" s="34"/>
      <c r="AJ111" s="34"/>
      <c r="AK111" s="34"/>
      <c r="AL111" s="35"/>
      <c r="AS111" s="178"/>
      <c r="AT111" s="178"/>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7"/>
      <c r="BV111" s="37"/>
      <c r="BW111" s="37"/>
      <c r="BX111" s="36"/>
      <c r="BY111" s="36"/>
      <c r="BZ111" s="36"/>
      <c r="CA111" s="36"/>
      <c r="CB111" s="36"/>
      <c r="CC111" s="36"/>
    </row>
    <row r="112" spans="3:81" s="32" customFormat="1" ht="13.5" customHeight="1" x14ac:dyDescent="0.2">
      <c r="C112" s="408" t="s">
        <v>53</v>
      </c>
      <c r="D112" s="40"/>
      <c r="K112" s="178"/>
      <c r="L112" s="178"/>
      <c r="N112" s="30"/>
      <c r="V112" s="41"/>
      <c r="W112" s="178"/>
      <c r="Z112" s="41"/>
      <c r="AA112" s="198"/>
      <c r="AF112" s="30"/>
      <c r="AG112" s="30"/>
      <c r="AH112" s="34"/>
      <c r="AJ112" s="34"/>
      <c r="AK112" s="34"/>
      <c r="AL112" s="35"/>
      <c r="AS112" s="178"/>
      <c r="AT112" s="178"/>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7"/>
      <c r="BV112" s="37"/>
      <c r="BW112" s="37"/>
      <c r="BX112" s="36"/>
      <c r="BY112" s="36"/>
      <c r="BZ112" s="36"/>
      <c r="CA112" s="36"/>
      <c r="CB112" s="36"/>
      <c r="CC112" s="36"/>
    </row>
    <row r="113" spans="3:81" s="32" customFormat="1" ht="13.5" customHeight="1" x14ac:dyDescent="0.2">
      <c r="C113" s="408" t="s">
        <v>54</v>
      </c>
      <c r="D113" s="40"/>
      <c r="K113" s="178"/>
      <c r="L113" s="178"/>
      <c r="N113" s="30"/>
      <c r="V113" s="41"/>
      <c r="W113" s="178"/>
      <c r="Z113" s="41"/>
      <c r="AA113" s="198"/>
      <c r="AF113" s="30"/>
      <c r="AG113" s="30"/>
      <c r="AH113" s="34"/>
      <c r="AJ113" s="34"/>
      <c r="AK113" s="34"/>
      <c r="AL113" s="35"/>
      <c r="AS113" s="178"/>
      <c r="AT113" s="178"/>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7"/>
      <c r="BV113" s="37"/>
      <c r="BW113" s="37"/>
      <c r="BX113" s="36"/>
      <c r="BY113" s="36"/>
      <c r="BZ113" s="36"/>
      <c r="CA113" s="36"/>
      <c r="CB113" s="36"/>
      <c r="CC113" s="36"/>
    </row>
    <row r="114" spans="3:81" s="32" customFormat="1" ht="13.5" customHeight="1" x14ac:dyDescent="0.2">
      <c r="C114" s="408" t="s">
        <v>316</v>
      </c>
      <c r="D114" s="40"/>
      <c r="K114" s="178"/>
      <c r="L114" s="178"/>
      <c r="N114" s="30"/>
      <c r="V114" s="41"/>
      <c r="W114" s="178"/>
      <c r="Z114" s="41"/>
      <c r="AA114" s="198"/>
      <c r="AF114" s="30"/>
      <c r="AG114" s="30"/>
      <c r="AH114" s="34"/>
      <c r="AJ114" s="34"/>
      <c r="AK114" s="34"/>
      <c r="AL114" s="35"/>
      <c r="AS114" s="178"/>
      <c r="AT114" s="178"/>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7"/>
      <c r="BV114" s="37"/>
      <c r="BW114" s="37"/>
      <c r="BX114" s="36"/>
      <c r="BY114" s="36"/>
      <c r="BZ114" s="36"/>
      <c r="CA114" s="36"/>
      <c r="CB114" s="36"/>
      <c r="CC114" s="36"/>
    </row>
    <row r="115" spans="3:81" s="32" customFormat="1" ht="13.5" customHeight="1" x14ac:dyDescent="0.2">
      <c r="C115" s="406" t="s">
        <v>164</v>
      </c>
      <c r="D115" s="40"/>
      <c r="K115" s="178"/>
      <c r="L115" s="178"/>
      <c r="N115" s="30"/>
      <c r="V115" s="41"/>
      <c r="W115" s="178"/>
      <c r="Z115" s="41"/>
      <c r="AA115" s="198"/>
      <c r="AF115" s="30"/>
      <c r="AG115" s="30"/>
      <c r="AH115" s="34"/>
      <c r="AJ115" s="34"/>
      <c r="AK115" s="34"/>
      <c r="AL115" s="35"/>
      <c r="AS115" s="178"/>
      <c r="AT115" s="178"/>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7"/>
      <c r="BV115" s="37"/>
      <c r="BW115" s="37"/>
      <c r="BX115" s="36"/>
      <c r="BY115" s="36"/>
      <c r="BZ115" s="36"/>
      <c r="CA115" s="36"/>
      <c r="CB115" s="36"/>
      <c r="CC115" s="36"/>
    </row>
    <row r="116" spans="3:81" s="32" customFormat="1" ht="13.5" customHeight="1" x14ac:dyDescent="0.2">
      <c r="C116" s="406" t="s">
        <v>165</v>
      </c>
      <c r="D116" s="40"/>
      <c r="K116" s="178"/>
      <c r="L116" s="178"/>
      <c r="N116" s="30"/>
      <c r="V116" s="41"/>
      <c r="W116" s="178"/>
      <c r="Z116" s="41"/>
      <c r="AA116" s="198"/>
      <c r="AF116" s="30"/>
      <c r="AG116" s="30"/>
      <c r="AH116" s="34"/>
      <c r="AJ116" s="34"/>
      <c r="AK116" s="34"/>
      <c r="AL116" s="35"/>
      <c r="AS116" s="178"/>
      <c r="AT116" s="178"/>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7"/>
      <c r="BV116" s="37"/>
      <c r="BW116" s="37"/>
      <c r="BX116" s="36"/>
      <c r="BY116" s="36"/>
      <c r="BZ116" s="36"/>
      <c r="CA116" s="36"/>
      <c r="CB116" s="36"/>
      <c r="CC116" s="36"/>
    </row>
    <row r="117" spans="3:81" s="32" customFormat="1" ht="13.5" customHeight="1" x14ac:dyDescent="0.2">
      <c r="C117" s="406" t="s">
        <v>166</v>
      </c>
      <c r="D117" s="40"/>
      <c r="K117" s="178"/>
      <c r="L117" s="178"/>
      <c r="N117" s="30"/>
      <c r="V117" s="41"/>
      <c r="W117" s="178"/>
      <c r="Z117" s="41"/>
      <c r="AA117" s="198"/>
      <c r="AF117" s="30"/>
      <c r="AG117" s="30"/>
      <c r="AH117" s="34"/>
      <c r="AJ117" s="34"/>
      <c r="AK117" s="34"/>
      <c r="AL117" s="35"/>
      <c r="AS117" s="178"/>
      <c r="AT117" s="178"/>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7"/>
      <c r="BV117" s="37"/>
      <c r="BW117" s="37"/>
      <c r="BX117" s="36"/>
      <c r="BY117" s="36"/>
      <c r="BZ117" s="36"/>
      <c r="CA117" s="36"/>
      <c r="CB117" s="36"/>
      <c r="CC117" s="36"/>
    </row>
    <row r="118" spans="3:81" s="32" customFormat="1" ht="13.5" customHeight="1" x14ac:dyDescent="0.2">
      <c r="C118" s="406" t="s">
        <v>167</v>
      </c>
      <c r="D118" s="40"/>
      <c r="K118" s="178"/>
      <c r="L118" s="178"/>
      <c r="N118" s="30"/>
      <c r="V118" s="41"/>
      <c r="W118" s="178"/>
      <c r="Z118" s="41"/>
      <c r="AA118" s="198"/>
      <c r="AF118" s="30"/>
      <c r="AG118" s="30"/>
      <c r="AH118" s="34"/>
      <c r="AJ118" s="34"/>
      <c r="AK118" s="34"/>
      <c r="AL118" s="35"/>
      <c r="AS118" s="178"/>
      <c r="AT118" s="178"/>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7"/>
      <c r="BV118" s="37"/>
      <c r="BW118" s="37"/>
      <c r="BX118" s="36"/>
      <c r="BY118" s="36"/>
      <c r="BZ118" s="36"/>
      <c r="CA118" s="36"/>
      <c r="CB118" s="36"/>
      <c r="CC118" s="36"/>
    </row>
    <row r="119" spans="3:81" s="32" customFormat="1" ht="13.5" customHeight="1" x14ac:dyDescent="0.2">
      <c r="C119" s="406" t="s">
        <v>168</v>
      </c>
      <c r="D119" s="40"/>
      <c r="K119" s="178"/>
      <c r="L119" s="178"/>
      <c r="N119" s="30"/>
      <c r="V119" s="41"/>
      <c r="W119" s="178"/>
      <c r="Z119" s="41"/>
      <c r="AA119" s="198"/>
      <c r="AF119" s="30"/>
      <c r="AG119" s="30"/>
      <c r="AH119" s="34"/>
      <c r="AJ119" s="34"/>
      <c r="AK119" s="34"/>
      <c r="AL119" s="35"/>
      <c r="AS119" s="178"/>
      <c r="AT119" s="178"/>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7"/>
      <c r="BV119" s="37"/>
      <c r="BW119" s="37"/>
      <c r="BX119" s="36"/>
      <c r="BY119" s="36"/>
      <c r="BZ119" s="36"/>
      <c r="CA119" s="36"/>
      <c r="CB119" s="36"/>
      <c r="CC119" s="36"/>
    </row>
    <row r="120" spans="3:81" s="32" customFormat="1" ht="13.5" customHeight="1" x14ac:dyDescent="0.2">
      <c r="C120" s="408" t="s">
        <v>13</v>
      </c>
      <c r="D120" s="40"/>
      <c r="K120" s="178"/>
      <c r="L120" s="178"/>
      <c r="N120" s="30"/>
      <c r="V120" s="41"/>
      <c r="W120" s="178"/>
      <c r="Z120" s="41"/>
      <c r="AA120" s="198"/>
      <c r="AF120" s="30"/>
      <c r="AG120" s="30"/>
      <c r="AH120" s="34"/>
      <c r="AJ120" s="34"/>
      <c r="AK120" s="34"/>
      <c r="AL120" s="35"/>
      <c r="AS120" s="178"/>
      <c r="AT120" s="178"/>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7"/>
      <c r="BV120" s="37"/>
      <c r="BW120" s="37"/>
      <c r="BX120" s="36"/>
      <c r="BY120" s="36"/>
      <c r="BZ120" s="36"/>
      <c r="CA120" s="36"/>
      <c r="CB120" s="36"/>
      <c r="CC120" s="36"/>
    </row>
    <row r="121" spans="3:81" s="32" customFormat="1" ht="13.5" customHeight="1" x14ac:dyDescent="0.2">
      <c r="C121" s="408" t="s">
        <v>14</v>
      </c>
      <c r="D121" s="40"/>
      <c r="K121" s="178"/>
      <c r="L121" s="178"/>
      <c r="N121" s="30"/>
      <c r="V121" s="41"/>
      <c r="W121" s="178"/>
      <c r="Z121" s="41"/>
      <c r="AA121" s="198"/>
      <c r="AF121" s="30"/>
      <c r="AG121" s="30"/>
      <c r="AH121" s="34"/>
      <c r="AJ121" s="34"/>
      <c r="AK121" s="34"/>
      <c r="AL121" s="35"/>
      <c r="AS121" s="178"/>
      <c r="AT121" s="178"/>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7"/>
      <c r="BV121" s="37"/>
      <c r="BW121" s="37"/>
      <c r="BX121" s="36"/>
      <c r="BY121" s="36"/>
      <c r="BZ121" s="36"/>
      <c r="CA121" s="36"/>
      <c r="CB121" s="36"/>
      <c r="CC121" s="36"/>
    </row>
    <row r="122" spans="3:81" s="32" customFormat="1" ht="13.5" customHeight="1" x14ac:dyDescent="0.2">
      <c r="C122" s="409" t="s">
        <v>51</v>
      </c>
      <c r="D122" s="40"/>
      <c r="K122" s="178"/>
      <c r="L122" s="178"/>
      <c r="N122" s="30"/>
      <c r="V122" s="41"/>
      <c r="W122" s="178"/>
      <c r="Z122" s="41"/>
      <c r="AA122" s="198"/>
      <c r="AF122" s="30"/>
      <c r="AG122" s="30"/>
      <c r="AH122" s="34"/>
      <c r="AJ122" s="34"/>
      <c r="AK122" s="34"/>
      <c r="AL122" s="35"/>
      <c r="AS122" s="178"/>
      <c r="AT122" s="178"/>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7"/>
      <c r="BV122" s="37"/>
      <c r="BW122" s="37"/>
      <c r="BX122" s="36"/>
      <c r="BY122" s="36"/>
      <c r="BZ122" s="36"/>
      <c r="CA122" s="36"/>
      <c r="CB122" s="36"/>
      <c r="CC122" s="36"/>
    </row>
    <row r="123" spans="3:81" s="32" customFormat="1" ht="13.5" customHeight="1" x14ac:dyDescent="0.2">
      <c r="C123" s="409" t="s">
        <v>47</v>
      </c>
      <c r="D123" s="40"/>
      <c r="K123" s="178"/>
      <c r="L123" s="178"/>
      <c r="N123" s="30"/>
      <c r="V123" s="41"/>
      <c r="W123" s="178"/>
      <c r="Z123" s="41"/>
      <c r="AA123" s="198"/>
      <c r="AF123" s="30"/>
      <c r="AG123" s="30"/>
      <c r="AH123" s="34"/>
      <c r="AJ123" s="34"/>
      <c r="AK123" s="34"/>
      <c r="AL123" s="35"/>
      <c r="AS123" s="178"/>
      <c r="AT123" s="178"/>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7"/>
      <c r="BV123" s="37"/>
      <c r="BW123" s="37"/>
      <c r="BX123" s="36"/>
      <c r="BY123" s="36"/>
      <c r="BZ123" s="36"/>
      <c r="CA123" s="36"/>
      <c r="CB123" s="36"/>
      <c r="CC123" s="36"/>
    </row>
    <row r="124" spans="3:81" s="32" customFormat="1" ht="13.5" customHeight="1" x14ac:dyDescent="0.2">
      <c r="C124" s="409" t="s">
        <v>48</v>
      </c>
      <c r="D124" s="40"/>
      <c r="K124" s="178"/>
      <c r="L124" s="178"/>
      <c r="N124" s="30"/>
      <c r="V124" s="41"/>
      <c r="W124" s="178"/>
      <c r="Z124" s="41"/>
      <c r="AA124" s="198"/>
      <c r="AF124" s="30"/>
      <c r="AG124" s="30"/>
      <c r="AH124" s="34"/>
      <c r="AJ124" s="34"/>
      <c r="AK124" s="34"/>
      <c r="AL124" s="35"/>
      <c r="AS124" s="178"/>
      <c r="AT124" s="178"/>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7"/>
      <c r="BV124" s="37"/>
      <c r="BW124" s="37"/>
      <c r="BX124" s="36"/>
      <c r="BY124" s="36"/>
      <c r="BZ124" s="36"/>
      <c r="CA124" s="36"/>
      <c r="CB124" s="36"/>
      <c r="CC124" s="36"/>
    </row>
    <row r="125" spans="3:81" s="32" customFormat="1" ht="13.5" customHeight="1" x14ac:dyDescent="0.2">
      <c r="C125" s="409" t="s">
        <v>49</v>
      </c>
      <c r="D125" s="40"/>
      <c r="K125" s="178"/>
      <c r="L125" s="178"/>
      <c r="N125" s="30"/>
      <c r="V125" s="41"/>
      <c r="W125" s="178"/>
      <c r="Z125" s="41"/>
      <c r="AA125" s="198"/>
      <c r="AF125" s="30"/>
      <c r="AG125" s="30"/>
      <c r="AH125" s="34"/>
      <c r="AJ125" s="34"/>
      <c r="AK125" s="34"/>
      <c r="AL125" s="35"/>
      <c r="AS125" s="178"/>
      <c r="AT125" s="178"/>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7"/>
      <c r="BV125" s="37"/>
      <c r="BW125" s="37"/>
      <c r="BX125" s="36"/>
      <c r="BY125" s="36"/>
      <c r="BZ125" s="36"/>
      <c r="CA125" s="36"/>
      <c r="CB125" s="36"/>
      <c r="CC125" s="36"/>
    </row>
    <row r="126" spans="3:81" s="32" customFormat="1" ht="13.5" customHeight="1" x14ac:dyDescent="0.2">
      <c r="C126" s="409" t="s">
        <v>50</v>
      </c>
      <c r="D126" s="40"/>
      <c r="K126" s="178"/>
      <c r="L126" s="178"/>
      <c r="N126" s="30"/>
      <c r="V126" s="41"/>
      <c r="W126" s="178"/>
      <c r="Z126" s="41"/>
      <c r="AA126" s="198"/>
      <c r="AF126" s="30"/>
      <c r="AG126" s="30"/>
      <c r="AH126" s="34"/>
      <c r="AJ126" s="34"/>
      <c r="AK126" s="34"/>
      <c r="AL126" s="35"/>
      <c r="AS126" s="178"/>
      <c r="AT126" s="178"/>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7"/>
      <c r="BV126" s="37"/>
      <c r="BW126" s="37"/>
      <c r="BX126" s="36"/>
      <c r="BY126" s="36"/>
      <c r="BZ126" s="36"/>
      <c r="CA126" s="36"/>
      <c r="CB126" s="36"/>
      <c r="CC126" s="36"/>
    </row>
    <row r="127" spans="3:81" s="32" customFormat="1" ht="13.5" customHeight="1" x14ac:dyDescent="0.2">
      <c r="C127" s="408">
        <v>1</v>
      </c>
      <c r="D127" s="40"/>
      <c r="K127" s="178"/>
      <c r="L127" s="178"/>
      <c r="N127" s="30"/>
      <c r="V127" s="41"/>
      <c r="W127" s="178"/>
      <c r="Z127" s="41"/>
      <c r="AA127" s="198"/>
      <c r="AF127" s="30"/>
      <c r="AG127" s="30"/>
      <c r="AH127" s="34"/>
      <c r="AJ127" s="34"/>
      <c r="AK127" s="34"/>
      <c r="AL127" s="35"/>
      <c r="AS127" s="178"/>
      <c r="AT127" s="178"/>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7"/>
      <c r="BV127" s="37"/>
      <c r="BW127" s="37"/>
      <c r="BX127" s="36"/>
      <c r="BY127" s="36"/>
      <c r="BZ127" s="36"/>
      <c r="CA127" s="36"/>
      <c r="CB127" s="36"/>
      <c r="CC127" s="36"/>
    </row>
    <row r="128" spans="3:81" s="32" customFormat="1" ht="13.5" customHeight="1" x14ac:dyDescent="0.2">
      <c r="C128" s="408">
        <v>2</v>
      </c>
      <c r="D128" s="40"/>
      <c r="K128" s="178"/>
      <c r="L128" s="178"/>
      <c r="N128" s="30"/>
      <c r="V128" s="41"/>
      <c r="W128" s="178"/>
      <c r="Z128" s="41"/>
      <c r="AA128" s="198"/>
      <c r="AF128" s="30"/>
      <c r="AG128" s="30"/>
      <c r="AH128" s="34"/>
      <c r="AJ128" s="34"/>
      <c r="AK128" s="34"/>
      <c r="AL128" s="35"/>
      <c r="AS128" s="178"/>
      <c r="AT128" s="178"/>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7"/>
      <c r="BV128" s="37"/>
      <c r="BW128" s="37"/>
      <c r="BX128" s="36"/>
      <c r="BY128" s="36"/>
      <c r="BZ128" s="36"/>
      <c r="CA128" s="36"/>
      <c r="CB128" s="36"/>
      <c r="CC128" s="36"/>
    </row>
    <row r="129" spans="3:81" s="32" customFormat="1" ht="13.5" customHeight="1" x14ac:dyDescent="0.2">
      <c r="C129" s="408">
        <v>3</v>
      </c>
      <c r="D129" s="40"/>
      <c r="K129" s="178"/>
      <c r="L129" s="178"/>
      <c r="N129" s="30"/>
      <c r="V129" s="41"/>
      <c r="W129" s="178"/>
      <c r="Z129" s="41"/>
      <c r="AA129" s="198"/>
      <c r="AF129" s="30"/>
      <c r="AG129" s="30"/>
      <c r="AH129" s="34"/>
      <c r="AJ129" s="34"/>
      <c r="AK129" s="34"/>
      <c r="AL129" s="35"/>
      <c r="AS129" s="178"/>
      <c r="AT129" s="178"/>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7"/>
      <c r="BV129" s="37"/>
      <c r="BW129" s="37"/>
      <c r="BX129" s="36"/>
      <c r="BY129" s="36"/>
      <c r="BZ129" s="36"/>
      <c r="CA129" s="36"/>
      <c r="CB129" s="36"/>
      <c r="CC129" s="36"/>
    </row>
    <row r="130" spans="3:81" s="32" customFormat="1" ht="13.5" customHeight="1" x14ac:dyDescent="0.2">
      <c r="C130" s="408">
        <v>4</v>
      </c>
      <c r="D130" s="40"/>
      <c r="K130" s="178"/>
      <c r="L130" s="178"/>
      <c r="N130" s="30"/>
      <c r="V130" s="41"/>
      <c r="W130" s="178"/>
      <c r="Z130" s="41"/>
      <c r="AA130" s="198"/>
      <c r="AF130" s="30"/>
      <c r="AG130" s="30"/>
      <c r="AH130" s="34"/>
      <c r="AJ130" s="34"/>
      <c r="AK130" s="34"/>
      <c r="AL130" s="35"/>
      <c r="AS130" s="178"/>
      <c r="AT130" s="178"/>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7"/>
      <c r="BV130" s="37"/>
      <c r="BW130" s="37"/>
      <c r="BX130" s="36"/>
      <c r="BY130" s="36"/>
      <c r="BZ130" s="36"/>
      <c r="CA130" s="36"/>
      <c r="CB130" s="36"/>
      <c r="CC130" s="36"/>
    </row>
    <row r="131" spans="3:81" s="32" customFormat="1" ht="13.5" customHeight="1" x14ac:dyDescent="0.2">
      <c r="C131" s="408">
        <v>5</v>
      </c>
      <c r="D131" s="40"/>
      <c r="K131" s="178"/>
      <c r="L131" s="178"/>
      <c r="N131" s="30"/>
      <c r="V131" s="41"/>
      <c r="W131" s="178"/>
      <c r="Z131" s="41"/>
      <c r="AA131" s="198"/>
      <c r="AF131" s="30"/>
      <c r="AG131" s="30"/>
      <c r="AH131" s="34"/>
      <c r="AJ131" s="34"/>
      <c r="AK131" s="34"/>
      <c r="AL131" s="35"/>
      <c r="AS131" s="178"/>
      <c r="AT131" s="178"/>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7"/>
      <c r="BV131" s="37"/>
      <c r="BW131" s="37"/>
      <c r="BX131" s="36"/>
      <c r="BY131" s="36"/>
      <c r="BZ131" s="36"/>
      <c r="CA131" s="36"/>
      <c r="CB131" s="36"/>
      <c r="CC131" s="36"/>
    </row>
    <row r="132" spans="3:81" s="32" customFormat="1" ht="13.5" customHeight="1" x14ac:dyDescent="0.2">
      <c r="C132" s="408">
        <v>6</v>
      </c>
      <c r="D132" s="40"/>
      <c r="K132" s="178"/>
      <c r="L132" s="178"/>
      <c r="N132" s="30"/>
      <c r="V132" s="41"/>
      <c r="W132" s="178"/>
      <c r="Z132" s="41"/>
      <c r="AA132" s="198"/>
      <c r="AF132" s="30"/>
      <c r="AG132" s="30"/>
      <c r="AH132" s="34"/>
      <c r="AJ132" s="34"/>
      <c r="AK132" s="34"/>
      <c r="AL132" s="35"/>
      <c r="AS132" s="178"/>
      <c r="AT132" s="178"/>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7"/>
      <c r="BV132" s="37"/>
      <c r="BW132" s="37"/>
      <c r="BX132" s="36"/>
      <c r="BY132" s="36"/>
      <c r="BZ132" s="36"/>
      <c r="CA132" s="36"/>
      <c r="CB132" s="36"/>
      <c r="CC132" s="36"/>
    </row>
    <row r="133" spans="3:81" s="32" customFormat="1" ht="13.5" customHeight="1" x14ac:dyDescent="0.2">
      <c r="C133" s="408">
        <v>7</v>
      </c>
      <c r="D133" s="40"/>
      <c r="K133" s="178"/>
      <c r="L133" s="178"/>
      <c r="N133" s="30"/>
      <c r="V133" s="41"/>
      <c r="W133" s="178"/>
      <c r="Z133" s="41"/>
      <c r="AA133" s="198"/>
      <c r="AF133" s="30"/>
      <c r="AG133" s="30"/>
      <c r="AH133" s="34"/>
      <c r="AJ133" s="34"/>
      <c r="AK133" s="34"/>
      <c r="AL133" s="35"/>
      <c r="AS133" s="178"/>
      <c r="AT133" s="178"/>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7"/>
      <c r="BV133" s="37"/>
      <c r="BW133" s="37"/>
      <c r="BX133" s="36"/>
      <c r="BY133" s="36"/>
      <c r="BZ133" s="36"/>
      <c r="CA133" s="36"/>
      <c r="CB133" s="36"/>
      <c r="CC133" s="36"/>
    </row>
    <row r="134" spans="3:81" s="32" customFormat="1" ht="13.5" customHeight="1" x14ac:dyDescent="0.2">
      <c r="C134" s="408">
        <v>8</v>
      </c>
      <c r="D134" s="40"/>
      <c r="K134" s="178"/>
      <c r="L134" s="178"/>
      <c r="N134" s="30"/>
      <c r="V134" s="41"/>
      <c r="W134" s="178"/>
      <c r="Z134" s="41"/>
      <c r="AA134" s="198"/>
      <c r="AF134" s="30"/>
      <c r="AG134" s="30"/>
      <c r="AH134" s="34"/>
      <c r="AJ134" s="34"/>
      <c r="AK134" s="34"/>
      <c r="AL134" s="35"/>
      <c r="AS134" s="178"/>
      <c r="AT134" s="178"/>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7"/>
      <c r="BV134" s="37"/>
      <c r="BW134" s="37"/>
      <c r="BX134" s="36"/>
      <c r="BY134" s="36"/>
      <c r="BZ134" s="36"/>
      <c r="CA134" s="36"/>
      <c r="CB134" s="36"/>
      <c r="CC134" s="36"/>
    </row>
    <row r="135" spans="3:81" s="30" customFormat="1" ht="13.5" customHeight="1" x14ac:dyDescent="0.2">
      <c r="C135" s="408">
        <v>9</v>
      </c>
      <c r="D135" s="33"/>
      <c r="K135" s="176"/>
      <c r="L135" s="176"/>
      <c r="V135" s="189"/>
      <c r="W135" s="176"/>
      <c r="Z135" s="189"/>
      <c r="AA135" s="198"/>
      <c r="AH135" s="34"/>
      <c r="AJ135" s="34"/>
      <c r="AK135" s="34"/>
      <c r="AL135" s="35"/>
      <c r="AS135" s="176"/>
      <c r="AT135" s="17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7"/>
      <c r="BV135" s="37"/>
      <c r="BW135" s="37"/>
      <c r="BX135" s="36"/>
      <c r="BY135" s="36"/>
      <c r="BZ135" s="36"/>
      <c r="CA135" s="36"/>
      <c r="CB135" s="36"/>
      <c r="CC135" s="36"/>
    </row>
    <row r="136" spans="3:81" s="30" customFormat="1" ht="13.5" customHeight="1" x14ac:dyDescent="0.2">
      <c r="C136" s="408">
        <v>10</v>
      </c>
      <c r="D136" s="33"/>
      <c r="K136" s="176"/>
      <c r="L136" s="176"/>
      <c r="V136" s="189"/>
      <c r="W136" s="176"/>
      <c r="Z136" s="189"/>
      <c r="AA136" s="198"/>
      <c r="AH136" s="34"/>
      <c r="AJ136" s="34"/>
      <c r="AK136" s="34"/>
      <c r="AL136" s="35"/>
      <c r="AS136" s="176"/>
      <c r="AT136" s="17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7"/>
      <c r="BV136" s="37"/>
      <c r="BW136" s="37"/>
      <c r="BX136" s="36"/>
      <c r="BY136" s="36"/>
      <c r="BZ136" s="36"/>
      <c r="CA136" s="36"/>
      <c r="CB136" s="36"/>
      <c r="CC136" s="36"/>
    </row>
    <row r="137" spans="3:81" s="30" customFormat="1" ht="13.5" customHeight="1" x14ac:dyDescent="0.2">
      <c r="C137" s="408">
        <v>11</v>
      </c>
      <c r="D137" s="33"/>
      <c r="K137" s="176"/>
      <c r="L137" s="176"/>
      <c r="V137" s="189"/>
      <c r="W137" s="176"/>
      <c r="Z137" s="189"/>
      <c r="AA137" s="198"/>
      <c r="AH137" s="34"/>
      <c r="AJ137" s="34"/>
      <c r="AK137" s="34"/>
      <c r="AL137" s="35"/>
      <c r="AS137" s="176"/>
      <c r="AT137" s="17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7"/>
      <c r="BV137" s="37"/>
      <c r="BW137" s="37"/>
      <c r="BX137" s="36"/>
      <c r="BY137" s="36"/>
      <c r="BZ137" s="36"/>
      <c r="CA137" s="36"/>
      <c r="CB137" s="36"/>
      <c r="CC137" s="36"/>
    </row>
    <row r="138" spans="3:81" s="30" customFormat="1" ht="13.5" customHeight="1" x14ac:dyDescent="0.2">
      <c r="C138" s="408">
        <v>12</v>
      </c>
      <c r="D138" s="33"/>
      <c r="K138" s="176"/>
      <c r="L138" s="176"/>
      <c r="V138" s="189"/>
      <c r="W138" s="176"/>
      <c r="Z138" s="189"/>
      <c r="AA138" s="198"/>
      <c r="AH138" s="34"/>
      <c r="AJ138" s="34"/>
      <c r="AK138" s="34"/>
      <c r="AL138" s="35"/>
      <c r="AS138" s="176"/>
      <c r="AT138" s="17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7"/>
      <c r="BV138" s="37"/>
      <c r="BW138" s="37"/>
      <c r="BX138" s="36"/>
      <c r="BY138" s="36"/>
      <c r="BZ138" s="36"/>
      <c r="CA138" s="36"/>
      <c r="CB138" s="36"/>
      <c r="CC138" s="36"/>
    </row>
    <row r="139" spans="3:81" s="30" customFormat="1" ht="13.5" customHeight="1" x14ac:dyDescent="0.2">
      <c r="C139" s="408">
        <v>13</v>
      </c>
      <c r="D139" s="33"/>
      <c r="K139" s="176"/>
      <c r="L139" s="176"/>
      <c r="V139" s="189"/>
      <c r="W139" s="176"/>
      <c r="Z139" s="189"/>
      <c r="AA139" s="198"/>
      <c r="AH139" s="34"/>
      <c r="AJ139" s="34"/>
      <c r="AK139" s="34"/>
      <c r="AL139" s="35"/>
      <c r="AS139" s="176"/>
      <c r="AT139" s="17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7"/>
      <c r="BV139" s="37"/>
      <c r="BW139" s="37"/>
      <c r="BX139" s="36"/>
      <c r="BY139" s="36"/>
      <c r="BZ139" s="36"/>
      <c r="CA139" s="36"/>
      <c r="CB139" s="36"/>
      <c r="CC139" s="36"/>
    </row>
    <row r="140" spans="3:81" s="30" customFormat="1" ht="13.5" customHeight="1" x14ac:dyDescent="0.2">
      <c r="C140" s="408">
        <v>14</v>
      </c>
      <c r="D140" s="33"/>
      <c r="K140" s="176"/>
      <c r="L140" s="176"/>
      <c r="V140" s="189"/>
      <c r="W140" s="176"/>
      <c r="Z140" s="189"/>
      <c r="AA140" s="198"/>
      <c r="AH140" s="34"/>
      <c r="AJ140" s="34"/>
      <c r="AK140" s="34"/>
      <c r="AL140" s="35"/>
      <c r="AS140" s="176"/>
      <c r="AT140" s="17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7"/>
      <c r="BV140" s="37"/>
      <c r="BW140" s="37"/>
      <c r="BX140" s="36"/>
      <c r="BY140" s="36"/>
      <c r="BZ140" s="36"/>
      <c r="CA140" s="36"/>
      <c r="CB140" s="36"/>
      <c r="CC140" s="36"/>
    </row>
    <row r="141" spans="3:81" s="30" customFormat="1" ht="13.5" customHeight="1" x14ac:dyDescent="0.2">
      <c r="C141" s="408">
        <v>15</v>
      </c>
      <c r="D141" s="33"/>
      <c r="K141" s="176"/>
      <c r="L141" s="176"/>
      <c r="V141" s="189"/>
      <c r="W141" s="176"/>
      <c r="Z141" s="189"/>
      <c r="AA141" s="198"/>
      <c r="AH141" s="34"/>
      <c r="AJ141" s="34"/>
      <c r="AK141" s="34"/>
      <c r="AL141" s="35"/>
      <c r="AS141" s="176"/>
      <c r="AT141" s="17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7"/>
      <c r="BV141" s="37"/>
      <c r="BW141" s="37"/>
      <c r="BX141" s="36"/>
      <c r="BY141" s="36"/>
      <c r="BZ141" s="36"/>
      <c r="CA141" s="36"/>
      <c r="CB141" s="36"/>
      <c r="CC141" s="36"/>
    </row>
    <row r="142" spans="3:81" s="30" customFormat="1" ht="13.5" customHeight="1" x14ac:dyDescent="0.2">
      <c r="C142" s="408">
        <v>16</v>
      </c>
      <c r="D142" s="33"/>
      <c r="K142" s="176"/>
      <c r="L142" s="176"/>
      <c r="V142" s="189"/>
      <c r="W142" s="176"/>
      <c r="Z142" s="189"/>
      <c r="AA142" s="198"/>
      <c r="AH142" s="34"/>
      <c r="AJ142" s="34"/>
      <c r="AK142" s="34"/>
      <c r="AL142" s="35"/>
      <c r="AS142" s="176"/>
      <c r="AT142" s="17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7"/>
      <c r="BV142" s="37"/>
      <c r="BW142" s="37"/>
      <c r="BX142" s="36"/>
      <c r="BY142" s="36"/>
      <c r="BZ142" s="36"/>
      <c r="CA142" s="36"/>
      <c r="CB142" s="36"/>
      <c r="CC142" s="36"/>
    </row>
    <row r="143" spans="3:81" s="30" customFormat="1" ht="13.5" customHeight="1" x14ac:dyDescent="0.2">
      <c r="D143" s="33"/>
      <c r="K143" s="176"/>
      <c r="L143" s="176"/>
      <c r="V143" s="189"/>
      <c r="W143" s="176"/>
      <c r="Z143" s="189"/>
      <c r="AA143" s="198"/>
      <c r="AH143" s="34"/>
      <c r="AJ143" s="34"/>
      <c r="AK143" s="34"/>
      <c r="AL143" s="35"/>
      <c r="AS143" s="176"/>
      <c r="AT143" s="17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7"/>
      <c r="BV143" s="37"/>
      <c r="BW143" s="37"/>
      <c r="BX143" s="36"/>
      <c r="BY143" s="36"/>
      <c r="BZ143" s="36"/>
      <c r="CA143" s="36"/>
      <c r="CB143" s="36"/>
      <c r="CC143" s="36"/>
    </row>
    <row r="144" spans="3:81" s="30" customFormat="1" ht="13.5" customHeight="1" x14ac:dyDescent="0.2">
      <c r="D144" s="33"/>
      <c r="K144" s="176"/>
      <c r="L144" s="176"/>
      <c r="V144" s="189"/>
      <c r="W144" s="176"/>
      <c r="Z144" s="189"/>
      <c r="AA144" s="198"/>
      <c r="AH144" s="34"/>
      <c r="AJ144" s="34"/>
      <c r="AK144" s="34"/>
      <c r="AL144" s="35"/>
      <c r="AS144" s="176"/>
      <c r="AT144" s="17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7"/>
      <c r="BV144" s="37"/>
      <c r="BW144" s="37"/>
      <c r="BX144" s="36"/>
      <c r="BY144" s="36"/>
      <c r="BZ144" s="36"/>
      <c r="CA144" s="36"/>
      <c r="CB144" s="36"/>
      <c r="CC144" s="36"/>
    </row>
    <row r="145" spans="3:81" s="30" customFormat="1" ht="13.5" customHeight="1" x14ac:dyDescent="0.2">
      <c r="D145" s="33"/>
      <c r="K145" s="176"/>
      <c r="L145" s="176"/>
      <c r="V145" s="189"/>
      <c r="W145" s="176"/>
      <c r="Z145" s="189"/>
      <c r="AA145" s="198"/>
      <c r="AH145" s="34"/>
      <c r="AJ145" s="34"/>
      <c r="AK145" s="34"/>
      <c r="AL145" s="35"/>
      <c r="AS145" s="176"/>
      <c r="AT145" s="17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7"/>
      <c r="BV145" s="37"/>
      <c r="BW145" s="37"/>
      <c r="BX145" s="36"/>
      <c r="BY145" s="36"/>
      <c r="BZ145" s="36"/>
      <c r="CA145" s="36"/>
      <c r="CB145" s="36"/>
      <c r="CC145" s="36"/>
    </row>
    <row r="146" spans="3:81" s="30" customFormat="1" ht="13.5" customHeight="1" x14ac:dyDescent="0.2">
      <c r="D146" s="33"/>
      <c r="K146" s="176"/>
      <c r="L146" s="176"/>
      <c r="V146" s="189"/>
      <c r="W146" s="176"/>
      <c r="Z146" s="189"/>
      <c r="AA146" s="198"/>
      <c r="AH146" s="34"/>
      <c r="AJ146" s="34"/>
      <c r="AK146" s="34"/>
      <c r="AL146" s="35"/>
      <c r="AS146" s="176"/>
      <c r="AT146" s="17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7"/>
      <c r="BV146" s="37"/>
      <c r="BW146" s="37"/>
      <c r="BX146" s="36"/>
      <c r="BY146" s="36"/>
      <c r="BZ146" s="36"/>
      <c r="CA146" s="36"/>
      <c r="CB146" s="36"/>
      <c r="CC146" s="36"/>
    </row>
    <row r="147" spans="3:81" s="30" customFormat="1" ht="13.5" customHeight="1" x14ac:dyDescent="0.2">
      <c r="D147" s="33" t="b">
        <f>'wgl tot'!BU12=DATE(E140+61,E141+6,E142)</f>
        <v>0</v>
      </c>
      <c r="K147" s="176"/>
      <c r="L147" s="176"/>
      <c r="V147" s="189"/>
      <c r="W147" s="176"/>
      <c r="Z147" s="189"/>
      <c r="AA147" s="198"/>
      <c r="AH147" s="34"/>
      <c r="AJ147" s="34"/>
      <c r="AK147" s="34"/>
      <c r="AL147" s="35"/>
      <c r="AS147" s="176"/>
      <c r="AT147" s="17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7"/>
      <c r="BV147" s="37"/>
      <c r="BW147" s="37"/>
      <c r="BX147" s="36"/>
      <c r="BY147" s="36"/>
      <c r="BZ147" s="36"/>
      <c r="CA147" s="36"/>
      <c r="CB147" s="36"/>
      <c r="CC147" s="36"/>
    </row>
    <row r="148" spans="3:81" s="30" customFormat="1" ht="13.5" customHeight="1" x14ac:dyDescent="0.2">
      <c r="D148" s="33"/>
      <c r="K148" s="176"/>
      <c r="L148" s="176"/>
      <c r="V148" s="189"/>
      <c r="W148" s="176"/>
      <c r="Z148" s="189"/>
      <c r="AA148" s="198"/>
      <c r="AH148" s="34"/>
      <c r="AJ148" s="34"/>
      <c r="AK148" s="34"/>
      <c r="AL148" s="35"/>
      <c r="AS148" s="176"/>
      <c r="AT148" s="17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7"/>
      <c r="BV148" s="37"/>
      <c r="BW148" s="37"/>
      <c r="BX148" s="36"/>
      <c r="BY148" s="36"/>
      <c r="BZ148" s="36"/>
      <c r="CA148" s="36"/>
      <c r="CB148" s="36"/>
      <c r="CC148" s="36"/>
    </row>
    <row r="149" spans="3:81" s="30" customFormat="1" ht="13.5" customHeight="1" x14ac:dyDescent="0.2">
      <c r="D149" s="33"/>
      <c r="K149" s="176"/>
      <c r="L149" s="176"/>
      <c r="V149" s="189"/>
      <c r="W149" s="176"/>
      <c r="Z149" s="189"/>
      <c r="AA149" s="198"/>
      <c r="AH149" s="34"/>
      <c r="AJ149" s="34"/>
      <c r="AK149" s="34"/>
      <c r="AL149" s="35"/>
      <c r="AS149" s="176"/>
      <c r="AT149" s="17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7"/>
      <c r="BV149" s="37"/>
      <c r="BW149" s="37"/>
      <c r="BX149" s="36"/>
      <c r="BY149" s="36"/>
      <c r="BZ149" s="36"/>
      <c r="CA149" s="36"/>
      <c r="CB149" s="36"/>
      <c r="CC149" s="36"/>
    </row>
    <row r="150" spans="3:81" ht="13.5" customHeight="1" x14ac:dyDescent="0.2">
      <c r="C150" s="30"/>
    </row>
    <row r="151" spans="3:81" ht="13.5" customHeight="1" x14ac:dyDescent="0.2">
      <c r="C151" s="30"/>
    </row>
    <row r="152" spans="3:81" ht="13.5" customHeight="1" x14ac:dyDescent="0.2">
      <c r="C152" s="30"/>
    </row>
    <row r="153" spans="3:81" ht="13.5" customHeight="1" x14ac:dyDescent="0.2">
      <c r="C153" s="30"/>
    </row>
  </sheetData>
  <sheetProtection algorithmName="SHA-512" hashValue="v8Td3CnIpHnDes/0q7pkF8Uzuf6mvIq/9UB6jHB6WEp972L74mxqOoB9d6gj5dB2DMYsYX5DdWVmH6Wf9Q5M2g==" saltValue="x9yE+05O4xE0sX0FbTPHlQ==" spinCount="100000" sheet="1" objects="1" scenarios="1"/>
  <mergeCells count="4">
    <mergeCell ref="AP8:AQ8"/>
    <mergeCell ref="F8:G8"/>
    <mergeCell ref="AL8:AL10"/>
    <mergeCell ref="AN8:AN10"/>
  </mergeCells>
  <phoneticPr fontId="0" type="noConversion"/>
  <dataValidations count="7">
    <dataValidation type="list" allowBlank="1" showInputMessage="1" showErrorMessage="1" sqref="BC12:BC86">
      <formula1>"L10,L11,L12,L13"</formula1>
    </dataValidation>
    <dataValidation type="list" allowBlank="1" showInputMessage="1" showErrorMessage="1" sqref="I12:I86">
      <formula1>"j,n"</formula1>
    </dataValidation>
    <dataValidation type="list" allowBlank="1" showInputMessage="1" showErrorMessage="1" sqref="J29:J86">
      <formula1>"1,2,3,4"</formula1>
    </dataValidation>
    <dataValidation type="list" allowBlank="1" showInputMessage="1" showErrorMessage="1" sqref="J12:J28">
      <formula1>"1,2,3,4,5,6,7,8"</formula1>
    </dataValidation>
    <dataValidation type="list" allowBlank="1" showInputMessage="1" showErrorMessage="1" sqref="F12:F18 F20:F86">
      <formula1>$C$90:$C$142</formula1>
    </dataValidation>
    <dataValidation type="list" allowBlank="1" showInputMessage="1" showErrorMessage="1" sqref="F19">
      <formula1>$C$90:$C$140</formula1>
    </dataValidation>
    <dataValidation type="list" allowBlank="1" showInputMessage="1" showErrorMessage="1" sqref="C91:C142">
      <formula1>$T$80:$T$132</formula1>
    </dataValidation>
  </dataValidations>
  <printOptions headings="1"/>
  <pageMargins left="0.70866141732283472" right="0.70866141732283472" top="0.74803149606299213" bottom="0.74803149606299213" header="0.31496062992125984" footer="0.31496062992125984"/>
  <pageSetup paperSize="9" scale="36" orientation="landscape" r:id="rId1"/>
  <headerFooter>
    <oddHeader>&amp;L&amp;"Arial,Vet"&amp;A&amp;R&amp;"Arial,Vet"&amp;F</oddHeader>
    <oddFooter>&amp;L&amp;"Arial,Vet"PO-Raad&amp;R&amp;"Arial,Vet"&amp;P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30"/>
  <sheetViews>
    <sheetView zoomScale="72" zoomScaleNormal="72" workbookViewId="0"/>
  </sheetViews>
  <sheetFormatPr defaultColWidth="9.140625" defaultRowHeight="12.75" x14ac:dyDescent="0.2"/>
  <cols>
    <col min="1" max="1" width="30.85546875" style="45" customWidth="1"/>
    <col min="2" max="2" width="10.7109375" style="45" customWidth="1"/>
    <col min="3" max="3" width="13" style="45" customWidth="1"/>
    <col min="4" max="5" width="10.7109375" style="45" customWidth="1"/>
    <col min="6" max="6" width="12.140625" style="45" customWidth="1"/>
    <col min="7" max="10" width="10.7109375" style="45" customWidth="1"/>
    <col min="11" max="11" width="7.85546875" style="45" customWidth="1"/>
    <col min="12" max="12" width="8" style="45" customWidth="1"/>
    <col min="13" max="13" width="8.5703125" style="45" customWidth="1"/>
    <col min="14" max="22" width="10.7109375" style="45" customWidth="1"/>
    <col min="23" max="23" width="9.140625" style="45"/>
    <col min="24" max="38" width="9.140625" style="112"/>
    <col min="39" max="16384" width="9.140625" style="45"/>
  </cols>
  <sheetData>
    <row r="1" spans="1:19" x14ac:dyDescent="0.2">
      <c r="A1" s="45" t="s">
        <v>268</v>
      </c>
      <c r="B1" s="225">
        <v>2020</v>
      </c>
      <c r="C1" s="226" t="s">
        <v>308</v>
      </c>
      <c r="E1" s="45" t="s">
        <v>194</v>
      </c>
      <c r="F1" s="182">
        <f ca="1">NOW()</f>
        <v>43879.576672800926</v>
      </c>
    </row>
    <row r="2" spans="1:19" x14ac:dyDescent="0.2">
      <c r="A2" s="45" t="s">
        <v>86</v>
      </c>
      <c r="B2" s="226" t="s">
        <v>309</v>
      </c>
    </row>
    <row r="4" spans="1:19" x14ac:dyDescent="0.2">
      <c r="A4" s="44" t="s">
        <v>29</v>
      </c>
      <c r="B4" s="46" t="str">
        <f>C1 &amp; B1</f>
        <v xml:space="preserve"> vanaf 1 januari2020</v>
      </c>
    </row>
    <row r="5" spans="1:19" x14ac:dyDescent="0.2">
      <c r="A5" s="44"/>
      <c r="B5" s="44"/>
      <c r="C5" s="45" t="s">
        <v>27</v>
      </c>
      <c r="D5" s="45" t="s">
        <v>28</v>
      </c>
      <c r="E5" s="45" t="s">
        <v>57</v>
      </c>
      <c r="F5" s="45" t="s">
        <v>58</v>
      </c>
      <c r="G5" s="45" t="s">
        <v>30</v>
      </c>
      <c r="H5" s="45" t="s">
        <v>31</v>
      </c>
      <c r="J5" s="45" t="s">
        <v>161</v>
      </c>
    </row>
    <row r="6" spans="1:19" x14ac:dyDescent="0.2">
      <c r="A6" s="47" t="s">
        <v>26</v>
      </c>
      <c r="C6" s="227">
        <v>0.17430000000000001</v>
      </c>
      <c r="D6" s="228">
        <v>7.4700000000000003E-2</v>
      </c>
      <c r="E6" s="229">
        <v>14200</v>
      </c>
      <c r="F6" s="48">
        <f>+E6/12</f>
        <v>1183.3333333333333</v>
      </c>
      <c r="J6" s="214" t="s">
        <v>342</v>
      </c>
    </row>
    <row r="7" spans="1:19" x14ac:dyDescent="0.2">
      <c r="A7" s="47" t="s">
        <v>75</v>
      </c>
      <c r="C7" s="228">
        <v>6.3E-3</v>
      </c>
      <c r="D7" s="228">
        <v>2.7000000000000001E-3</v>
      </c>
      <c r="E7" s="229">
        <v>21400</v>
      </c>
      <c r="F7" s="48">
        <f>+E7/12</f>
        <v>1783.3333333333333</v>
      </c>
      <c r="J7" s="45" t="s">
        <v>160</v>
      </c>
    </row>
    <row r="8" spans="1:19" x14ac:dyDescent="0.2">
      <c r="A8" s="47" t="s">
        <v>97</v>
      </c>
      <c r="C8" s="227">
        <v>2.5999999999999999E-2</v>
      </c>
      <c r="D8" s="227">
        <v>0</v>
      </c>
      <c r="E8" s="50"/>
      <c r="F8" s="50"/>
      <c r="J8" s="45" t="s">
        <v>160</v>
      </c>
    </row>
    <row r="9" spans="1:19" x14ac:dyDescent="0.2">
      <c r="A9" s="51" t="s">
        <v>134</v>
      </c>
      <c r="C9" s="69">
        <v>7.2700000000000001E-2</v>
      </c>
      <c r="D9" s="52"/>
      <c r="E9" s="52"/>
      <c r="F9" s="52"/>
      <c r="G9" s="230">
        <v>57232</v>
      </c>
      <c r="H9" s="230">
        <f>G9/12</f>
        <v>4769.333333333333</v>
      </c>
      <c r="J9" s="43" t="s">
        <v>339</v>
      </c>
      <c r="R9" s="53"/>
      <c r="S9" s="49"/>
    </row>
    <row r="10" spans="1:19" x14ac:dyDescent="0.2">
      <c r="A10" s="51" t="s">
        <v>359</v>
      </c>
      <c r="C10" s="69">
        <v>1.2E-2</v>
      </c>
      <c r="D10" s="52"/>
      <c r="E10" s="52"/>
      <c r="F10" s="52"/>
      <c r="G10" s="48">
        <f>+G9</f>
        <v>57232</v>
      </c>
      <c r="H10" s="48">
        <f>H9</f>
        <v>4769.333333333333</v>
      </c>
      <c r="J10" s="426" t="s">
        <v>360</v>
      </c>
      <c r="R10" s="426"/>
      <c r="S10" s="49"/>
    </row>
    <row r="11" spans="1:19" x14ac:dyDescent="0.2">
      <c r="A11" s="51" t="s">
        <v>55</v>
      </c>
      <c r="C11" s="227">
        <v>6.7000000000000004E-2</v>
      </c>
      <c r="E11" s="50"/>
      <c r="F11" s="50"/>
      <c r="G11" s="48">
        <f>+G9</f>
        <v>57232</v>
      </c>
      <c r="H11" s="48">
        <f>H10</f>
        <v>4769.333333333333</v>
      </c>
      <c r="J11" s="43" t="s">
        <v>231</v>
      </c>
      <c r="R11" s="53"/>
      <c r="S11" s="49"/>
    </row>
    <row r="12" spans="1:19" x14ac:dyDescent="0.2">
      <c r="A12" s="51" t="s">
        <v>135</v>
      </c>
      <c r="C12" s="227">
        <v>6.7999999999999996E-3</v>
      </c>
      <c r="D12" s="52"/>
      <c r="E12" s="52"/>
      <c r="F12" s="52"/>
      <c r="G12" s="48">
        <f>+G9</f>
        <v>57232</v>
      </c>
      <c r="H12" s="48">
        <f>H11</f>
        <v>4769.333333333333</v>
      </c>
      <c r="J12" s="43" t="s">
        <v>340</v>
      </c>
      <c r="S12" s="49"/>
    </row>
    <row r="13" spans="1:19" x14ac:dyDescent="0.2">
      <c r="A13" s="54" t="s">
        <v>76</v>
      </c>
      <c r="B13" s="47">
        <v>1</v>
      </c>
      <c r="C13" s="227">
        <v>6.0999999999999999E-2</v>
      </c>
      <c r="D13" s="55" t="s">
        <v>93</v>
      </c>
      <c r="E13" s="52"/>
      <c r="F13" s="52"/>
      <c r="G13" s="50"/>
      <c r="H13" s="50"/>
      <c r="J13" s="43" t="s">
        <v>310</v>
      </c>
    </row>
    <row r="14" spans="1:19" x14ac:dyDescent="0.2">
      <c r="A14" s="54" t="s">
        <v>77</v>
      </c>
      <c r="B14" s="47">
        <v>2</v>
      </c>
      <c r="C14" s="227">
        <v>6.0999999999999999E-2</v>
      </c>
      <c r="D14" s="55" t="s">
        <v>94</v>
      </c>
      <c r="E14" s="52"/>
      <c r="F14" s="52"/>
      <c r="H14" s="50"/>
      <c r="J14" s="50" t="s">
        <v>160</v>
      </c>
      <c r="S14" s="56"/>
    </row>
    <row r="15" spans="1:19" x14ac:dyDescent="0.2">
      <c r="A15" s="54" t="s">
        <v>144</v>
      </c>
      <c r="B15" s="47">
        <v>3</v>
      </c>
      <c r="C15" s="227">
        <v>1.5E-3</v>
      </c>
      <c r="D15" s="55" t="s">
        <v>95</v>
      </c>
      <c r="E15" s="52"/>
      <c r="F15" s="52"/>
      <c r="H15" s="50"/>
      <c r="J15" s="50" t="s">
        <v>160</v>
      </c>
    </row>
    <row r="16" spans="1:19" x14ac:dyDescent="0.2">
      <c r="A16" s="54" t="s">
        <v>170</v>
      </c>
      <c r="B16" s="51">
        <v>4</v>
      </c>
      <c r="C16" s="227">
        <v>0</v>
      </c>
      <c r="D16" s="55" t="s">
        <v>96</v>
      </c>
      <c r="E16" s="52"/>
      <c r="F16" s="52"/>
      <c r="H16" s="50"/>
      <c r="J16" s="50" t="s">
        <v>262</v>
      </c>
    </row>
    <row r="17" spans="1:19" x14ac:dyDescent="0.2">
      <c r="A17" s="54" t="s">
        <v>240</v>
      </c>
      <c r="B17" s="51">
        <v>5</v>
      </c>
      <c r="C17" s="69">
        <v>3.7999999999999999E-2</v>
      </c>
      <c r="D17" s="55" t="s">
        <v>236</v>
      </c>
      <c r="E17" s="52"/>
      <c r="F17" s="52"/>
      <c r="H17" s="50"/>
      <c r="J17" s="215"/>
    </row>
    <row r="18" spans="1:19" x14ac:dyDescent="0.2">
      <c r="A18" s="54" t="s">
        <v>241</v>
      </c>
      <c r="B18" s="51">
        <v>6</v>
      </c>
      <c r="C18" s="69">
        <v>3.2000000000000001E-2</v>
      </c>
      <c r="D18" s="55" t="s">
        <v>237</v>
      </c>
      <c r="E18" s="52"/>
      <c r="F18" s="52"/>
      <c r="H18" s="50"/>
      <c r="J18" s="215"/>
    </row>
    <row r="19" spans="1:19" x14ac:dyDescent="0.2">
      <c r="A19" s="54" t="s">
        <v>242</v>
      </c>
      <c r="B19" s="51">
        <v>7</v>
      </c>
      <c r="C19" s="69">
        <v>8.0000000000000002E-3</v>
      </c>
      <c r="D19" s="55" t="s">
        <v>238</v>
      </c>
      <c r="E19" s="52"/>
      <c r="F19" s="52"/>
      <c r="H19" s="50"/>
      <c r="J19" s="215"/>
    </row>
    <row r="20" spans="1:19" x14ac:dyDescent="0.2">
      <c r="A20" s="54" t="s">
        <v>243</v>
      </c>
      <c r="B20" s="54">
        <v>8</v>
      </c>
      <c r="C20" s="69">
        <v>5.0000000000000001E-3</v>
      </c>
      <c r="D20" s="55" t="s">
        <v>239</v>
      </c>
      <c r="E20" s="52"/>
      <c r="F20" s="52"/>
      <c r="H20" s="50"/>
      <c r="J20" s="215"/>
    </row>
    <row r="21" spans="1:19" x14ac:dyDescent="0.2">
      <c r="A21" s="57" t="s">
        <v>43</v>
      </c>
      <c r="B21" s="423"/>
      <c r="C21" s="227">
        <v>4.2000000000000003E-2</v>
      </c>
      <c r="D21" s="52"/>
      <c r="E21" s="52"/>
      <c r="F21" s="52"/>
      <c r="H21" s="50"/>
      <c r="J21" s="215" t="s">
        <v>310</v>
      </c>
    </row>
    <row r="22" spans="1:19" x14ac:dyDescent="0.2">
      <c r="B22" s="45" t="s">
        <v>72</v>
      </c>
      <c r="C22" s="53">
        <f>SUM(C6:C13)+C21</f>
        <v>0.46809999999999996</v>
      </c>
      <c r="D22" s="53">
        <f>SUM(D6:D17)</f>
        <v>7.7399999999999997E-2</v>
      </c>
      <c r="E22" s="53">
        <f>SUM(C22:D22)</f>
        <v>0.54549999999999998</v>
      </c>
    </row>
    <row r="23" spans="1:19" x14ac:dyDescent="0.2">
      <c r="S23" s="49"/>
    </row>
    <row r="24" spans="1:19" x14ac:dyDescent="0.2">
      <c r="A24" s="44" t="s">
        <v>138</v>
      </c>
      <c r="S24" s="49"/>
    </row>
    <row r="25" spans="1:19" x14ac:dyDescent="0.2">
      <c r="A25" s="58" t="s">
        <v>143</v>
      </c>
      <c r="B25" s="59">
        <v>1.5E-3</v>
      </c>
      <c r="J25" s="43" t="s">
        <v>310</v>
      </c>
      <c r="S25" s="49"/>
    </row>
    <row r="26" spans="1:19" x14ac:dyDescent="0.2">
      <c r="A26" s="58" t="s">
        <v>139</v>
      </c>
      <c r="B26" s="59">
        <v>3.7999999999999999E-2</v>
      </c>
      <c r="D26" s="231"/>
      <c r="S26" s="49"/>
    </row>
    <row r="27" spans="1:19" x14ac:dyDescent="0.2">
      <c r="A27" s="58" t="s">
        <v>140</v>
      </c>
      <c r="B27" s="59">
        <v>3.2000000000000001E-2</v>
      </c>
      <c r="D27" s="231"/>
    </row>
    <row r="28" spans="1:19" x14ac:dyDescent="0.2">
      <c r="A28" s="58" t="s">
        <v>141</v>
      </c>
      <c r="B28" s="59">
        <v>8.0000000000000002E-3</v>
      </c>
      <c r="D28" s="231"/>
    </row>
    <row r="29" spans="1:19" x14ac:dyDescent="0.2">
      <c r="A29" s="58" t="s">
        <v>142</v>
      </c>
      <c r="B29" s="59">
        <v>5.0000000000000001E-3</v>
      </c>
      <c r="D29" s="231"/>
    </row>
    <row r="31" spans="1:19" x14ac:dyDescent="0.2">
      <c r="A31" s="44" t="s">
        <v>39</v>
      </c>
      <c r="B31" s="45" t="s">
        <v>164</v>
      </c>
      <c r="C31" s="232">
        <v>33.31</v>
      </c>
      <c r="G31" s="60"/>
    </row>
    <row r="32" spans="1:19" x14ac:dyDescent="0.2">
      <c r="B32" s="45" t="s">
        <v>165</v>
      </c>
      <c r="C32" s="232">
        <v>29.22</v>
      </c>
      <c r="G32" s="45" t="s">
        <v>358</v>
      </c>
    </row>
    <row r="33" spans="1:40" x14ac:dyDescent="0.2">
      <c r="B33" s="45" t="s">
        <v>166</v>
      </c>
      <c r="C33" s="232">
        <v>53.21</v>
      </c>
    </row>
    <row r="34" spans="1:40" x14ac:dyDescent="0.2">
      <c r="B34" s="45" t="s">
        <v>167</v>
      </c>
      <c r="C34" s="232">
        <v>26.32</v>
      </c>
    </row>
    <row r="35" spans="1:40" x14ac:dyDescent="0.2">
      <c r="B35" s="45" t="s">
        <v>168</v>
      </c>
      <c r="C35" s="232">
        <v>0</v>
      </c>
    </row>
    <row r="36" spans="1:40" x14ac:dyDescent="0.2">
      <c r="C36" s="61"/>
    </row>
    <row r="37" spans="1:40" x14ac:dyDescent="0.2">
      <c r="A37" s="44" t="s">
        <v>78</v>
      </c>
      <c r="C37" s="227">
        <v>8.0000000000000002E-3</v>
      </c>
      <c r="D37" s="53"/>
    </row>
    <row r="39" spans="1:40" x14ac:dyDescent="0.2">
      <c r="A39" s="44" t="s">
        <v>172</v>
      </c>
      <c r="C39" s="233">
        <v>875</v>
      </c>
      <c r="E39"/>
      <c r="F39"/>
      <c r="G39"/>
      <c r="H39"/>
      <c r="I39"/>
      <c r="J39"/>
      <c r="K39"/>
      <c r="L39"/>
      <c r="M39"/>
      <c r="N39"/>
      <c r="O39"/>
      <c r="X39" s="45"/>
      <c r="Y39" s="45"/>
      <c r="AM39" s="112"/>
      <c r="AN39" s="112"/>
    </row>
    <row r="40" spans="1:40" x14ac:dyDescent="0.2">
      <c r="A40" s="44" t="s">
        <v>317</v>
      </c>
      <c r="C40" s="234">
        <v>0.33</v>
      </c>
      <c r="E40"/>
      <c r="F40"/>
      <c r="G40"/>
      <c r="H40"/>
      <c r="I40"/>
      <c r="J40"/>
      <c r="K40"/>
      <c r="L40"/>
      <c r="M40"/>
      <c r="N40"/>
      <c r="O40"/>
    </row>
    <row r="41" spans="1:40" x14ac:dyDescent="0.2">
      <c r="E41"/>
      <c r="F41"/>
      <c r="G41"/>
      <c r="H41"/>
      <c r="I41"/>
      <c r="J41"/>
      <c r="K41"/>
      <c r="L41"/>
      <c r="M41"/>
      <c r="N41"/>
      <c r="O41"/>
    </row>
    <row r="42" spans="1:40" x14ac:dyDescent="0.2">
      <c r="A42" s="181" t="s">
        <v>25</v>
      </c>
      <c r="D42" s="412">
        <v>0.08</v>
      </c>
      <c r="E42"/>
      <c r="F42"/>
      <c r="G42"/>
      <c r="H42"/>
      <c r="I42"/>
      <c r="J42"/>
      <c r="K42"/>
      <c r="L42"/>
      <c r="M42"/>
      <c r="N42"/>
      <c r="O42"/>
    </row>
    <row r="43" spans="1:40" x14ac:dyDescent="0.2">
      <c r="D43" s="180"/>
      <c r="L43" s="216"/>
      <c r="M43" s="217"/>
    </row>
    <row r="44" spans="1:40" x14ac:dyDescent="0.2">
      <c r="A44" s="44" t="s">
        <v>46</v>
      </c>
      <c r="B44" s="44"/>
      <c r="D44" s="232">
        <v>160.05000000000001</v>
      </c>
      <c r="E44" s="45" t="s">
        <v>82</v>
      </c>
      <c r="L44" s="216"/>
      <c r="M44" s="217"/>
    </row>
    <row r="45" spans="1:40" x14ac:dyDescent="0.2">
      <c r="A45" s="44" t="s">
        <v>44</v>
      </c>
      <c r="B45" s="44"/>
      <c r="D45" s="227">
        <v>6.3E-2</v>
      </c>
    </row>
    <row r="46" spans="1:40" x14ac:dyDescent="0.2">
      <c r="A46" s="45" t="s">
        <v>69</v>
      </c>
      <c r="B46" s="44"/>
      <c r="C46" s="45">
        <v>0</v>
      </c>
      <c r="D46" s="232">
        <v>0</v>
      </c>
    </row>
    <row r="47" spans="1:40" x14ac:dyDescent="0.2">
      <c r="B47" s="44"/>
      <c r="C47" s="45">
        <v>1</v>
      </c>
      <c r="D47" s="232">
        <f>1219.3</f>
        <v>1219.3</v>
      </c>
    </row>
    <row r="48" spans="1:40" x14ac:dyDescent="0.2">
      <c r="B48" s="44"/>
      <c r="C48" s="45">
        <v>6</v>
      </c>
      <c r="D48" s="232">
        <f>1168.03</f>
        <v>1168.03</v>
      </c>
    </row>
    <row r="49" spans="1:7" x14ac:dyDescent="0.2">
      <c r="B49" s="44"/>
      <c r="C49" s="45">
        <v>9</v>
      </c>
      <c r="D49" s="232">
        <v>0</v>
      </c>
    </row>
    <row r="50" spans="1:7" x14ac:dyDescent="0.2">
      <c r="B50" s="44"/>
      <c r="D50" s="61"/>
    </row>
    <row r="51" spans="1:7" x14ac:dyDescent="0.2">
      <c r="A51" s="44" t="s">
        <v>74</v>
      </c>
      <c r="D51" s="232">
        <v>200</v>
      </c>
    </row>
    <row r="52" spans="1:7" x14ac:dyDescent="0.2">
      <c r="A52" s="44" t="s">
        <v>333</v>
      </c>
      <c r="D52" s="232">
        <v>875</v>
      </c>
    </row>
    <row r="53" spans="1:7" x14ac:dyDescent="0.2">
      <c r="A53" s="44" t="s">
        <v>334</v>
      </c>
      <c r="D53" s="413">
        <v>0.33</v>
      </c>
    </row>
    <row r="55" spans="1:7" x14ac:dyDescent="0.2">
      <c r="A55" s="44" t="s">
        <v>79</v>
      </c>
      <c r="D55" s="232">
        <v>339.49</v>
      </c>
    </row>
    <row r="57" spans="1:7" hidden="1" x14ac:dyDescent="0.2">
      <c r="A57" s="44" t="s">
        <v>272</v>
      </c>
    </row>
    <row r="58" spans="1:7" hidden="1" x14ac:dyDescent="0.2">
      <c r="A58" s="44" t="s">
        <v>273</v>
      </c>
    </row>
    <row r="59" spans="1:7" hidden="1" x14ac:dyDescent="0.2">
      <c r="A59" s="62" t="s">
        <v>59</v>
      </c>
    </row>
    <row r="60" spans="1:7" hidden="1" x14ac:dyDescent="0.2">
      <c r="A60" s="63"/>
    </row>
    <row r="61" spans="1:7" hidden="1" x14ac:dyDescent="0.2">
      <c r="A61" s="44" t="s">
        <v>234</v>
      </c>
      <c r="E61" s="43"/>
      <c r="F61" s="43" t="s">
        <v>233</v>
      </c>
      <c r="G61" s="48"/>
    </row>
    <row r="62" spans="1:7" hidden="1" x14ac:dyDescent="0.2">
      <c r="A62" s="44" t="s">
        <v>60</v>
      </c>
      <c r="B62" s="45" t="s">
        <v>71</v>
      </c>
      <c r="C62" s="45" t="s">
        <v>61</v>
      </c>
      <c r="E62" s="43"/>
    </row>
    <row r="63" spans="1:7" hidden="1" x14ac:dyDescent="0.2">
      <c r="A63" s="45">
        <v>1</v>
      </c>
      <c r="B63" s="64">
        <v>20384</v>
      </c>
      <c r="C63" s="69">
        <v>0.36649999999999999</v>
      </c>
    </row>
    <row r="64" spans="1:7" hidden="1" x14ac:dyDescent="0.2">
      <c r="A64" s="45">
        <v>2</v>
      </c>
      <c r="B64" s="64">
        <v>34300</v>
      </c>
      <c r="C64" s="69">
        <v>0.38100000000000001</v>
      </c>
    </row>
    <row r="65" spans="1:22" hidden="1" x14ac:dyDescent="0.2">
      <c r="A65" s="45">
        <v>3</v>
      </c>
      <c r="B65" s="64">
        <v>68507</v>
      </c>
      <c r="C65" s="69">
        <v>0.38100000000000001</v>
      </c>
    </row>
    <row r="66" spans="1:22" hidden="1" x14ac:dyDescent="0.2">
      <c r="A66" s="45">
        <v>4</v>
      </c>
      <c r="B66" s="64">
        <v>999999</v>
      </c>
      <c r="C66" s="69">
        <v>0.51749999999999996</v>
      </c>
    </row>
    <row r="67" spans="1:22" hidden="1" x14ac:dyDescent="0.2"/>
    <row r="68" spans="1:22" hidden="1" x14ac:dyDescent="0.2">
      <c r="A68" s="44" t="s">
        <v>62</v>
      </c>
    </row>
    <row r="69" spans="1:22" hidden="1" x14ac:dyDescent="0.2">
      <c r="A69" s="45" t="s">
        <v>63</v>
      </c>
      <c r="B69" s="64">
        <v>2477</v>
      </c>
    </row>
    <row r="70" spans="1:22" hidden="1" x14ac:dyDescent="0.2">
      <c r="A70" s="65"/>
      <c r="B70" s="65" t="s">
        <v>65</v>
      </c>
      <c r="C70" s="65" t="s">
        <v>66</v>
      </c>
      <c r="D70" s="65" t="s">
        <v>67</v>
      </c>
    </row>
    <row r="71" spans="1:22" hidden="1" x14ac:dyDescent="0.2">
      <c r="A71" s="65" t="s">
        <v>64</v>
      </c>
      <c r="B71" s="65">
        <v>1947</v>
      </c>
      <c r="C71" s="66">
        <v>0.1232</v>
      </c>
      <c r="D71" s="67">
        <v>1611</v>
      </c>
    </row>
    <row r="72" spans="1:22" hidden="1" x14ac:dyDescent="0.2">
      <c r="A72" s="65"/>
      <c r="B72" s="65">
        <v>1949</v>
      </c>
      <c r="C72" s="66">
        <v>0.1232</v>
      </c>
      <c r="D72" s="67">
        <v>1611</v>
      </c>
    </row>
    <row r="73" spans="1:22" hidden="1" x14ac:dyDescent="0.2">
      <c r="A73" s="65"/>
      <c r="B73" s="65">
        <v>1951</v>
      </c>
      <c r="C73" s="66">
        <v>0.1232</v>
      </c>
      <c r="D73" s="67">
        <v>1611</v>
      </c>
    </row>
    <row r="74" spans="1:22" hidden="1" x14ac:dyDescent="0.2">
      <c r="A74" s="65"/>
      <c r="B74" s="65">
        <v>1954</v>
      </c>
      <c r="C74" s="66">
        <v>0.1232</v>
      </c>
      <c r="D74" s="67">
        <v>1611</v>
      </c>
    </row>
    <row r="75" spans="1:22" x14ac:dyDescent="0.2">
      <c r="C75" s="68"/>
    </row>
    <row r="77" spans="1:22" x14ac:dyDescent="0.2">
      <c r="A77" s="108" t="s">
        <v>0</v>
      </c>
      <c r="B77" s="433">
        <v>43831</v>
      </c>
      <c r="C77" s="433"/>
      <c r="D77" s="109"/>
      <c r="E77" s="110"/>
      <c r="F77" s="110"/>
      <c r="G77" s="110"/>
      <c r="H77" s="110"/>
      <c r="I77" s="110"/>
      <c r="J77" s="110"/>
      <c r="K77" s="110"/>
      <c r="L77" s="110"/>
      <c r="M77" s="110"/>
      <c r="N77" s="110"/>
      <c r="O77" s="110"/>
      <c r="P77" s="110"/>
      <c r="Q77" s="110"/>
      <c r="R77" s="110"/>
      <c r="S77" s="110"/>
      <c r="T77" s="110"/>
      <c r="U77" s="110"/>
      <c r="V77" s="110"/>
    </row>
    <row r="78" spans="1:22" x14ac:dyDescent="0.2">
      <c r="A78" s="109" t="s">
        <v>1</v>
      </c>
      <c r="B78" s="111">
        <v>1</v>
      </c>
      <c r="C78" s="111">
        <v>2</v>
      </c>
      <c r="D78" s="111">
        <v>3</v>
      </c>
      <c r="E78" s="111">
        <v>4</v>
      </c>
      <c r="F78" s="111">
        <v>5</v>
      </c>
      <c r="G78" s="111">
        <v>6</v>
      </c>
      <c r="H78" s="111">
        <v>7</v>
      </c>
      <c r="I78" s="111">
        <v>8</v>
      </c>
      <c r="J78" s="111">
        <v>9</v>
      </c>
      <c r="K78" s="111">
        <v>10</v>
      </c>
      <c r="L78" s="111">
        <v>11</v>
      </c>
      <c r="M78" s="111">
        <v>12</v>
      </c>
      <c r="N78" s="111">
        <v>13</v>
      </c>
      <c r="O78" s="111">
        <v>14</v>
      </c>
      <c r="P78" s="111">
        <v>15</v>
      </c>
      <c r="Q78" s="111">
        <v>16</v>
      </c>
      <c r="R78" s="111">
        <v>17</v>
      </c>
      <c r="S78" s="111">
        <v>18</v>
      </c>
      <c r="T78" s="111">
        <v>19</v>
      </c>
      <c r="U78" s="111">
        <v>20</v>
      </c>
      <c r="V78" s="111" t="s">
        <v>20</v>
      </c>
    </row>
    <row r="79" spans="1:22" x14ac:dyDescent="0.2">
      <c r="A79" s="389" t="s">
        <v>312</v>
      </c>
      <c r="B79" s="404">
        <v>2678</v>
      </c>
      <c r="C79" s="404">
        <v>2761</v>
      </c>
      <c r="D79" s="404">
        <v>2846</v>
      </c>
      <c r="E79" s="404">
        <v>2935</v>
      </c>
      <c r="F79" s="404">
        <v>3026</v>
      </c>
      <c r="G79" s="404">
        <v>3119</v>
      </c>
      <c r="H79" s="404">
        <v>3217</v>
      </c>
      <c r="I79" s="404">
        <v>3316</v>
      </c>
      <c r="J79" s="404">
        <v>3419</v>
      </c>
      <c r="K79" s="404">
        <v>3525</v>
      </c>
      <c r="L79" s="404">
        <v>3634</v>
      </c>
      <c r="M79" s="404">
        <v>3747</v>
      </c>
      <c r="N79" s="404">
        <v>3862</v>
      </c>
      <c r="O79" s="404">
        <v>3982</v>
      </c>
      <c r="P79" s="404">
        <v>4113</v>
      </c>
      <c r="Q79" s="390"/>
      <c r="R79" s="390"/>
      <c r="S79" s="390"/>
      <c r="T79" s="390"/>
      <c r="U79" s="390"/>
      <c r="V79" s="391">
        <f>COUNTA(B79:U79)</f>
        <v>15</v>
      </c>
    </row>
    <row r="80" spans="1:22" x14ac:dyDescent="0.2">
      <c r="A80" s="389" t="s">
        <v>313</v>
      </c>
      <c r="B80" s="404">
        <v>2758</v>
      </c>
      <c r="C80" s="404">
        <v>2851</v>
      </c>
      <c r="D80" s="404">
        <v>2948</v>
      </c>
      <c r="E80" s="404">
        <v>3047</v>
      </c>
      <c r="F80" s="404">
        <v>3150</v>
      </c>
      <c r="G80" s="404">
        <v>3257</v>
      </c>
      <c r="H80" s="404">
        <v>3367</v>
      </c>
      <c r="I80" s="404">
        <v>3481</v>
      </c>
      <c r="J80" s="404">
        <v>3598</v>
      </c>
      <c r="K80" s="404">
        <v>3720</v>
      </c>
      <c r="L80" s="404">
        <v>3845</v>
      </c>
      <c r="M80" s="404">
        <v>3976</v>
      </c>
      <c r="N80" s="404">
        <v>4110</v>
      </c>
      <c r="O80" s="404">
        <v>4249</v>
      </c>
      <c r="P80" s="404">
        <v>4434</v>
      </c>
      <c r="Q80" s="390"/>
      <c r="R80" s="390"/>
      <c r="S80" s="390"/>
      <c r="T80" s="390"/>
      <c r="U80" s="390"/>
      <c r="V80" s="391">
        <f t="shared" ref="V80:V97" si="0">COUNTA(B80:U80)</f>
        <v>15</v>
      </c>
    </row>
    <row r="81" spans="1:22" x14ac:dyDescent="0.2">
      <c r="A81" s="389" t="s">
        <v>314</v>
      </c>
      <c r="B81" s="404">
        <v>2812</v>
      </c>
      <c r="C81" s="404">
        <v>2933</v>
      </c>
      <c r="D81" s="404">
        <v>3059</v>
      </c>
      <c r="E81" s="404">
        <v>3190</v>
      </c>
      <c r="F81" s="404">
        <v>3327</v>
      </c>
      <c r="G81" s="404">
        <v>3470</v>
      </c>
      <c r="H81" s="404">
        <v>3619</v>
      </c>
      <c r="I81" s="404">
        <v>3776</v>
      </c>
      <c r="J81" s="404">
        <v>3937</v>
      </c>
      <c r="K81" s="404">
        <v>4107</v>
      </c>
      <c r="L81" s="404">
        <v>4283</v>
      </c>
      <c r="M81" s="404">
        <v>4468</v>
      </c>
      <c r="N81" s="404">
        <v>4660</v>
      </c>
      <c r="O81" s="404">
        <v>4861</v>
      </c>
      <c r="P81" s="404">
        <v>5070</v>
      </c>
      <c r="Q81" s="390"/>
      <c r="R81" s="390"/>
      <c r="S81" s="390"/>
      <c r="T81" s="390"/>
      <c r="U81" s="390"/>
      <c r="V81" s="391">
        <f t="shared" si="0"/>
        <v>15</v>
      </c>
    </row>
    <row r="82" spans="1:22" x14ac:dyDescent="0.2">
      <c r="A82" s="389" t="s">
        <v>315</v>
      </c>
      <c r="B82" s="404">
        <v>2812</v>
      </c>
      <c r="C82" s="404">
        <v>2933</v>
      </c>
      <c r="D82" s="404">
        <v>3094</v>
      </c>
      <c r="E82" s="404">
        <v>3265</v>
      </c>
      <c r="F82" s="404">
        <v>3436</v>
      </c>
      <c r="G82" s="404">
        <v>3615</v>
      </c>
      <c r="H82" s="404">
        <v>3800</v>
      </c>
      <c r="I82" s="404">
        <v>3989</v>
      </c>
      <c r="J82" s="404">
        <v>4187</v>
      </c>
      <c r="K82" s="404">
        <v>4393</v>
      </c>
      <c r="L82" s="404">
        <v>4605</v>
      </c>
      <c r="M82" s="404">
        <v>4823</v>
      </c>
      <c r="N82" s="404">
        <v>5050</v>
      </c>
      <c r="O82" s="404">
        <v>5283</v>
      </c>
      <c r="P82" s="404">
        <v>5532</v>
      </c>
      <c r="Q82" s="390"/>
      <c r="R82" s="390"/>
      <c r="S82" s="390"/>
      <c r="T82" s="390"/>
      <c r="U82" s="390"/>
      <c r="V82" s="391">
        <f t="shared" si="0"/>
        <v>15</v>
      </c>
    </row>
    <row r="83" spans="1:22" x14ac:dyDescent="0.2">
      <c r="A83" s="392" t="s">
        <v>9</v>
      </c>
      <c r="B83" s="393">
        <v>2768</v>
      </c>
      <c r="C83" s="393">
        <v>2891</v>
      </c>
      <c r="D83" s="393">
        <v>3025</v>
      </c>
      <c r="E83" s="393">
        <v>3173</v>
      </c>
      <c r="F83" s="393">
        <v>3300</v>
      </c>
      <c r="G83" s="393">
        <v>3429</v>
      </c>
      <c r="H83" s="393">
        <v>3550</v>
      </c>
      <c r="I83" s="393">
        <v>3672</v>
      </c>
      <c r="J83" s="393">
        <v>3803</v>
      </c>
      <c r="K83" s="393">
        <v>3924</v>
      </c>
      <c r="L83" s="393">
        <v>4041</v>
      </c>
      <c r="M83" s="393">
        <v>4161</v>
      </c>
      <c r="N83" s="393">
        <v>4364</v>
      </c>
      <c r="O83" s="393"/>
      <c r="P83" s="393"/>
      <c r="Q83" s="393"/>
      <c r="R83" s="393"/>
      <c r="S83" s="393"/>
      <c r="T83" s="393"/>
      <c r="U83" s="393"/>
      <c r="V83" s="394">
        <f t="shared" si="0"/>
        <v>13</v>
      </c>
    </row>
    <row r="84" spans="1:22" x14ac:dyDescent="0.2">
      <c r="A84" s="392" t="s">
        <v>10</v>
      </c>
      <c r="B84" s="395">
        <v>2826</v>
      </c>
      <c r="C84" s="393">
        <v>2962</v>
      </c>
      <c r="D84" s="393">
        <v>3107</v>
      </c>
      <c r="E84" s="393">
        <v>3237</v>
      </c>
      <c r="F84" s="393">
        <v>3365</v>
      </c>
      <c r="G84" s="393">
        <v>3489</v>
      </c>
      <c r="H84" s="393">
        <v>3608</v>
      </c>
      <c r="I84" s="393">
        <v>3742</v>
      </c>
      <c r="J84" s="393">
        <v>3860</v>
      </c>
      <c r="K84" s="393">
        <v>3980</v>
      </c>
      <c r="L84" s="393">
        <v>4099</v>
      </c>
      <c r="M84" s="393">
        <v>4230</v>
      </c>
      <c r="N84" s="393">
        <v>4364</v>
      </c>
      <c r="O84" s="393">
        <v>4490</v>
      </c>
      <c r="P84" s="393">
        <v>4614</v>
      </c>
      <c r="Q84" s="393">
        <v>4737</v>
      </c>
      <c r="R84" s="393">
        <v>4858</v>
      </c>
      <c r="S84" s="393">
        <v>4921</v>
      </c>
      <c r="T84" s="393"/>
      <c r="U84" s="393"/>
      <c r="V84" s="394">
        <f t="shared" si="0"/>
        <v>18</v>
      </c>
    </row>
    <row r="85" spans="1:22" x14ac:dyDescent="0.2">
      <c r="A85" s="392" t="s">
        <v>11</v>
      </c>
      <c r="B85" s="393">
        <v>2962</v>
      </c>
      <c r="C85" s="393">
        <v>3107</v>
      </c>
      <c r="D85" s="393">
        <v>3365</v>
      </c>
      <c r="E85" s="393">
        <v>3608</v>
      </c>
      <c r="F85" s="393">
        <v>3742</v>
      </c>
      <c r="G85" s="393">
        <v>3860</v>
      </c>
      <c r="H85" s="393">
        <v>3980</v>
      </c>
      <c r="I85" s="393">
        <v>4099</v>
      </c>
      <c r="J85" s="393">
        <v>4230</v>
      </c>
      <c r="K85" s="393">
        <v>4364</v>
      </c>
      <c r="L85" s="393">
        <v>4490</v>
      </c>
      <c r="M85" s="393">
        <v>4614</v>
      </c>
      <c r="N85" s="393">
        <v>4737</v>
      </c>
      <c r="O85" s="393">
        <v>4858</v>
      </c>
      <c r="P85" s="393">
        <v>4985</v>
      </c>
      <c r="Q85" s="393">
        <v>5110</v>
      </c>
      <c r="R85" s="393">
        <v>5228</v>
      </c>
      <c r="S85" s="393">
        <v>5354</v>
      </c>
      <c r="T85" s="393">
        <v>5510</v>
      </c>
      <c r="U85" s="393">
        <v>5586</v>
      </c>
      <c r="V85" s="394">
        <f t="shared" si="0"/>
        <v>20</v>
      </c>
    </row>
    <row r="86" spans="1:22" x14ac:dyDescent="0.2">
      <c r="A86" s="392" t="s">
        <v>12</v>
      </c>
      <c r="B86" s="393">
        <v>3107</v>
      </c>
      <c r="C86" s="393">
        <v>3365</v>
      </c>
      <c r="D86" s="393">
        <v>3608</v>
      </c>
      <c r="E86" s="393">
        <v>3860</v>
      </c>
      <c r="F86" s="393">
        <v>4099</v>
      </c>
      <c r="G86" s="393">
        <v>4364</v>
      </c>
      <c r="H86" s="393">
        <v>4490</v>
      </c>
      <c r="I86" s="393">
        <v>4614</v>
      </c>
      <c r="J86" s="393">
        <v>4737</v>
      </c>
      <c r="K86" s="393">
        <v>4858</v>
      </c>
      <c r="L86" s="393">
        <v>4985</v>
      </c>
      <c r="M86" s="393">
        <v>5110</v>
      </c>
      <c r="N86" s="393">
        <v>5228</v>
      </c>
      <c r="O86" s="393">
        <v>5354</v>
      </c>
      <c r="P86" s="393">
        <v>5510</v>
      </c>
      <c r="Q86" s="393">
        <v>5663</v>
      </c>
      <c r="R86" s="393">
        <v>5820</v>
      </c>
      <c r="S86" s="393">
        <v>5976</v>
      </c>
      <c r="T86" s="393">
        <v>6050</v>
      </c>
      <c r="U86" s="393"/>
      <c r="V86" s="394">
        <f t="shared" si="0"/>
        <v>19</v>
      </c>
    </row>
    <row r="87" spans="1:22" x14ac:dyDescent="0.2">
      <c r="A87" s="392" t="s">
        <v>322</v>
      </c>
      <c r="B87" s="393">
        <v>3354</v>
      </c>
      <c r="C87" s="393">
        <v>3460</v>
      </c>
      <c r="D87" s="393">
        <v>3568</v>
      </c>
      <c r="E87" s="393">
        <v>3680</v>
      </c>
      <c r="F87" s="393">
        <v>3796</v>
      </c>
      <c r="G87" s="393">
        <v>3915</v>
      </c>
      <c r="H87" s="393">
        <v>4038</v>
      </c>
      <c r="I87" s="393">
        <v>4165</v>
      </c>
      <c r="J87" s="393">
        <v>4296</v>
      </c>
      <c r="K87" s="393">
        <v>4431</v>
      </c>
      <c r="L87" s="393">
        <v>4570</v>
      </c>
      <c r="M87" s="393">
        <v>4713</v>
      </c>
      <c r="N87" s="393">
        <v>4861</v>
      </c>
      <c r="O87" s="393"/>
      <c r="P87" s="393"/>
      <c r="Q87" s="393"/>
      <c r="R87" s="393"/>
      <c r="S87" s="393"/>
      <c r="T87" s="393"/>
      <c r="U87" s="393"/>
      <c r="V87" s="394">
        <f t="shared" si="0"/>
        <v>13</v>
      </c>
    </row>
    <row r="88" spans="1:22" x14ac:dyDescent="0.2">
      <c r="A88" s="392" t="s">
        <v>323</v>
      </c>
      <c r="B88" s="393">
        <v>3459</v>
      </c>
      <c r="C88" s="393">
        <v>3577</v>
      </c>
      <c r="D88" s="393">
        <v>3699</v>
      </c>
      <c r="E88" s="393">
        <v>3824</v>
      </c>
      <c r="F88" s="393">
        <v>3955</v>
      </c>
      <c r="G88" s="393">
        <v>4089</v>
      </c>
      <c r="H88" s="393">
        <v>4229</v>
      </c>
      <c r="I88" s="393">
        <v>4373</v>
      </c>
      <c r="J88" s="393">
        <v>4521</v>
      </c>
      <c r="K88" s="393">
        <v>4675</v>
      </c>
      <c r="L88" s="393">
        <v>4835</v>
      </c>
      <c r="M88" s="393">
        <v>4999</v>
      </c>
      <c r="N88" s="393">
        <v>5169</v>
      </c>
      <c r="O88" s="393">
        <v>5345</v>
      </c>
      <c r="P88" s="393">
        <v>5527</v>
      </c>
      <c r="Q88" s="393"/>
      <c r="R88" s="393"/>
      <c r="S88" s="393"/>
      <c r="T88" s="393"/>
      <c r="U88" s="393"/>
      <c r="V88" s="394">
        <f t="shared" si="0"/>
        <v>15</v>
      </c>
    </row>
    <row r="89" spans="1:22" x14ac:dyDescent="0.2">
      <c r="A89" s="392" t="s">
        <v>324</v>
      </c>
      <c r="B89" s="393">
        <v>3563</v>
      </c>
      <c r="C89" s="393">
        <v>3689</v>
      </c>
      <c r="D89" s="393">
        <v>3819</v>
      </c>
      <c r="E89" s="393">
        <v>3954</v>
      </c>
      <c r="F89" s="393">
        <v>4093</v>
      </c>
      <c r="G89" s="393">
        <v>4237</v>
      </c>
      <c r="H89" s="393">
        <v>4387</v>
      </c>
      <c r="I89" s="393">
        <v>4541</v>
      </c>
      <c r="J89" s="393">
        <v>4701</v>
      </c>
      <c r="K89" s="393">
        <v>4867</v>
      </c>
      <c r="L89" s="393">
        <v>5039</v>
      </c>
      <c r="M89" s="393">
        <v>5216</v>
      </c>
      <c r="N89" s="393">
        <v>5400</v>
      </c>
      <c r="O89" s="393">
        <v>5590</v>
      </c>
      <c r="P89" s="393">
        <v>5787</v>
      </c>
      <c r="Q89" s="393">
        <v>5990</v>
      </c>
      <c r="R89" s="393"/>
      <c r="S89" s="393"/>
      <c r="T89" s="393"/>
      <c r="U89" s="393"/>
      <c r="V89" s="394">
        <f t="shared" si="0"/>
        <v>16</v>
      </c>
    </row>
    <row r="90" spans="1:22" x14ac:dyDescent="0.2">
      <c r="A90" s="392" t="s">
        <v>325</v>
      </c>
      <c r="B90" s="393">
        <v>3668</v>
      </c>
      <c r="C90" s="393">
        <v>3784</v>
      </c>
      <c r="D90" s="393">
        <v>3903</v>
      </c>
      <c r="E90" s="393">
        <v>4026</v>
      </c>
      <c r="F90" s="393">
        <v>4153</v>
      </c>
      <c r="G90" s="393">
        <v>4284</v>
      </c>
      <c r="H90" s="393">
        <v>4419</v>
      </c>
      <c r="I90" s="393">
        <v>4558</v>
      </c>
      <c r="J90" s="393">
        <v>4702</v>
      </c>
      <c r="K90" s="393">
        <v>4850</v>
      </c>
      <c r="L90" s="393">
        <v>5003</v>
      </c>
      <c r="M90" s="393">
        <v>5161</v>
      </c>
      <c r="N90" s="393">
        <v>5324</v>
      </c>
      <c r="O90" s="393">
        <v>5491</v>
      </c>
      <c r="P90" s="393">
        <v>5665</v>
      </c>
      <c r="Q90" s="393">
        <v>5843</v>
      </c>
      <c r="R90" s="393">
        <v>6027</v>
      </c>
      <c r="S90" s="393">
        <v>6217</v>
      </c>
      <c r="T90" s="393"/>
      <c r="U90" s="393"/>
      <c r="V90" s="394">
        <f t="shared" si="0"/>
        <v>18</v>
      </c>
    </row>
    <row r="91" spans="1:22" x14ac:dyDescent="0.2">
      <c r="A91" s="392" t="s">
        <v>326</v>
      </c>
      <c r="B91" s="393">
        <v>3424</v>
      </c>
      <c r="C91" s="393">
        <v>3676</v>
      </c>
      <c r="D91" s="393">
        <v>3912</v>
      </c>
      <c r="E91" s="393">
        <v>4162</v>
      </c>
      <c r="F91" s="393">
        <v>4422</v>
      </c>
      <c r="G91" s="393">
        <v>4668</v>
      </c>
      <c r="H91" s="393">
        <v>4914</v>
      </c>
      <c r="I91" s="393">
        <v>5037</v>
      </c>
      <c r="J91" s="393">
        <v>5157</v>
      </c>
      <c r="K91" s="393">
        <v>5280</v>
      </c>
      <c r="L91" s="393">
        <v>5435</v>
      </c>
      <c r="M91" s="393">
        <v>5589</v>
      </c>
      <c r="N91" s="393">
        <v>5743</v>
      </c>
      <c r="O91" s="393">
        <v>5898</v>
      </c>
      <c r="P91" s="393">
        <v>6054</v>
      </c>
      <c r="Q91" s="393">
        <v>6218</v>
      </c>
      <c r="R91" s="393">
        <v>6386</v>
      </c>
      <c r="S91" s="393">
        <v>6559</v>
      </c>
      <c r="T91" s="393"/>
      <c r="U91" s="393"/>
      <c r="V91" s="394">
        <f t="shared" si="0"/>
        <v>18</v>
      </c>
    </row>
    <row r="92" spans="1:22" x14ac:dyDescent="0.2">
      <c r="A92" s="392" t="s">
        <v>2</v>
      </c>
      <c r="B92" s="393">
        <v>3018</v>
      </c>
      <c r="C92" s="393">
        <v>3134</v>
      </c>
      <c r="D92" s="393">
        <v>3253</v>
      </c>
      <c r="E92" s="393">
        <v>3368</v>
      </c>
      <c r="F92" s="393">
        <v>3484</v>
      </c>
      <c r="G92" s="393">
        <v>3603</v>
      </c>
      <c r="H92" s="393">
        <v>3719</v>
      </c>
      <c r="I92" s="393">
        <v>3836</v>
      </c>
      <c r="J92" s="393">
        <v>3951</v>
      </c>
      <c r="K92" s="393">
        <v>4069</v>
      </c>
      <c r="L92" s="393">
        <v>4187</v>
      </c>
      <c r="M92" s="393">
        <v>4303</v>
      </c>
      <c r="N92" s="393">
        <v>4422</v>
      </c>
      <c r="O92" s="393"/>
      <c r="P92" s="393"/>
      <c r="Q92" s="393"/>
      <c r="R92" s="393"/>
      <c r="S92" s="393"/>
      <c r="T92" s="395"/>
      <c r="U92" s="395"/>
      <c r="V92" s="394">
        <f t="shared" si="0"/>
        <v>13</v>
      </c>
    </row>
    <row r="93" spans="1:22" x14ac:dyDescent="0.2">
      <c r="A93" s="392" t="s">
        <v>3</v>
      </c>
      <c r="B93" s="393">
        <v>3134</v>
      </c>
      <c r="C93" s="393">
        <v>3368</v>
      </c>
      <c r="D93" s="393">
        <v>3603</v>
      </c>
      <c r="E93" s="393">
        <v>3719</v>
      </c>
      <c r="F93" s="393">
        <v>3836</v>
      </c>
      <c r="G93" s="393">
        <v>3951</v>
      </c>
      <c r="H93" s="393">
        <v>4069</v>
      </c>
      <c r="I93" s="393">
        <v>4187</v>
      </c>
      <c r="J93" s="393">
        <v>4303</v>
      </c>
      <c r="K93" s="393">
        <v>4422</v>
      </c>
      <c r="L93" s="393">
        <v>4539</v>
      </c>
      <c r="M93" s="393">
        <v>4654</v>
      </c>
      <c r="N93" s="393">
        <v>4771</v>
      </c>
      <c r="O93" s="393">
        <v>4887</v>
      </c>
      <c r="P93" s="393">
        <v>5006</v>
      </c>
      <c r="Q93" s="393"/>
      <c r="R93" s="393"/>
      <c r="S93" s="393"/>
      <c r="T93" s="395"/>
      <c r="U93" s="395"/>
      <c r="V93" s="394">
        <f t="shared" si="0"/>
        <v>15</v>
      </c>
    </row>
    <row r="94" spans="1:22" x14ac:dyDescent="0.2">
      <c r="A94" s="392" t="s">
        <v>4</v>
      </c>
      <c r="B94" s="393">
        <v>3134</v>
      </c>
      <c r="C94" s="393">
        <v>3368</v>
      </c>
      <c r="D94" s="393">
        <v>3603</v>
      </c>
      <c r="E94" s="393">
        <v>3719</v>
      </c>
      <c r="F94" s="393">
        <v>3836</v>
      </c>
      <c r="G94" s="393">
        <v>3951</v>
      </c>
      <c r="H94" s="393">
        <v>4069</v>
      </c>
      <c r="I94" s="393">
        <v>4187</v>
      </c>
      <c r="J94" s="393">
        <v>4303</v>
      </c>
      <c r="K94" s="393">
        <v>4422</v>
      </c>
      <c r="L94" s="393">
        <v>4539</v>
      </c>
      <c r="M94" s="393">
        <v>4654</v>
      </c>
      <c r="N94" s="393">
        <v>4771</v>
      </c>
      <c r="O94" s="393">
        <v>4887</v>
      </c>
      <c r="P94" s="393">
        <v>5006</v>
      </c>
      <c r="Q94" s="393">
        <v>5122</v>
      </c>
      <c r="R94" s="393">
        <v>5240</v>
      </c>
      <c r="S94" s="393"/>
      <c r="T94" s="395"/>
      <c r="U94" s="395"/>
      <c r="V94" s="394">
        <f t="shared" si="0"/>
        <v>17</v>
      </c>
    </row>
    <row r="95" spans="1:22" x14ac:dyDescent="0.2">
      <c r="A95" s="392" t="s">
        <v>5</v>
      </c>
      <c r="B95" s="393">
        <v>3253</v>
      </c>
      <c r="C95" s="393">
        <v>3603</v>
      </c>
      <c r="D95" s="393">
        <v>3863</v>
      </c>
      <c r="E95" s="393">
        <v>4069</v>
      </c>
      <c r="F95" s="393">
        <v>4303</v>
      </c>
      <c r="G95" s="393">
        <v>4422</v>
      </c>
      <c r="H95" s="393">
        <v>4539</v>
      </c>
      <c r="I95" s="393">
        <v>4654</v>
      </c>
      <c r="J95" s="393">
        <v>4771</v>
      </c>
      <c r="K95" s="393">
        <v>4887</v>
      </c>
      <c r="L95" s="393">
        <v>5006</v>
      </c>
      <c r="M95" s="393">
        <v>5122</v>
      </c>
      <c r="N95" s="393">
        <v>5240</v>
      </c>
      <c r="O95" s="393">
        <v>5355</v>
      </c>
      <c r="P95" s="393">
        <v>5472</v>
      </c>
      <c r="Q95" s="393">
        <v>5591</v>
      </c>
      <c r="R95" s="393"/>
      <c r="S95" s="393"/>
      <c r="T95" s="395"/>
      <c r="U95" s="395"/>
      <c r="V95" s="394">
        <f t="shared" si="0"/>
        <v>16</v>
      </c>
    </row>
    <row r="96" spans="1:22" x14ac:dyDescent="0.2">
      <c r="A96" s="392" t="s">
        <v>6</v>
      </c>
      <c r="B96" s="393">
        <v>3253</v>
      </c>
      <c r="C96" s="393">
        <v>3603</v>
      </c>
      <c r="D96" s="393">
        <v>3863</v>
      </c>
      <c r="E96" s="393">
        <v>4069</v>
      </c>
      <c r="F96" s="393">
        <v>4303</v>
      </c>
      <c r="G96" s="393">
        <v>4422</v>
      </c>
      <c r="H96" s="393">
        <v>4539</v>
      </c>
      <c r="I96" s="393">
        <v>4654</v>
      </c>
      <c r="J96" s="393">
        <v>4771</v>
      </c>
      <c r="K96" s="393">
        <v>4887</v>
      </c>
      <c r="L96" s="393">
        <v>5006</v>
      </c>
      <c r="M96" s="393">
        <v>5122</v>
      </c>
      <c r="N96" s="393">
        <v>5240</v>
      </c>
      <c r="O96" s="393">
        <v>5355</v>
      </c>
      <c r="P96" s="393">
        <v>5472</v>
      </c>
      <c r="Q96" s="393">
        <v>5591</v>
      </c>
      <c r="R96" s="393">
        <v>5707</v>
      </c>
      <c r="S96" s="393">
        <v>5823</v>
      </c>
      <c r="T96" s="395"/>
      <c r="U96" s="395"/>
      <c r="V96" s="394">
        <f t="shared" si="0"/>
        <v>18</v>
      </c>
    </row>
    <row r="97" spans="1:39" x14ac:dyDescent="0.2">
      <c r="A97" s="392" t="s">
        <v>7</v>
      </c>
      <c r="B97" s="393">
        <v>3302</v>
      </c>
      <c r="C97" s="393">
        <v>3545</v>
      </c>
      <c r="D97" s="393">
        <v>3793</v>
      </c>
      <c r="E97" s="393">
        <v>4031</v>
      </c>
      <c r="F97" s="393">
        <v>4294</v>
      </c>
      <c r="G97" s="393">
        <v>4422</v>
      </c>
      <c r="H97" s="393">
        <v>4544</v>
      </c>
      <c r="I97" s="393">
        <v>4668</v>
      </c>
      <c r="J97" s="393">
        <v>4786</v>
      </c>
      <c r="K97" s="393">
        <v>4919</v>
      </c>
      <c r="L97" s="393">
        <v>5037</v>
      </c>
      <c r="M97" s="393">
        <v>5157</v>
      </c>
      <c r="N97" s="393">
        <v>5280</v>
      </c>
      <c r="O97" s="393">
        <v>5435</v>
      </c>
      <c r="P97" s="393">
        <v>5589</v>
      </c>
      <c r="Q97" s="393">
        <v>5743</v>
      </c>
      <c r="R97" s="393">
        <v>5898</v>
      </c>
      <c r="S97" s="393">
        <v>5972</v>
      </c>
      <c r="T97" s="395"/>
      <c r="U97" s="395"/>
      <c r="V97" s="394">
        <f t="shared" si="0"/>
        <v>18</v>
      </c>
    </row>
    <row r="98" spans="1:39" x14ac:dyDescent="0.2">
      <c r="A98" s="392" t="s">
        <v>8</v>
      </c>
      <c r="B98" s="393">
        <v>3424</v>
      </c>
      <c r="C98" s="393">
        <v>3676</v>
      </c>
      <c r="D98" s="393">
        <v>3912</v>
      </c>
      <c r="E98" s="393">
        <v>4162</v>
      </c>
      <c r="F98" s="393">
        <v>4422</v>
      </c>
      <c r="G98" s="393">
        <v>4668</v>
      </c>
      <c r="H98" s="393">
        <v>4914</v>
      </c>
      <c r="I98" s="393">
        <v>5037</v>
      </c>
      <c r="J98" s="393">
        <v>5157</v>
      </c>
      <c r="K98" s="393">
        <v>5280</v>
      </c>
      <c r="L98" s="393">
        <v>5435</v>
      </c>
      <c r="M98" s="393">
        <v>5589</v>
      </c>
      <c r="N98" s="393">
        <v>5743</v>
      </c>
      <c r="O98" s="393">
        <v>5898</v>
      </c>
      <c r="P98" s="393">
        <v>6054</v>
      </c>
      <c r="Q98" s="393">
        <v>6218</v>
      </c>
      <c r="R98" s="393">
        <v>6386</v>
      </c>
      <c r="S98" s="393">
        <v>6559</v>
      </c>
      <c r="T98" s="395"/>
      <c r="U98" s="395"/>
      <c r="V98" s="394">
        <f>COUNTA(B98:U98)</f>
        <v>18</v>
      </c>
      <c r="X98" s="235"/>
      <c r="Y98" s="235"/>
      <c r="Z98" s="235"/>
      <c r="AA98" s="235"/>
      <c r="AB98" s="235"/>
      <c r="AC98" s="235"/>
      <c r="AD98" s="235"/>
      <c r="AE98" s="235"/>
      <c r="AF98" s="235"/>
      <c r="AG98" s="235"/>
      <c r="AH98" s="235"/>
      <c r="AI98" s="235"/>
      <c r="AJ98" s="235"/>
      <c r="AK98" s="235"/>
      <c r="AL98" s="235"/>
      <c r="AM98" s="50"/>
    </row>
    <row r="99" spans="1:39" x14ac:dyDescent="0.2">
      <c r="A99" s="396" t="s">
        <v>52</v>
      </c>
      <c r="B99" s="395">
        <v>1653.6</v>
      </c>
      <c r="C99" s="395">
        <v>1683</v>
      </c>
      <c r="D99" s="395">
        <v>1752</v>
      </c>
      <c r="E99" s="395">
        <v>1784</v>
      </c>
      <c r="F99" s="395">
        <v>1820</v>
      </c>
      <c r="G99" s="395">
        <v>1858</v>
      </c>
      <c r="H99" s="395">
        <v>1907</v>
      </c>
      <c r="I99" s="395"/>
      <c r="J99" s="397"/>
      <c r="K99" s="397"/>
      <c r="L99" s="397"/>
      <c r="M99" s="397"/>
      <c r="N99" s="397"/>
      <c r="O99" s="397"/>
      <c r="P99" s="397"/>
      <c r="Q99" s="397"/>
      <c r="R99" s="397"/>
      <c r="S99" s="397"/>
      <c r="T99" s="397"/>
      <c r="U99" s="395"/>
      <c r="V99" s="394">
        <f t="shared" ref="V99:V130" si="1">COUNTA(B99:U99)</f>
        <v>7</v>
      </c>
      <c r="X99" s="235"/>
      <c r="Y99" s="235"/>
      <c r="Z99" s="235"/>
      <c r="AA99" s="235"/>
      <c r="AB99" s="235"/>
      <c r="AC99" s="235"/>
      <c r="AD99" s="235"/>
      <c r="AE99" s="235"/>
      <c r="AF99" s="235"/>
      <c r="AG99" s="235"/>
      <c r="AH99" s="235"/>
      <c r="AI99" s="235"/>
      <c r="AJ99" s="235"/>
      <c r="AK99" s="235"/>
      <c r="AL99" s="235"/>
      <c r="AM99" s="50"/>
    </row>
    <row r="100" spans="1:39" x14ac:dyDescent="0.2">
      <c r="A100" s="398" t="s">
        <v>53</v>
      </c>
      <c r="B100" s="395">
        <v>1653.6</v>
      </c>
      <c r="C100" s="395">
        <v>1718</v>
      </c>
      <c r="D100" s="395">
        <v>1784</v>
      </c>
      <c r="E100" s="395">
        <v>1858</v>
      </c>
      <c r="F100" s="395">
        <v>1907</v>
      </c>
      <c r="G100" s="395">
        <v>1963</v>
      </c>
      <c r="H100" s="395">
        <v>2031</v>
      </c>
      <c r="I100" s="395">
        <v>2096</v>
      </c>
      <c r="J100" s="397"/>
      <c r="K100" s="397"/>
      <c r="L100" s="397"/>
      <c r="M100" s="397"/>
      <c r="N100" s="397"/>
      <c r="O100" s="397"/>
      <c r="P100" s="397"/>
      <c r="Q100" s="397"/>
      <c r="R100" s="397"/>
      <c r="S100" s="397"/>
      <c r="T100" s="397"/>
      <c r="U100" s="395"/>
      <c r="V100" s="394">
        <f t="shared" si="1"/>
        <v>8</v>
      </c>
      <c r="X100" s="235"/>
      <c r="Y100" s="235"/>
      <c r="Z100" s="235"/>
      <c r="AA100" s="235"/>
      <c r="AB100" s="235"/>
      <c r="AC100" s="235"/>
      <c r="AD100" s="235"/>
      <c r="AE100" s="235"/>
      <c r="AF100" s="235"/>
      <c r="AG100" s="235"/>
      <c r="AH100" s="235"/>
      <c r="AI100" s="235"/>
      <c r="AJ100" s="235"/>
      <c r="AK100" s="235"/>
      <c r="AL100" s="235"/>
      <c r="AM100" s="50"/>
    </row>
    <row r="101" spans="1:39" x14ac:dyDescent="0.2">
      <c r="A101" s="398" t="s">
        <v>54</v>
      </c>
      <c r="B101" s="395">
        <v>1653.6</v>
      </c>
      <c r="C101" s="395">
        <v>1784</v>
      </c>
      <c r="D101" s="395">
        <v>1858</v>
      </c>
      <c r="E101" s="395">
        <v>1963</v>
      </c>
      <c r="F101" s="395">
        <v>2031</v>
      </c>
      <c r="G101" s="395">
        <v>2096</v>
      </c>
      <c r="H101" s="395">
        <v>2160</v>
      </c>
      <c r="I101" s="395"/>
      <c r="J101" s="397"/>
      <c r="K101" s="397"/>
      <c r="L101" s="397"/>
      <c r="M101" s="397"/>
      <c r="N101" s="397"/>
      <c r="O101" s="397"/>
      <c r="P101" s="397"/>
      <c r="Q101" s="397"/>
      <c r="R101" s="397"/>
      <c r="S101" s="397"/>
      <c r="T101" s="397"/>
      <c r="U101" s="395"/>
      <c r="V101" s="394">
        <f t="shared" si="1"/>
        <v>7</v>
      </c>
      <c r="X101" s="235"/>
      <c r="Y101" s="235"/>
      <c r="Z101" s="235"/>
      <c r="AA101" s="235"/>
      <c r="AB101" s="235"/>
      <c r="AC101" s="235"/>
      <c r="AD101" s="235"/>
      <c r="AE101" s="235"/>
      <c r="AF101" s="235"/>
      <c r="AG101" s="235"/>
      <c r="AH101" s="235"/>
      <c r="AI101" s="235"/>
      <c r="AJ101" s="235"/>
      <c r="AK101" s="235"/>
      <c r="AL101" s="235"/>
      <c r="AM101" s="50"/>
    </row>
    <row r="102" spans="1:39" x14ac:dyDescent="0.2">
      <c r="A102" s="398" t="s">
        <v>316</v>
      </c>
      <c r="B102" s="395">
        <v>1653.6</v>
      </c>
      <c r="C102" s="395">
        <v>1709</v>
      </c>
      <c r="D102" s="395">
        <v>1764</v>
      </c>
      <c r="E102" s="395">
        <v>1819</v>
      </c>
      <c r="F102" s="395"/>
      <c r="G102" s="395"/>
      <c r="H102" s="395"/>
      <c r="I102" s="395"/>
      <c r="J102" s="395"/>
      <c r="K102" s="397"/>
      <c r="L102" s="397"/>
      <c r="M102" s="397"/>
      <c r="N102" s="397"/>
      <c r="O102" s="397"/>
      <c r="P102" s="397"/>
      <c r="Q102" s="397"/>
      <c r="R102" s="397"/>
      <c r="S102" s="397"/>
      <c r="T102" s="397"/>
      <c r="U102" s="395"/>
      <c r="V102" s="394">
        <f t="shared" si="1"/>
        <v>4</v>
      </c>
    </row>
    <row r="103" spans="1:39" x14ac:dyDescent="0.2">
      <c r="A103" s="392" t="s">
        <v>164</v>
      </c>
      <c r="B103" s="393">
        <v>2678</v>
      </c>
      <c r="C103" s="393">
        <v>2761</v>
      </c>
      <c r="D103" s="393">
        <v>2846</v>
      </c>
      <c r="E103" s="393">
        <v>2935</v>
      </c>
      <c r="F103" s="393">
        <v>3026</v>
      </c>
      <c r="G103" s="393">
        <v>3119</v>
      </c>
      <c r="H103" s="393">
        <v>3217</v>
      </c>
      <c r="I103" s="393">
        <v>3316</v>
      </c>
      <c r="J103" s="393">
        <v>3419</v>
      </c>
      <c r="K103" s="393">
        <v>3525</v>
      </c>
      <c r="L103" s="393">
        <v>3634</v>
      </c>
      <c r="M103" s="393">
        <v>3747</v>
      </c>
      <c r="N103" s="393">
        <v>3862</v>
      </c>
      <c r="O103" s="393">
        <v>3982</v>
      </c>
      <c r="P103" s="393">
        <v>4113</v>
      </c>
      <c r="Q103" s="397"/>
      <c r="R103" s="397"/>
      <c r="S103" s="397"/>
      <c r="T103" s="397"/>
      <c r="U103" s="395"/>
      <c r="V103" s="394">
        <f t="shared" si="1"/>
        <v>15</v>
      </c>
    </row>
    <row r="104" spans="1:39" x14ac:dyDescent="0.2">
      <c r="A104" s="392" t="s">
        <v>165</v>
      </c>
      <c r="B104" s="393">
        <v>2758</v>
      </c>
      <c r="C104" s="393">
        <v>2851</v>
      </c>
      <c r="D104" s="393">
        <v>2948</v>
      </c>
      <c r="E104" s="393">
        <v>3047</v>
      </c>
      <c r="F104" s="393">
        <v>3150</v>
      </c>
      <c r="G104" s="393">
        <v>3257</v>
      </c>
      <c r="H104" s="393">
        <v>3367</v>
      </c>
      <c r="I104" s="393">
        <v>3481</v>
      </c>
      <c r="J104" s="393">
        <v>3598</v>
      </c>
      <c r="K104" s="393">
        <v>3720</v>
      </c>
      <c r="L104" s="393">
        <v>3845</v>
      </c>
      <c r="M104" s="393">
        <v>3976</v>
      </c>
      <c r="N104" s="393">
        <v>4110</v>
      </c>
      <c r="O104" s="393">
        <v>4249</v>
      </c>
      <c r="P104" s="393">
        <v>4434</v>
      </c>
      <c r="Q104" s="397"/>
      <c r="R104" s="397"/>
      <c r="S104" s="397"/>
      <c r="T104" s="397"/>
      <c r="U104" s="395"/>
      <c r="V104" s="394">
        <f t="shared" si="1"/>
        <v>15</v>
      </c>
    </row>
    <row r="105" spans="1:39" x14ac:dyDescent="0.2">
      <c r="A105" s="392" t="s">
        <v>166</v>
      </c>
      <c r="B105" s="393">
        <v>2812</v>
      </c>
      <c r="C105" s="393">
        <v>2933</v>
      </c>
      <c r="D105" s="393">
        <v>3059</v>
      </c>
      <c r="E105" s="393">
        <v>3190</v>
      </c>
      <c r="F105" s="393">
        <v>3327</v>
      </c>
      <c r="G105" s="393">
        <v>3470</v>
      </c>
      <c r="H105" s="393">
        <v>3619</v>
      </c>
      <c r="I105" s="393">
        <v>3776</v>
      </c>
      <c r="J105" s="393">
        <v>3937</v>
      </c>
      <c r="K105" s="393">
        <v>4107</v>
      </c>
      <c r="L105" s="393">
        <v>4283</v>
      </c>
      <c r="M105" s="393">
        <v>4468</v>
      </c>
      <c r="N105" s="393">
        <v>4660</v>
      </c>
      <c r="O105" s="393">
        <v>4861</v>
      </c>
      <c r="P105" s="393">
        <v>5070</v>
      </c>
      <c r="Q105" s="397"/>
      <c r="R105" s="397"/>
      <c r="S105" s="397"/>
      <c r="T105" s="397"/>
      <c r="U105" s="395"/>
      <c r="V105" s="394">
        <f t="shared" si="1"/>
        <v>15</v>
      </c>
    </row>
    <row r="106" spans="1:39" x14ac:dyDescent="0.2">
      <c r="A106" s="392" t="s">
        <v>167</v>
      </c>
      <c r="B106" s="393">
        <v>2812</v>
      </c>
      <c r="C106" s="393">
        <v>2933</v>
      </c>
      <c r="D106" s="393">
        <v>3094</v>
      </c>
      <c r="E106" s="393">
        <v>3265</v>
      </c>
      <c r="F106" s="393">
        <v>3436</v>
      </c>
      <c r="G106" s="393">
        <v>3615</v>
      </c>
      <c r="H106" s="393">
        <v>3800</v>
      </c>
      <c r="I106" s="393">
        <v>3989</v>
      </c>
      <c r="J106" s="393">
        <v>4187</v>
      </c>
      <c r="K106" s="393">
        <v>4393</v>
      </c>
      <c r="L106" s="393">
        <v>4605</v>
      </c>
      <c r="M106" s="393">
        <v>4823</v>
      </c>
      <c r="N106" s="393">
        <v>5050</v>
      </c>
      <c r="O106" s="393">
        <v>5283</v>
      </c>
      <c r="P106" s="393">
        <v>5532</v>
      </c>
      <c r="Q106" s="397"/>
      <c r="R106" s="397"/>
      <c r="S106" s="397"/>
      <c r="T106" s="397"/>
      <c r="U106" s="395"/>
      <c r="V106" s="394">
        <f t="shared" si="1"/>
        <v>15</v>
      </c>
    </row>
    <row r="107" spans="1:39" x14ac:dyDescent="0.2">
      <c r="A107" s="392" t="s">
        <v>168</v>
      </c>
      <c r="B107" s="393">
        <v>3544</v>
      </c>
      <c r="C107" s="393">
        <v>3677</v>
      </c>
      <c r="D107" s="393">
        <v>3796</v>
      </c>
      <c r="E107" s="393">
        <v>4035</v>
      </c>
      <c r="F107" s="393">
        <v>4299</v>
      </c>
      <c r="G107" s="393">
        <v>4466</v>
      </c>
      <c r="H107" s="393">
        <v>4635</v>
      </c>
      <c r="I107" s="393">
        <v>4803</v>
      </c>
      <c r="J107" s="393">
        <v>4972</v>
      </c>
      <c r="K107" s="393">
        <v>5139</v>
      </c>
      <c r="L107" s="393">
        <v>5310</v>
      </c>
      <c r="M107" s="393">
        <v>5479</v>
      </c>
      <c r="N107" s="393">
        <v>5648</v>
      </c>
      <c r="O107" s="393">
        <v>5816</v>
      </c>
      <c r="P107" s="393">
        <v>5990</v>
      </c>
      <c r="Q107" s="397"/>
      <c r="R107" s="397"/>
      <c r="S107" s="397"/>
      <c r="T107" s="397"/>
      <c r="U107" s="395"/>
      <c r="V107" s="394">
        <f t="shared" si="1"/>
        <v>15</v>
      </c>
    </row>
    <row r="108" spans="1:39" x14ac:dyDescent="0.2">
      <c r="A108" s="398" t="s">
        <v>13</v>
      </c>
      <c r="B108" s="395">
        <f>0.5*B103</f>
        <v>1339</v>
      </c>
      <c r="C108" s="399"/>
      <c r="D108" s="399"/>
      <c r="E108" s="399"/>
      <c r="F108" s="399"/>
      <c r="G108" s="399"/>
      <c r="H108" s="399"/>
      <c r="I108" s="399"/>
      <c r="J108" s="399"/>
      <c r="K108" s="399"/>
      <c r="L108" s="399"/>
      <c r="M108" s="399"/>
      <c r="N108" s="399"/>
      <c r="O108" s="399"/>
      <c r="P108" s="399"/>
      <c r="Q108" s="397"/>
      <c r="R108" s="400"/>
      <c r="S108" s="400"/>
      <c r="T108" s="400"/>
      <c r="U108" s="399"/>
      <c r="V108" s="394">
        <f t="shared" si="1"/>
        <v>1</v>
      </c>
    </row>
    <row r="109" spans="1:39" x14ac:dyDescent="0.2">
      <c r="A109" s="398" t="s">
        <v>14</v>
      </c>
      <c r="B109" s="395">
        <f>0.5*B104</f>
        <v>1379</v>
      </c>
      <c r="C109" s="399"/>
      <c r="D109" s="399"/>
      <c r="E109" s="399"/>
      <c r="F109" s="399"/>
      <c r="G109" s="399"/>
      <c r="H109" s="399"/>
      <c r="I109" s="399"/>
      <c r="J109" s="399"/>
      <c r="K109" s="399"/>
      <c r="L109" s="399"/>
      <c r="M109" s="399"/>
      <c r="N109" s="399"/>
      <c r="O109" s="399"/>
      <c r="P109" s="399"/>
      <c r="Q109" s="397"/>
      <c r="R109" s="400"/>
      <c r="S109" s="400"/>
      <c r="T109" s="400"/>
      <c r="U109" s="399"/>
      <c r="V109" s="394">
        <f t="shared" si="1"/>
        <v>1</v>
      </c>
    </row>
    <row r="110" spans="1:39" x14ac:dyDescent="0.2">
      <c r="A110" s="401" t="s">
        <v>51</v>
      </c>
      <c r="B110" s="393">
        <v>3018</v>
      </c>
      <c r="C110" s="393">
        <v>3134</v>
      </c>
      <c r="D110" s="393">
        <v>3253</v>
      </c>
      <c r="E110" s="393">
        <v>3368</v>
      </c>
      <c r="F110" s="393">
        <v>3484</v>
      </c>
      <c r="G110" s="393">
        <v>3603</v>
      </c>
      <c r="H110" s="393">
        <v>3719</v>
      </c>
      <c r="I110" s="393">
        <v>3836</v>
      </c>
      <c r="J110" s="393">
        <v>3951</v>
      </c>
      <c r="K110" s="393">
        <v>4069</v>
      </c>
      <c r="L110" s="393">
        <v>4187</v>
      </c>
      <c r="M110" s="393"/>
      <c r="N110" s="393"/>
      <c r="O110" s="393"/>
      <c r="P110" s="393"/>
      <c r="Q110" s="397"/>
      <c r="R110" s="397"/>
      <c r="S110" s="397"/>
      <c r="T110" s="397"/>
      <c r="U110" s="395"/>
      <c r="V110" s="394">
        <f t="shared" si="1"/>
        <v>11</v>
      </c>
    </row>
    <row r="111" spans="1:39" x14ac:dyDescent="0.2">
      <c r="A111" s="401" t="s">
        <v>47</v>
      </c>
      <c r="B111" s="393">
        <v>3134</v>
      </c>
      <c r="C111" s="393">
        <v>3368</v>
      </c>
      <c r="D111" s="393">
        <v>3603</v>
      </c>
      <c r="E111" s="393">
        <v>3719</v>
      </c>
      <c r="F111" s="393">
        <v>3836</v>
      </c>
      <c r="G111" s="393">
        <v>3951</v>
      </c>
      <c r="H111" s="393">
        <v>4069</v>
      </c>
      <c r="I111" s="393">
        <v>4187</v>
      </c>
      <c r="J111" s="393">
        <v>4303</v>
      </c>
      <c r="K111" s="393">
        <v>4422</v>
      </c>
      <c r="L111" s="393"/>
      <c r="M111" s="393"/>
      <c r="N111" s="393"/>
      <c r="O111" s="393"/>
      <c r="P111" s="393"/>
      <c r="Q111" s="397"/>
      <c r="R111" s="397"/>
      <c r="S111" s="397"/>
      <c r="T111" s="397"/>
      <c r="U111" s="395"/>
      <c r="V111" s="394">
        <f t="shared" si="1"/>
        <v>10</v>
      </c>
    </row>
    <row r="112" spans="1:39" x14ac:dyDescent="0.2">
      <c r="A112" s="401" t="s">
        <v>48</v>
      </c>
      <c r="B112" s="393">
        <v>3134</v>
      </c>
      <c r="C112" s="393">
        <v>3368</v>
      </c>
      <c r="D112" s="393">
        <v>3603</v>
      </c>
      <c r="E112" s="393">
        <v>3719</v>
      </c>
      <c r="F112" s="393">
        <v>3836</v>
      </c>
      <c r="G112" s="393">
        <v>3951</v>
      </c>
      <c r="H112" s="393">
        <v>4069</v>
      </c>
      <c r="I112" s="393">
        <v>4187</v>
      </c>
      <c r="J112" s="393">
        <v>4303</v>
      </c>
      <c r="K112" s="393">
        <v>4422</v>
      </c>
      <c r="L112" s="393">
        <v>4539</v>
      </c>
      <c r="M112" s="393"/>
      <c r="N112" s="393"/>
      <c r="O112" s="393"/>
      <c r="P112" s="393"/>
      <c r="Q112" s="397"/>
      <c r="R112" s="397"/>
      <c r="S112" s="397"/>
      <c r="T112" s="397"/>
      <c r="U112" s="395"/>
      <c r="V112" s="394">
        <f t="shared" si="1"/>
        <v>11</v>
      </c>
    </row>
    <row r="113" spans="1:22" x14ac:dyDescent="0.2">
      <c r="A113" s="401" t="s">
        <v>49</v>
      </c>
      <c r="B113" s="393">
        <v>3253</v>
      </c>
      <c r="C113" s="393">
        <v>3603</v>
      </c>
      <c r="D113" s="393">
        <v>3863</v>
      </c>
      <c r="E113" s="393">
        <v>4069</v>
      </c>
      <c r="F113" s="393">
        <v>4303</v>
      </c>
      <c r="G113" s="393">
        <v>4422</v>
      </c>
      <c r="H113" s="393">
        <v>4539</v>
      </c>
      <c r="I113" s="393">
        <v>4654</v>
      </c>
      <c r="J113" s="393">
        <v>4771</v>
      </c>
      <c r="K113" s="393">
        <v>4887</v>
      </c>
      <c r="L113" s="393">
        <v>5006</v>
      </c>
      <c r="M113" s="393">
        <v>5122</v>
      </c>
      <c r="N113" s="393">
        <v>5240</v>
      </c>
      <c r="O113" s="393"/>
      <c r="P113" s="393"/>
      <c r="Q113" s="397"/>
      <c r="R113" s="397"/>
      <c r="S113" s="397"/>
      <c r="T113" s="397"/>
      <c r="U113" s="395"/>
      <c r="V113" s="394">
        <f t="shared" si="1"/>
        <v>13</v>
      </c>
    </row>
    <row r="114" spans="1:22" x14ac:dyDescent="0.2">
      <c r="A114" s="401" t="s">
        <v>50</v>
      </c>
      <c r="B114" s="393">
        <v>3253</v>
      </c>
      <c r="C114" s="393">
        <v>3603</v>
      </c>
      <c r="D114" s="393">
        <v>3863</v>
      </c>
      <c r="E114" s="393">
        <v>4069</v>
      </c>
      <c r="F114" s="393">
        <v>4303</v>
      </c>
      <c r="G114" s="393">
        <v>4422</v>
      </c>
      <c r="H114" s="393">
        <v>4539</v>
      </c>
      <c r="I114" s="393">
        <v>4654</v>
      </c>
      <c r="J114" s="393">
        <v>4771</v>
      </c>
      <c r="K114" s="393">
        <v>4887</v>
      </c>
      <c r="L114" s="393">
        <v>5006</v>
      </c>
      <c r="M114" s="393">
        <v>5122</v>
      </c>
      <c r="N114" s="393">
        <v>5240</v>
      </c>
      <c r="O114" s="393">
        <v>5355</v>
      </c>
      <c r="P114" s="393">
        <v>5472</v>
      </c>
      <c r="Q114" s="397"/>
      <c r="R114" s="397"/>
      <c r="S114" s="397"/>
      <c r="T114" s="397"/>
      <c r="U114" s="395"/>
      <c r="V114" s="394">
        <f t="shared" si="1"/>
        <v>15</v>
      </c>
    </row>
    <row r="115" spans="1:22" x14ac:dyDescent="0.2">
      <c r="A115" s="398">
        <v>1</v>
      </c>
      <c r="B115" s="395">
        <v>1686</v>
      </c>
      <c r="C115" s="395">
        <v>1715</v>
      </c>
      <c r="D115" s="393">
        <v>1784</v>
      </c>
      <c r="E115" s="393">
        <v>1816</v>
      </c>
      <c r="F115" s="393">
        <v>1853</v>
      </c>
      <c r="G115" s="393">
        <v>1890</v>
      </c>
      <c r="H115" s="393">
        <v>1939</v>
      </c>
      <c r="I115" s="393"/>
      <c r="J115" s="393"/>
      <c r="K115" s="393"/>
      <c r="L115" s="393"/>
      <c r="M115" s="393"/>
      <c r="N115" s="393"/>
      <c r="O115" s="393"/>
      <c r="P115" s="393"/>
      <c r="Q115" s="393"/>
      <c r="R115" s="393"/>
      <c r="S115" s="393"/>
      <c r="T115" s="397"/>
      <c r="U115" s="395"/>
      <c r="V115" s="394">
        <f t="shared" si="1"/>
        <v>7</v>
      </c>
    </row>
    <row r="116" spans="1:22" x14ac:dyDescent="0.2">
      <c r="A116" s="398">
        <v>2</v>
      </c>
      <c r="B116" s="395">
        <v>1686</v>
      </c>
      <c r="C116" s="393">
        <v>1750</v>
      </c>
      <c r="D116" s="393">
        <v>1816</v>
      </c>
      <c r="E116" s="393">
        <v>1890</v>
      </c>
      <c r="F116" s="393">
        <v>1939</v>
      </c>
      <c r="G116" s="393">
        <v>1995</v>
      </c>
      <c r="H116" s="393">
        <v>2063</v>
      </c>
      <c r="I116" s="393">
        <v>2128</v>
      </c>
      <c r="J116" s="393"/>
      <c r="K116" s="393"/>
      <c r="L116" s="393"/>
      <c r="M116" s="393"/>
      <c r="N116" s="393"/>
      <c r="O116" s="393"/>
      <c r="P116" s="393"/>
      <c r="Q116" s="393"/>
      <c r="R116" s="393"/>
      <c r="S116" s="393"/>
      <c r="T116" s="397"/>
      <c r="U116" s="395"/>
      <c r="V116" s="394">
        <f t="shared" si="1"/>
        <v>8</v>
      </c>
    </row>
    <row r="117" spans="1:22" x14ac:dyDescent="0.2">
      <c r="A117" s="398">
        <v>3</v>
      </c>
      <c r="B117" s="395">
        <v>1686</v>
      </c>
      <c r="C117" s="393">
        <v>1816</v>
      </c>
      <c r="D117" s="393">
        <v>1890</v>
      </c>
      <c r="E117" s="393">
        <v>1995</v>
      </c>
      <c r="F117" s="393">
        <v>2063</v>
      </c>
      <c r="G117" s="393">
        <v>2128</v>
      </c>
      <c r="H117" s="393">
        <v>2192</v>
      </c>
      <c r="I117" s="393">
        <v>2254</v>
      </c>
      <c r="J117" s="393">
        <v>2315</v>
      </c>
      <c r="K117" s="393"/>
      <c r="L117" s="393"/>
      <c r="M117" s="393"/>
      <c r="N117" s="393"/>
      <c r="O117" s="393"/>
      <c r="P117" s="393"/>
      <c r="Q117" s="393"/>
      <c r="R117" s="393"/>
      <c r="S117" s="393"/>
      <c r="T117" s="397"/>
      <c r="U117" s="395"/>
      <c r="V117" s="394">
        <f t="shared" si="1"/>
        <v>9</v>
      </c>
    </row>
    <row r="118" spans="1:22" x14ac:dyDescent="0.2">
      <c r="A118" s="398">
        <v>4</v>
      </c>
      <c r="B118" s="395">
        <v>1715</v>
      </c>
      <c r="C118" s="393">
        <v>1784</v>
      </c>
      <c r="D118" s="393">
        <v>1853</v>
      </c>
      <c r="E118" s="393">
        <v>1939</v>
      </c>
      <c r="F118" s="393">
        <v>2063</v>
      </c>
      <c r="G118" s="393">
        <v>2128</v>
      </c>
      <c r="H118" s="393">
        <v>2192</v>
      </c>
      <c r="I118" s="393">
        <v>2254</v>
      </c>
      <c r="J118" s="393">
        <v>2315</v>
      </c>
      <c r="K118" s="393">
        <v>2374</v>
      </c>
      <c r="L118" s="393">
        <v>2434</v>
      </c>
      <c r="M118" s="393"/>
      <c r="N118" s="393"/>
      <c r="O118" s="393"/>
      <c r="P118" s="393"/>
      <c r="Q118" s="393"/>
      <c r="R118" s="393"/>
      <c r="S118" s="393"/>
      <c r="T118" s="397"/>
      <c r="U118" s="395"/>
      <c r="V118" s="394">
        <f t="shared" si="1"/>
        <v>11</v>
      </c>
    </row>
    <row r="119" spans="1:22" x14ac:dyDescent="0.2">
      <c r="A119" s="398">
        <v>5</v>
      </c>
      <c r="B119" s="393">
        <v>1750</v>
      </c>
      <c r="C119" s="393">
        <v>1784</v>
      </c>
      <c r="D119" s="393">
        <v>1890</v>
      </c>
      <c r="E119" s="393">
        <v>1995</v>
      </c>
      <c r="F119" s="393">
        <v>2128</v>
      </c>
      <c r="G119" s="393">
        <v>2192</v>
      </c>
      <c r="H119" s="393">
        <v>2254</v>
      </c>
      <c r="I119" s="393">
        <v>2315</v>
      </c>
      <c r="J119" s="393">
        <v>2374</v>
      </c>
      <c r="K119" s="393">
        <v>2434</v>
      </c>
      <c r="L119" s="393">
        <v>2491</v>
      </c>
      <c r="M119" s="393">
        <v>2557</v>
      </c>
      <c r="N119" s="393"/>
      <c r="O119" s="393"/>
      <c r="P119" s="393"/>
      <c r="Q119" s="393"/>
      <c r="R119" s="393"/>
      <c r="S119" s="393"/>
      <c r="T119" s="397"/>
      <c r="U119" s="395"/>
      <c r="V119" s="394">
        <f t="shared" si="1"/>
        <v>12</v>
      </c>
    </row>
    <row r="120" spans="1:22" x14ac:dyDescent="0.2">
      <c r="A120" s="398">
        <v>6</v>
      </c>
      <c r="B120" s="393">
        <v>1816</v>
      </c>
      <c r="C120" s="393">
        <v>1890</v>
      </c>
      <c r="D120" s="393">
        <v>2128</v>
      </c>
      <c r="E120" s="393">
        <v>2254</v>
      </c>
      <c r="F120" s="393">
        <v>2315</v>
      </c>
      <c r="G120" s="393">
        <v>2374</v>
      </c>
      <c r="H120" s="393">
        <v>2434</v>
      </c>
      <c r="I120" s="393">
        <v>2491</v>
      </c>
      <c r="J120" s="393">
        <v>2557</v>
      </c>
      <c r="K120" s="393">
        <v>2618</v>
      </c>
      <c r="L120" s="393">
        <v>2677</v>
      </c>
      <c r="M120" s="393"/>
      <c r="N120" s="393"/>
      <c r="O120" s="393"/>
      <c r="P120" s="393"/>
      <c r="Q120" s="393"/>
      <c r="R120" s="393"/>
      <c r="S120" s="393"/>
      <c r="T120" s="397"/>
      <c r="U120" s="395"/>
      <c r="V120" s="394">
        <f t="shared" si="1"/>
        <v>11</v>
      </c>
    </row>
    <row r="121" spans="1:22" x14ac:dyDescent="0.2">
      <c r="A121" s="398">
        <v>7</v>
      </c>
      <c r="B121" s="393">
        <v>1939</v>
      </c>
      <c r="C121" s="393">
        <v>1995</v>
      </c>
      <c r="D121" s="393">
        <v>2128</v>
      </c>
      <c r="E121" s="393">
        <v>2374</v>
      </c>
      <c r="F121" s="393">
        <v>2491</v>
      </c>
      <c r="G121" s="393">
        <v>2557</v>
      </c>
      <c r="H121" s="393">
        <v>2618</v>
      </c>
      <c r="I121" s="393">
        <v>2677</v>
      </c>
      <c r="J121" s="393">
        <v>2739</v>
      </c>
      <c r="K121" s="393">
        <v>2805</v>
      </c>
      <c r="L121" s="393">
        <v>2873</v>
      </c>
      <c r="M121" s="393">
        <v>2949</v>
      </c>
      <c r="N121" s="393"/>
      <c r="O121" s="393"/>
      <c r="P121" s="393"/>
      <c r="Q121" s="393"/>
      <c r="R121" s="393"/>
      <c r="S121" s="393"/>
      <c r="T121" s="397"/>
      <c r="U121" s="395"/>
      <c r="V121" s="394">
        <f t="shared" si="1"/>
        <v>12</v>
      </c>
    </row>
    <row r="122" spans="1:22" x14ac:dyDescent="0.2">
      <c r="A122" s="398">
        <v>8</v>
      </c>
      <c r="B122" s="393">
        <v>2192</v>
      </c>
      <c r="C122" s="393">
        <v>2254</v>
      </c>
      <c r="D122" s="393">
        <v>2374</v>
      </c>
      <c r="E122" s="393">
        <v>2618</v>
      </c>
      <c r="F122" s="393">
        <v>2739</v>
      </c>
      <c r="G122" s="393">
        <v>2873</v>
      </c>
      <c r="H122" s="393">
        <v>2949</v>
      </c>
      <c r="I122" s="393">
        <v>3018</v>
      </c>
      <c r="J122" s="393">
        <v>3080</v>
      </c>
      <c r="K122" s="393">
        <v>3146</v>
      </c>
      <c r="L122" s="393">
        <v>3212</v>
      </c>
      <c r="M122" s="393">
        <v>3273</v>
      </c>
      <c r="N122" s="393">
        <v>3331</v>
      </c>
      <c r="O122" s="393"/>
      <c r="P122" s="393"/>
      <c r="Q122" s="393"/>
      <c r="R122" s="393"/>
      <c r="S122" s="393"/>
      <c r="T122" s="397"/>
      <c r="U122" s="395"/>
      <c r="V122" s="394">
        <f t="shared" si="1"/>
        <v>13</v>
      </c>
    </row>
    <row r="123" spans="1:22" x14ac:dyDescent="0.2">
      <c r="A123" s="398">
        <v>9</v>
      </c>
      <c r="B123" s="393">
        <v>2534</v>
      </c>
      <c r="C123" s="393">
        <v>2661</v>
      </c>
      <c r="D123" s="393">
        <v>2919</v>
      </c>
      <c r="E123" s="393">
        <v>3066</v>
      </c>
      <c r="F123" s="393">
        <v>3193</v>
      </c>
      <c r="G123" s="393">
        <v>3323</v>
      </c>
      <c r="H123" s="393">
        <v>3445</v>
      </c>
      <c r="I123" s="393">
        <v>3567</v>
      </c>
      <c r="J123" s="393">
        <v>3700</v>
      </c>
      <c r="K123" s="393">
        <v>3817</v>
      </c>
      <c r="L123" s="393"/>
      <c r="M123" s="393"/>
      <c r="N123" s="393"/>
      <c r="O123" s="393"/>
      <c r="P123" s="393"/>
      <c r="Q123" s="393"/>
      <c r="R123" s="393"/>
      <c r="S123" s="393"/>
      <c r="T123" s="397"/>
      <c r="U123" s="395"/>
      <c r="V123" s="394">
        <f t="shared" si="1"/>
        <v>10</v>
      </c>
    </row>
    <row r="124" spans="1:22" x14ac:dyDescent="0.2">
      <c r="A124" s="398">
        <v>10</v>
      </c>
      <c r="B124" s="393">
        <v>2516</v>
      </c>
      <c r="C124" s="393">
        <v>2766</v>
      </c>
      <c r="D124" s="393">
        <v>2901</v>
      </c>
      <c r="E124" s="393">
        <v>3048</v>
      </c>
      <c r="F124" s="393">
        <v>3175</v>
      </c>
      <c r="G124" s="393">
        <v>3305</v>
      </c>
      <c r="H124" s="393">
        <v>3427</v>
      </c>
      <c r="I124" s="393">
        <v>3549</v>
      </c>
      <c r="J124" s="393">
        <v>3682</v>
      </c>
      <c r="K124" s="393">
        <v>3798</v>
      </c>
      <c r="L124" s="393">
        <v>3920</v>
      </c>
      <c r="M124" s="393">
        <v>4038</v>
      </c>
      <c r="N124" s="393">
        <v>4171</v>
      </c>
      <c r="O124" s="393"/>
      <c r="P124" s="393"/>
      <c r="Q124" s="393"/>
      <c r="R124" s="393"/>
      <c r="S124" s="393"/>
      <c r="T124" s="397"/>
      <c r="U124" s="395"/>
      <c r="V124" s="394">
        <f t="shared" si="1"/>
        <v>13</v>
      </c>
    </row>
    <row r="125" spans="1:22" x14ac:dyDescent="0.2">
      <c r="A125" s="398">
        <v>11</v>
      </c>
      <c r="B125" s="393">
        <v>2643</v>
      </c>
      <c r="C125" s="393">
        <v>2766</v>
      </c>
      <c r="D125" s="393">
        <v>2901</v>
      </c>
      <c r="E125" s="393">
        <v>3048</v>
      </c>
      <c r="F125" s="393">
        <v>3175</v>
      </c>
      <c r="G125" s="393">
        <v>3305</v>
      </c>
      <c r="H125" s="393">
        <v>3427</v>
      </c>
      <c r="I125" s="393">
        <v>3682</v>
      </c>
      <c r="J125" s="393">
        <v>3796</v>
      </c>
      <c r="K125" s="393">
        <v>3920</v>
      </c>
      <c r="L125" s="393">
        <v>4038</v>
      </c>
      <c r="M125" s="393">
        <v>4171</v>
      </c>
      <c r="N125" s="393">
        <v>4302</v>
      </c>
      <c r="O125" s="393">
        <v>4431</v>
      </c>
      <c r="P125" s="393">
        <v>4553</v>
      </c>
      <c r="Q125" s="393">
        <v>4678</v>
      </c>
      <c r="R125" s="393">
        <v>4796</v>
      </c>
      <c r="S125" s="393">
        <v>4861</v>
      </c>
      <c r="T125" s="397"/>
      <c r="U125" s="395"/>
      <c r="V125" s="394">
        <f t="shared" si="1"/>
        <v>18</v>
      </c>
    </row>
    <row r="126" spans="1:22" x14ac:dyDescent="0.2">
      <c r="A126" s="398">
        <v>12</v>
      </c>
      <c r="B126" s="393">
        <v>3549</v>
      </c>
      <c r="C126" s="393">
        <v>3682</v>
      </c>
      <c r="D126" s="393">
        <v>3796</v>
      </c>
      <c r="E126" s="393">
        <v>3920</v>
      </c>
      <c r="F126" s="393">
        <v>4038</v>
      </c>
      <c r="G126" s="393">
        <v>4171</v>
      </c>
      <c r="H126" s="393">
        <v>4431</v>
      </c>
      <c r="I126" s="393">
        <v>4553</v>
      </c>
      <c r="J126" s="393">
        <v>4678</v>
      </c>
      <c r="K126" s="393">
        <v>4796</v>
      </c>
      <c r="L126" s="393">
        <v>4925</v>
      </c>
      <c r="M126" s="393">
        <v>5050</v>
      </c>
      <c r="N126" s="393">
        <v>5169</v>
      </c>
      <c r="O126" s="393">
        <v>5294</v>
      </c>
      <c r="P126" s="393">
        <v>5448</v>
      </c>
      <c r="Q126" s="393">
        <v>5527</v>
      </c>
      <c r="R126" s="393"/>
      <c r="S126" s="393"/>
      <c r="T126" s="397"/>
      <c r="U126" s="395"/>
      <c r="V126" s="394">
        <f t="shared" si="1"/>
        <v>16</v>
      </c>
    </row>
    <row r="127" spans="1:22" x14ac:dyDescent="0.2">
      <c r="A127" s="398">
        <v>13</v>
      </c>
      <c r="B127" s="393">
        <v>4302</v>
      </c>
      <c r="C127" s="393">
        <v>4431</v>
      </c>
      <c r="D127" s="393">
        <v>4553</v>
      </c>
      <c r="E127" s="393">
        <v>4678</v>
      </c>
      <c r="F127" s="393">
        <v>4796</v>
      </c>
      <c r="G127" s="393">
        <v>5050</v>
      </c>
      <c r="H127" s="393">
        <v>5169</v>
      </c>
      <c r="I127" s="393">
        <v>5294</v>
      </c>
      <c r="J127" s="393">
        <v>5448</v>
      </c>
      <c r="K127" s="393">
        <v>5604</v>
      </c>
      <c r="L127" s="393">
        <v>5760</v>
      </c>
      <c r="M127" s="393">
        <v>5914</v>
      </c>
      <c r="N127" s="393">
        <v>5990</v>
      </c>
      <c r="O127" s="393"/>
      <c r="P127" s="393"/>
      <c r="Q127" s="393"/>
      <c r="R127" s="393"/>
      <c r="S127" s="393"/>
      <c r="T127" s="397"/>
      <c r="U127" s="395"/>
      <c r="V127" s="394">
        <f t="shared" si="1"/>
        <v>13</v>
      </c>
    </row>
    <row r="128" spans="1:22" x14ac:dyDescent="0.2">
      <c r="A128" s="398">
        <v>14</v>
      </c>
      <c r="B128" s="393">
        <v>4925</v>
      </c>
      <c r="C128" s="393">
        <v>5050</v>
      </c>
      <c r="D128" s="393">
        <v>5294</v>
      </c>
      <c r="E128" s="393">
        <v>5448</v>
      </c>
      <c r="F128" s="393">
        <v>5604</v>
      </c>
      <c r="G128" s="393">
        <v>5760</v>
      </c>
      <c r="H128" s="393">
        <v>5914</v>
      </c>
      <c r="I128" s="393">
        <v>6071</v>
      </c>
      <c r="J128" s="393">
        <v>6237</v>
      </c>
      <c r="K128" s="393">
        <v>6404</v>
      </c>
      <c r="L128" s="393">
        <v>6578</v>
      </c>
      <c r="M128" s="393"/>
      <c r="N128" s="393"/>
      <c r="O128" s="393"/>
      <c r="P128" s="393"/>
      <c r="Q128" s="393"/>
      <c r="R128" s="393"/>
      <c r="S128" s="393"/>
      <c r="T128" s="397"/>
      <c r="U128" s="395"/>
      <c r="V128" s="394">
        <f t="shared" si="1"/>
        <v>11</v>
      </c>
    </row>
    <row r="129" spans="1:22" x14ac:dyDescent="0.2">
      <c r="A129" s="398">
        <v>15</v>
      </c>
      <c r="B129" s="393">
        <v>5169</v>
      </c>
      <c r="C129" s="393">
        <v>5294</v>
      </c>
      <c r="D129" s="393">
        <v>5448</v>
      </c>
      <c r="E129" s="393">
        <v>5760</v>
      </c>
      <c r="F129" s="393">
        <v>5914</v>
      </c>
      <c r="G129" s="393">
        <v>6071</v>
      </c>
      <c r="H129" s="393">
        <v>6237</v>
      </c>
      <c r="I129" s="393">
        <v>6404</v>
      </c>
      <c r="J129" s="393">
        <v>6578</v>
      </c>
      <c r="K129" s="393">
        <v>6785</v>
      </c>
      <c r="L129" s="393">
        <v>7003</v>
      </c>
      <c r="M129" s="393">
        <v>7225</v>
      </c>
      <c r="N129" s="393"/>
      <c r="O129" s="393"/>
      <c r="P129" s="393"/>
      <c r="Q129" s="393"/>
      <c r="R129" s="393"/>
      <c r="S129" s="393"/>
      <c r="T129" s="402"/>
      <c r="U129" s="403"/>
      <c r="V129" s="394">
        <f t="shared" si="1"/>
        <v>12</v>
      </c>
    </row>
    <row r="130" spans="1:22" x14ac:dyDescent="0.2">
      <c r="A130" s="398">
        <v>16</v>
      </c>
      <c r="B130" s="393">
        <v>5604</v>
      </c>
      <c r="C130" s="393">
        <v>5760</v>
      </c>
      <c r="D130" s="393">
        <v>5914</v>
      </c>
      <c r="E130" s="393">
        <v>6237</v>
      </c>
      <c r="F130" s="393">
        <v>6404</v>
      </c>
      <c r="G130" s="393">
        <v>6578</v>
      </c>
      <c r="H130" s="393">
        <v>6785</v>
      </c>
      <c r="I130" s="393">
        <v>7003</v>
      </c>
      <c r="J130" s="393">
        <v>7225</v>
      </c>
      <c r="K130" s="393">
        <v>7455</v>
      </c>
      <c r="L130" s="393">
        <v>7689</v>
      </c>
      <c r="M130" s="393">
        <v>7934</v>
      </c>
      <c r="N130" s="393"/>
      <c r="O130" s="393"/>
      <c r="P130" s="393"/>
      <c r="Q130" s="393"/>
      <c r="R130" s="393"/>
      <c r="S130" s="393"/>
      <c r="T130" s="402"/>
      <c r="U130" s="403"/>
      <c r="V130" s="394">
        <f t="shared" si="1"/>
        <v>12</v>
      </c>
    </row>
  </sheetData>
  <sheetProtection algorithmName="SHA-512" hashValue="Zg1hmN63UKvTLORdWiNk/LvTrMbd6LhbLx0Kh48LNBduHAAP9znPwl3h/iqi5t5FNlvddhaYnd0vYahEfPJqew==" saltValue="Xswf6IRNBUbQa8RBFhLplw==" spinCount="100000" sheet="1" objects="1" scenarios="1"/>
  <mergeCells count="1">
    <mergeCell ref="B77:C77"/>
  </mergeCells>
  <phoneticPr fontId="0" type="noConversion"/>
  <hyperlinks>
    <hyperlink ref="J11" r:id="rId1"/>
    <hyperlink ref="J12" r:id="rId2"/>
    <hyperlink ref="F61" r:id="rId3"/>
    <hyperlink ref="J13" r:id="rId4"/>
    <hyperlink ref="J6" r:id="rId5"/>
    <hyperlink ref="J10" r:id="rId6"/>
  </hyperlinks>
  <printOptions gridLines="1"/>
  <pageMargins left="0.74803149606299213" right="0.74803149606299213" top="0.98425196850393704" bottom="0.98425196850393704" header="0.51181102362204722" footer="0.51181102362204722"/>
  <pageSetup paperSize="9" scale="54" orientation="portrait" r:id="rId7"/>
  <headerFooter alignWithMargins="0">
    <oddHeader>&amp;L&amp;"Arial,Vet"&amp;A&amp;R&amp;"Arial,Vet"&amp;F</oddHeader>
    <oddFooter>&amp;L&amp;"Arial,Vet"&amp;8PO-Raad&amp;R&amp;"Arial,Vet"&amp;P</oddFooter>
  </headerFooter>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6 I u T m z p z s u m A A A A + A A A A B I A H A B D b 2 5 m a W c v U G F j a 2 F n Z S 5 4 b W w g o h g A K K A U A A A A A A A A A A A A A A A A A A A A A A A A A A A A h Y + 9 D o I w G E V f h X S n P x A M I R 9 l c A V j Y m J c m 1 q h E Y q h x f J u D j 6 S r y C J o m 6 O 9 + Q M 5 z 5 u d y i m r g 2 u a r C 6 N z l i m K J A G d k f t a l z N L p T m K K C w 1 b I s 6 h V M M v G Z p M 9 5 q h x 7 p I R 4 r 3 H P s b 9 U J O I U k Y O V b m T j e o E + s j 6 v x x q Y 5 0 w U i E O + 1 c M j / A q w U n M Y s x S B m T B U G n z V a K 5 G F M g P x D W Y + v G Q X H T h p s S y D K B v F / w J 1 B L A w Q U A A I A C A A b o i 5 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6 I u T i i K R 7 g O A A A A E Q A A A B M A H A B G b 3 J t d W x h c y 9 T Z W N 0 a W 9 u M S 5 t I K I Y A C i g F A A A A A A A A A A A A A A A A A A A A A A A A A A A A C t O T S 7 J z M 9 T C I b Q h t Y A U E s B A i 0 A F A A C A A g A G 6 I u T m z p z s u m A A A A + A A A A B I A A A A A A A A A A A A A A A A A A A A A A E N v b m Z p Z y 9 Q Y W N r Y W d l L n h t b F B L A Q I t A B Q A A g A I A B u i L k 4 P y u m r p A A A A O k A A A A T A A A A A A A A A A A A A A A A A P I A A A B b Q 2 9 u d G V u d F 9 U e X B l c 1 0 u e G 1 s U E s B A i 0 A F A A C A A g A G 6 I u 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f Y m T 6 e e q V O k d g V E v U i v n s A A A A A A g A A A A A A A 2 Y A A M A A A A A Q A A A A + g Q + M W J L 4 U i E y g 1 5 O + A L u g A A A A A E g A A A o A A A A B A A A A D B j l c b n z 5 b 1 k B T C 3 b W 7 m V i U A A A A J 5 e J / 9 C n a 5 O X V 9 L Y 4 q P 5 H f U 4 u c k C d H s u F J t 5 Q 9 C o t h A m h O R L c h v M 9 h G G i M n x U 2 M H u p i f X 5 q / Z m 9 + Q v 0 K i 7 7 z s 5 M X T f t m I Y e T v E x A l / I + 6 P o F A A A A F 0 l K I e X o j j a s S G J t M a n 6 a n C 6 W 0 Q < / D a t a M a s h u p > 
</file>

<file path=customXml/itemProps1.xml><?xml version="1.0" encoding="utf-8"?>
<ds:datastoreItem xmlns:ds="http://schemas.openxmlformats.org/officeDocument/2006/customXml" ds:itemID="{E57E7D4B-8705-4861-AC96-7A04EC5B98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12</vt:i4>
      </vt:variant>
    </vt:vector>
  </HeadingPairs>
  <TitlesOfParts>
    <vt:vector size="16" baseType="lpstr">
      <vt:lpstr>toel</vt:lpstr>
      <vt:lpstr>wgl</vt:lpstr>
      <vt:lpstr>wgl tot</vt:lpstr>
      <vt:lpstr>tabellen</vt:lpstr>
      <vt:lpstr>tabellen!Afdrukbereik</vt:lpstr>
      <vt:lpstr>toel!Afdrukbereik</vt:lpstr>
      <vt:lpstr>wgl!Afdrukbereik</vt:lpstr>
      <vt:lpstr>'wgl tot'!Afdrukbereik</vt:lpstr>
      <vt:lpstr>Afdrukbereik</vt:lpstr>
      <vt:lpstr>arbeidskorting</vt:lpstr>
      <vt:lpstr>eindejaarsuitkering_OOP</vt:lpstr>
      <vt:lpstr>premie_Vervaningsfonds__Vf</vt:lpstr>
      <vt:lpstr>premies</vt:lpstr>
      <vt:lpstr>saltab2020</vt:lpstr>
      <vt:lpstr>schaalregel</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2020-01-13T14:43:24Z</cp:lastPrinted>
  <dcterms:created xsi:type="dcterms:W3CDTF">2002-04-23T20:54:25Z</dcterms:created>
  <dcterms:modified xsi:type="dcterms:W3CDTF">2020-02-18T12:52:17Z</dcterms:modified>
</cp:coreProperties>
</file>