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aveExternalLinkValues="0"/>
  <bookViews>
    <workbookView xWindow="7605" yWindow="15" windowWidth="7650" windowHeight="8985" tabRatio="834" activeTab="1"/>
  </bookViews>
  <sheets>
    <sheet name="toel" sheetId="7" r:id="rId1"/>
    <sheet name="geg" sheetId="1" r:id="rId2"/>
    <sheet name="pers" sheetId="18" r:id="rId3"/>
    <sheet name="loonkosten CD" sheetId="13" r:id="rId4"/>
    <sheet name="hulpblad kosten functie" sheetId="28" r:id="rId5"/>
    <sheet name="overdracht aan sbo" sheetId="24" r:id="rId6"/>
    <sheet name="mat" sheetId="23" r:id="rId7"/>
    <sheet name="mip" sheetId="15" r:id="rId8"/>
    <sheet name="act" sheetId="17" r:id="rId9"/>
    <sheet name="begr" sheetId="25" r:id="rId10"/>
    <sheet name="bal" sheetId="11" r:id="rId11"/>
    <sheet name="liq" sheetId="26" r:id="rId12"/>
    <sheet name="bas" sheetId="29" r:id="rId13"/>
    <sheet name="verdeling" sheetId="30" r:id="rId14"/>
    <sheet name="tab" sheetId="22" r:id="rId15"/>
  </sheets>
  <definedNames>
    <definedName name="_xlnm.Print_Area" localSheetId="8">act!$B$2:$L$54</definedName>
    <definedName name="_xlnm.Print_Area" localSheetId="10">bal!$B$2:$L$70</definedName>
    <definedName name="_xlnm.Print_Area" localSheetId="12">bas!$B$2:$AI$91</definedName>
    <definedName name="_xlnm.Print_Area" localSheetId="9">begr!$B$2:$L$43</definedName>
    <definedName name="_xlnm.Print_Area" localSheetId="1">geg!$B$2:$L$88</definedName>
    <definedName name="_xlnm.Print_Area" localSheetId="4">'hulpblad kosten functie'!$B$2:$L$48</definedName>
    <definedName name="_xlnm.Print_Area" localSheetId="11">liq!$B$2:$K$55</definedName>
    <definedName name="_xlnm.Print_Area" localSheetId="3">'loonkosten CD'!$B$2:$X$70</definedName>
    <definedName name="_xlnm.Print_Area" localSheetId="6">mat!$B$2:$N$97</definedName>
    <definedName name="_xlnm.Print_Area" localSheetId="7">mip!$B$2:$AC$72</definedName>
    <definedName name="_xlnm.Print_Area" localSheetId="5">'overdracht aan sbo'!$B$2:$L$70</definedName>
    <definedName name="_xlnm.Print_Area" localSheetId="2">pers!$B$2:$L$104</definedName>
    <definedName name="_xlnm.Print_Area" localSheetId="14">tab!$A$1:$G$73</definedName>
    <definedName name="_xlnm.Print_Area" localSheetId="0">toel!$B$2:$P$217</definedName>
    <definedName name="_xlnm.Print_Area" localSheetId="13">verdeling!$B$2:$J$107</definedName>
    <definedName name="tabelsalaris">tab!$A$78:$W$120</definedName>
    <definedName name="verhoudingstabel_LB">tab!$C$124:$D$159</definedName>
  </definedNames>
  <calcPr calcId="145621"/>
</workbook>
</file>

<file path=xl/calcChain.xml><?xml version="1.0" encoding="utf-8"?>
<calcChain xmlns="http://schemas.openxmlformats.org/spreadsheetml/2006/main">
  <c r="J44" i="28" l="1"/>
  <c r="I44" i="28"/>
  <c r="H44" i="28"/>
  <c r="G44" i="28"/>
  <c r="F44" i="28"/>
  <c r="J34" i="28"/>
  <c r="I34" i="28"/>
  <c r="H34" i="28"/>
  <c r="G34" i="28"/>
  <c r="F34" i="28"/>
  <c r="J22" i="28"/>
  <c r="I22" i="28"/>
  <c r="H22" i="28"/>
  <c r="G22" i="28"/>
  <c r="F22" i="28"/>
  <c r="J17" i="28"/>
  <c r="I17" i="28"/>
  <c r="H17" i="28"/>
  <c r="G17" i="28"/>
  <c r="F17" i="28"/>
  <c r="Z14" i="29"/>
  <c r="Z15" i="29"/>
  <c r="Z16" i="29"/>
  <c r="Z17" i="29"/>
  <c r="Z18" i="29"/>
  <c r="Z19" i="29"/>
  <c r="Z20" i="29"/>
  <c r="Z21" i="29"/>
  <c r="Z22" i="29"/>
  <c r="Z23" i="29"/>
  <c r="Z24" i="29"/>
  <c r="Z25" i="29"/>
  <c r="Z26" i="29"/>
  <c r="Z27" i="29"/>
  <c r="Z28" i="29"/>
  <c r="Z29" i="29"/>
  <c r="Z30" i="29"/>
  <c r="Z31" i="29"/>
  <c r="Z32" i="29"/>
  <c r="Z33" i="29"/>
  <c r="Z34" i="29"/>
  <c r="Z35" i="29"/>
  <c r="Z36" i="29"/>
  <c r="Z37" i="29"/>
  <c r="Z38" i="29"/>
  <c r="Z39" i="29"/>
  <c r="Z40" i="29"/>
  <c r="Z41" i="29"/>
  <c r="Z42" i="29"/>
  <c r="Z43" i="29"/>
  <c r="Z44" i="29"/>
  <c r="Z45" i="29"/>
  <c r="Z46" i="29"/>
  <c r="Z47" i="29"/>
  <c r="Z48" i="29"/>
  <c r="Z49" i="29"/>
  <c r="Z50" i="29"/>
  <c r="Z51" i="29"/>
  <c r="Z52" i="29"/>
  <c r="Z53" i="29"/>
  <c r="Z54" i="29"/>
  <c r="Z55" i="29"/>
  <c r="Z56" i="29"/>
  <c r="Z57" i="29"/>
  <c r="Z58" i="29"/>
  <c r="Z59" i="29"/>
  <c r="Z60" i="29"/>
  <c r="Z61" i="29"/>
  <c r="Z62" i="29"/>
  <c r="Z63" i="29"/>
  <c r="Z64" i="29"/>
  <c r="Z65" i="29"/>
  <c r="Z66" i="29"/>
  <c r="Z67" i="29"/>
  <c r="Z68" i="29"/>
  <c r="Z69" i="29"/>
  <c r="Z70" i="29"/>
  <c r="Z71" i="29"/>
  <c r="Z72" i="29"/>
  <c r="Z73" i="29"/>
  <c r="Z74" i="29"/>
  <c r="Z75" i="29"/>
  <c r="Z76" i="29"/>
  <c r="Z77" i="29"/>
  <c r="Z78" i="29"/>
  <c r="Z79" i="29"/>
  <c r="Z80" i="29"/>
  <c r="Z81" i="29"/>
  <c r="Z82" i="29"/>
  <c r="Z83" i="29"/>
  <c r="Z84" i="29"/>
  <c r="Z85" i="29"/>
  <c r="Z86" i="29"/>
  <c r="Z87" i="29"/>
  <c r="Z13" i="29"/>
  <c r="H65" i="24"/>
  <c r="H64" i="24"/>
  <c r="H60" i="24"/>
  <c r="H59" i="24"/>
  <c r="H55" i="24"/>
  <c r="H54" i="24"/>
  <c r="H50" i="24"/>
  <c r="H49" i="24"/>
  <c r="H45" i="24"/>
  <c r="H44" i="24"/>
  <c r="O16" i="13" l="1"/>
  <c r="W119" i="22"/>
  <c r="W120" i="22"/>
  <c r="D55" i="22" l="1"/>
  <c r="J76" i="23"/>
  <c r="J37" i="23"/>
  <c r="J13" i="23"/>
  <c r="F36" i="25"/>
  <c r="F23" i="25"/>
  <c r="F19" i="25"/>
  <c r="F8" i="25"/>
  <c r="M118" i="22" l="1"/>
  <c r="L118" i="22"/>
  <c r="K118" i="22"/>
  <c r="J118" i="22"/>
  <c r="I118" i="22"/>
  <c r="H118" i="22"/>
  <c r="G118" i="22"/>
  <c r="F118" i="22"/>
  <c r="E118" i="22"/>
  <c r="D118" i="22"/>
  <c r="C118" i="22"/>
  <c r="O117" i="22"/>
  <c r="N117" i="22"/>
  <c r="M117" i="22"/>
  <c r="L117" i="22"/>
  <c r="K117" i="22"/>
  <c r="J117" i="22"/>
  <c r="I117" i="22"/>
  <c r="H117" i="22"/>
  <c r="G117" i="22"/>
  <c r="F117" i="22"/>
  <c r="E117" i="22"/>
  <c r="D117" i="22"/>
  <c r="C117" i="22"/>
  <c r="R116" i="22"/>
  <c r="Q116" i="22"/>
  <c r="P116" i="22"/>
  <c r="O116" i="22"/>
  <c r="N116" i="22"/>
  <c r="M116" i="22"/>
  <c r="L116" i="22"/>
  <c r="K116" i="22"/>
  <c r="J116" i="22"/>
  <c r="I116" i="22"/>
  <c r="H116" i="22"/>
  <c r="G116" i="22"/>
  <c r="F116" i="22"/>
  <c r="E116" i="22"/>
  <c r="D116" i="22"/>
  <c r="C116" i="22"/>
  <c r="T115" i="22"/>
  <c r="S115" i="22"/>
  <c r="R115" i="22"/>
  <c r="Q115" i="22"/>
  <c r="P115" i="22"/>
  <c r="O115" i="22"/>
  <c r="N115" i="22"/>
  <c r="M115" i="22"/>
  <c r="L115" i="22"/>
  <c r="K115" i="22"/>
  <c r="J115" i="22"/>
  <c r="I115" i="22"/>
  <c r="H115" i="22"/>
  <c r="G115" i="22"/>
  <c r="F115" i="22"/>
  <c r="E115" i="22"/>
  <c r="D115" i="22"/>
  <c r="C115" i="22"/>
  <c r="O114" i="22"/>
  <c r="N114" i="22"/>
  <c r="M114" i="22"/>
  <c r="L114" i="22"/>
  <c r="K114" i="22"/>
  <c r="J114" i="22"/>
  <c r="I114" i="22"/>
  <c r="H114" i="22"/>
  <c r="G114" i="22"/>
  <c r="F114" i="22"/>
  <c r="E114" i="22"/>
  <c r="D114" i="22"/>
  <c r="C114" i="22"/>
  <c r="L113" i="22"/>
  <c r="K113" i="22"/>
  <c r="J113" i="22"/>
  <c r="I113" i="22"/>
  <c r="H113" i="22"/>
  <c r="G113" i="22"/>
  <c r="F113" i="22"/>
  <c r="E113" i="22"/>
  <c r="D113" i="22"/>
  <c r="C113" i="22"/>
  <c r="C99" i="22"/>
  <c r="C98" i="22"/>
  <c r="I92" i="22"/>
  <c r="H92" i="22"/>
  <c r="G92" i="22"/>
  <c r="F92" i="22"/>
  <c r="E92" i="22"/>
  <c r="D92" i="22"/>
  <c r="C92" i="22"/>
  <c r="J91" i="22"/>
  <c r="I91" i="22"/>
  <c r="H91" i="22"/>
  <c r="G91" i="22"/>
  <c r="F91" i="22"/>
  <c r="E91" i="22"/>
  <c r="D91" i="22"/>
  <c r="C91" i="22"/>
  <c r="I90" i="22"/>
  <c r="H90" i="22"/>
  <c r="G90" i="22"/>
  <c r="F90" i="22"/>
  <c r="E90" i="22"/>
  <c r="D90" i="22"/>
  <c r="C90" i="22"/>
  <c r="C5" i="1" l="1"/>
  <c r="H61" i="11" l="1"/>
  <c r="E73" i="13" l="1"/>
  <c r="E74" i="13"/>
  <c r="E105" i="13"/>
  <c r="E106" i="13"/>
  <c r="E137" i="13"/>
  <c r="E138" i="13"/>
  <c r="R35" i="13"/>
  <c r="R34" i="13"/>
  <c r="R33" i="13"/>
  <c r="R32" i="13"/>
  <c r="R31" i="13"/>
  <c r="R30" i="13"/>
  <c r="R29" i="13"/>
  <c r="R28" i="13"/>
  <c r="R27" i="13"/>
  <c r="R26" i="13"/>
  <c r="R25" i="13"/>
  <c r="R24" i="13"/>
  <c r="R23" i="13"/>
  <c r="R22" i="13"/>
  <c r="R21" i="13"/>
  <c r="R20" i="13"/>
  <c r="R19" i="13"/>
  <c r="R18" i="13"/>
  <c r="D4" i="22"/>
  <c r="E4" i="22" s="1"/>
  <c r="G37" i="26"/>
  <c r="F37" i="26"/>
  <c r="F4" i="22" l="1"/>
  <c r="G4" i="22" s="1"/>
  <c r="E58" i="22"/>
  <c r="G14" i="30"/>
  <c r="G98" i="30"/>
  <c r="G97" i="30"/>
  <c r="AE14" i="29"/>
  <c r="AE15" i="29"/>
  <c r="AE16" i="29"/>
  <c r="AE17" i="29"/>
  <c r="AE18" i="29"/>
  <c r="AE19" i="29"/>
  <c r="AE20" i="29"/>
  <c r="AE21" i="29"/>
  <c r="AE22" i="29"/>
  <c r="AE23" i="29"/>
  <c r="AE24" i="29"/>
  <c r="AE25" i="29"/>
  <c r="AE26" i="29"/>
  <c r="AE27" i="29"/>
  <c r="AE28" i="29"/>
  <c r="AE29" i="29"/>
  <c r="AE30" i="29"/>
  <c r="AE31" i="29"/>
  <c r="AE32" i="29"/>
  <c r="AE33" i="29"/>
  <c r="AE34" i="29"/>
  <c r="AE35" i="29"/>
  <c r="AE36" i="29"/>
  <c r="AE37" i="29"/>
  <c r="AE38" i="29"/>
  <c r="AE39" i="29"/>
  <c r="AE40" i="29"/>
  <c r="AE41" i="29"/>
  <c r="AE42" i="29"/>
  <c r="AE43" i="29"/>
  <c r="AE44" i="29"/>
  <c r="AE45" i="29"/>
  <c r="AE46" i="29"/>
  <c r="AE47" i="29"/>
  <c r="AE48" i="29"/>
  <c r="AE49" i="29"/>
  <c r="AE50" i="29"/>
  <c r="AE51" i="29"/>
  <c r="AE52" i="29"/>
  <c r="AE53" i="29"/>
  <c r="AE54" i="29"/>
  <c r="AE55" i="29"/>
  <c r="AE56" i="29"/>
  <c r="AE57" i="29"/>
  <c r="AE58" i="29"/>
  <c r="AE59" i="29"/>
  <c r="AE60" i="29"/>
  <c r="AE61" i="29"/>
  <c r="AE62" i="29"/>
  <c r="AE63" i="29"/>
  <c r="AE64" i="29"/>
  <c r="AE65" i="29"/>
  <c r="AE66" i="29"/>
  <c r="AE67" i="29"/>
  <c r="AE68" i="29"/>
  <c r="AE69" i="29"/>
  <c r="AE70" i="29"/>
  <c r="AE71" i="29"/>
  <c r="AE72" i="29"/>
  <c r="AE73" i="29"/>
  <c r="AE74" i="29"/>
  <c r="AE75" i="29"/>
  <c r="AE76" i="29"/>
  <c r="AE77" i="29"/>
  <c r="AE78" i="29"/>
  <c r="AE79" i="29"/>
  <c r="AE80" i="29"/>
  <c r="AE81" i="29"/>
  <c r="AE82" i="29"/>
  <c r="AE83" i="29"/>
  <c r="AE84" i="29"/>
  <c r="AE85" i="29"/>
  <c r="AE86" i="29"/>
  <c r="AE87" i="29"/>
  <c r="AE13" i="29"/>
  <c r="H14" i="29"/>
  <c r="I14" i="29" s="1"/>
  <c r="H15" i="29"/>
  <c r="I15" i="29" s="1"/>
  <c r="H16" i="29"/>
  <c r="I16" i="29" s="1"/>
  <c r="H17" i="29"/>
  <c r="I17" i="29" s="1"/>
  <c r="H18" i="29"/>
  <c r="I18" i="29" s="1"/>
  <c r="H19" i="29"/>
  <c r="I19" i="29" s="1"/>
  <c r="H20" i="29"/>
  <c r="I20" i="29" s="1"/>
  <c r="H21" i="29"/>
  <c r="I21" i="29"/>
  <c r="H22" i="29"/>
  <c r="I22" i="29" s="1"/>
  <c r="H23" i="29"/>
  <c r="I23" i="29" s="1"/>
  <c r="H24" i="29"/>
  <c r="I24" i="29" s="1"/>
  <c r="H25" i="29"/>
  <c r="I25" i="29" s="1"/>
  <c r="H26" i="29"/>
  <c r="I26" i="29" s="1"/>
  <c r="H27" i="29"/>
  <c r="I27" i="29" s="1"/>
  <c r="H28" i="29"/>
  <c r="I28" i="29" s="1"/>
  <c r="H29" i="29"/>
  <c r="I29" i="29"/>
  <c r="H30" i="29"/>
  <c r="I30" i="29" s="1"/>
  <c r="H31" i="29"/>
  <c r="I31" i="29" s="1"/>
  <c r="H32" i="29"/>
  <c r="I32" i="29" s="1"/>
  <c r="H33" i="29"/>
  <c r="I33" i="29" s="1"/>
  <c r="H34" i="29"/>
  <c r="I34" i="29" s="1"/>
  <c r="H35" i="29"/>
  <c r="I35" i="29" s="1"/>
  <c r="H36" i="29"/>
  <c r="I36" i="29" s="1"/>
  <c r="H37" i="29"/>
  <c r="I37" i="29" s="1"/>
  <c r="H38" i="29"/>
  <c r="I38" i="29" s="1"/>
  <c r="H39" i="29"/>
  <c r="I39" i="29" s="1"/>
  <c r="H40" i="29"/>
  <c r="I40" i="29" s="1"/>
  <c r="H41" i="29"/>
  <c r="I41" i="29"/>
  <c r="H42" i="29"/>
  <c r="I42" i="29" s="1"/>
  <c r="H43" i="29"/>
  <c r="I43" i="29" s="1"/>
  <c r="H44" i="29"/>
  <c r="I44" i="29" s="1"/>
  <c r="H45" i="29"/>
  <c r="I45" i="29" s="1"/>
  <c r="H46" i="29"/>
  <c r="I46" i="29" s="1"/>
  <c r="H47" i="29"/>
  <c r="I47" i="29" s="1"/>
  <c r="H48" i="29"/>
  <c r="I48" i="29" s="1"/>
  <c r="H49" i="29"/>
  <c r="I49" i="29"/>
  <c r="H50" i="29"/>
  <c r="I50" i="29" s="1"/>
  <c r="H51" i="29"/>
  <c r="I51" i="29" s="1"/>
  <c r="H52" i="29"/>
  <c r="I52" i="29" s="1"/>
  <c r="H13" i="29"/>
  <c r="I13" i="29" s="1"/>
  <c r="G52" i="11"/>
  <c r="G38" i="11"/>
  <c r="H38" i="11" s="1"/>
  <c r="F21" i="17"/>
  <c r="F30" i="17"/>
  <c r="G21" i="17"/>
  <c r="G30" i="17"/>
  <c r="I54" i="23" s="1"/>
  <c r="F23" i="17"/>
  <c r="F32" i="17"/>
  <c r="G23" i="17"/>
  <c r="G32" i="17"/>
  <c r="I56" i="23" s="1"/>
  <c r="F24" i="17"/>
  <c r="F33" i="17"/>
  <c r="G24" i="17"/>
  <c r="G33" i="17"/>
  <c r="I57" i="23" s="1"/>
  <c r="H21" i="17"/>
  <c r="H30" i="17"/>
  <c r="J54" i="23" s="1"/>
  <c r="H23" i="17"/>
  <c r="H32" i="17"/>
  <c r="J56" i="23" s="1"/>
  <c r="H24" i="17"/>
  <c r="H33" i="17"/>
  <c r="J57" i="23" s="1"/>
  <c r="K49" i="13"/>
  <c r="K82" i="13" s="1"/>
  <c r="K114" i="13" s="1"/>
  <c r="K146" i="13" s="1"/>
  <c r="L49" i="13"/>
  <c r="L82" i="13" s="1"/>
  <c r="L50" i="13"/>
  <c r="K50" i="13"/>
  <c r="K83" i="13" s="1"/>
  <c r="K115" i="13" s="1"/>
  <c r="K147" i="13" s="1"/>
  <c r="K51" i="13"/>
  <c r="K84" i="13" s="1"/>
  <c r="K116" i="13" s="1"/>
  <c r="K148" i="13" s="1"/>
  <c r="K52" i="13"/>
  <c r="K85" i="13" s="1"/>
  <c r="K117" i="13" s="1"/>
  <c r="K149" i="13" s="1"/>
  <c r="K53" i="13"/>
  <c r="K86" i="13" s="1"/>
  <c r="K118" i="13" s="1"/>
  <c r="K150" i="13" s="1"/>
  <c r="K54" i="13"/>
  <c r="K87" i="13" s="1"/>
  <c r="K119" i="13" s="1"/>
  <c r="K151" i="13" s="1"/>
  <c r="K55" i="13"/>
  <c r="K88" i="13" s="1"/>
  <c r="K120" i="13" s="1"/>
  <c r="K152" i="13" s="1"/>
  <c r="K56" i="13"/>
  <c r="K89" i="13" s="1"/>
  <c r="K121" i="13" s="1"/>
  <c r="K153" i="13" s="1"/>
  <c r="K57" i="13"/>
  <c r="K90" i="13" s="1"/>
  <c r="K122" i="13" s="1"/>
  <c r="K154" i="13" s="1"/>
  <c r="K58" i="13"/>
  <c r="K91" i="13" s="1"/>
  <c r="K123" i="13" s="1"/>
  <c r="K155" i="13" s="1"/>
  <c r="K59" i="13"/>
  <c r="K92" i="13" s="1"/>
  <c r="K124" i="13" s="1"/>
  <c r="K156" i="13" s="1"/>
  <c r="K60" i="13"/>
  <c r="K93" i="13" s="1"/>
  <c r="K125" i="13" s="1"/>
  <c r="K157" i="13" s="1"/>
  <c r="K61" i="13"/>
  <c r="K94" i="13" s="1"/>
  <c r="K126" i="13" s="1"/>
  <c r="K158" i="13" s="1"/>
  <c r="K62" i="13"/>
  <c r="K95" i="13" s="1"/>
  <c r="K127" i="13" s="1"/>
  <c r="K159" i="13" s="1"/>
  <c r="K63" i="13"/>
  <c r="K96" i="13" s="1"/>
  <c r="K128" i="13" s="1"/>
  <c r="K160" i="13" s="1"/>
  <c r="K64" i="13"/>
  <c r="K97" i="13" s="1"/>
  <c r="K129" i="13" s="1"/>
  <c r="K161" i="13" s="1"/>
  <c r="K65" i="13"/>
  <c r="K98" i="13" s="1"/>
  <c r="K130" i="13" s="1"/>
  <c r="K162" i="13" s="1"/>
  <c r="K66" i="13"/>
  <c r="K99" i="13" s="1"/>
  <c r="K131" i="13" s="1"/>
  <c r="K163" i="13" s="1"/>
  <c r="K67" i="13"/>
  <c r="K100" i="13" s="1"/>
  <c r="K132" i="13" s="1"/>
  <c r="K164" i="13" s="1"/>
  <c r="G15" i="18"/>
  <c r="H22" i="1"/>
  <c r="H15" i="18"/>
  <c r="D25" i="24"/>
  <c r="D58" i="24" s="1"/>
  <c r="D21" i="24"/>
  <c r="D53" i="24" s="1"/>
  <c r="D17" i="24"/>
  <c r="D48" i="24" s="1"/>
  <c r="D13" i="24"/>
  <c r="D43" i="24" s="1"/>
  <c r="E98" i="30"/>
  <c r="E99" i="30"/>
  <c r="E100" i="30"/>
  <c r="E97" i="30"/>
  <c r="F29" i="1"/>
  <c r="F31" i="1" s="1"/>
  <c r="F33" i="1" s="1"/>
  <c r="F65" i="24" s="1"/>
  <c r="G25" i="30"/>
  <c r="G33" i="30"/>
  <c r="G45" i="30"/>
  <c r="G53" i="30"/>
  <c r="E18" i="30"/>
  <c r="F18" i="30"/>
  <c r="E19" i="30"/>
  <c r="F19" i="30"/>
  <c r="E20" i="30"/>
  <c r="F20" i="30"/>
  <c r="E21" i="30"/>
  <c r="F21" i="30"/>
  <c r="E22" i="30"/>
  <c r="F22" i="30"/>
  <c r="E23" i="30"/>
  <c r="F23" i="30"/>
  <c r="E24" i="30"/>
  <c r="F24" i="30"/>
  <c r="E25" i="30"/>
  <c r="F25" i="30"/>
  <c r="E26" i="30"/>
  <c r="F26" i="30"/>
  <c r="E27" i="30"/>
  <c r="F27" i="30"/>
  <c r="E28" i="30"/>
  <c r="F28" i="30"/>
  <c r="E29" i="30"/>
  <c r="F29" i="30"/>
  <c r="E30" i="30"/>
  <c r="F30" i="30"/>
  <c r="E31" i="30"/>
  <c r="F31" i="30"/>
  <c r="E32" i="30"/>
  <c r="F32" i="30"/>
  <c r="E33" i="30"/>
  <c r="F33" i="30"/>
  <c r="E34" i="30"/>
  <c r="F34" i="30"/>
  <c r="E35" i="30"/>
  <c r="F35" i="30"/>
  <c r="E36" i="30"/>
  <c r="F36" i="30"/>
  <c r="E37" i="30"/>
  <c r="F37" i="30"/>
  <c r="E38" i="30"/>
  <c r="F38" i="30"/>
  <c r="E39" i="30"/>
  <c r="F39" i="30"/>
  <c r="E40" i="30"/>
  <c r="F40" i="30"/>
  <c r="E41" i="30"/>
  <c r="F41" i="30"/>
  <c r="E42" i="30"/>
  <c r="F42" i="30"/>
  <c r="E43" i="30"/>
  <c r="F43" i="30"/>
  <c r="E44" i="30"/>
  <c r="F44" i="30"/>
  <c r="E45" i="30"/>
  <c r="F45" i="30"/>
  <c r="E46" i="30"/>
  <c r="F46" i="30"/>
  <c r="E47" i="30"/>
  <c r="F47" i="30"/>
  <c r="E48" i="30"/>
  <c r="F48" i="30"/>
  <c r="E49" i="30"/>
  <c r="F49" i="30"/>
  <c r="E50" i="30"/>
  <c r="F50" i="30"/>
  <c r="E51" i="30"/>
  <c r="F51" i="30"/>
  <c r="E52" i="30"/>
  <c r="F52" i="30"/>
  <c r="E53" i="30"/>
  <c r="F53" i="30"/>
  <c r="E54" i="30"/>
  <c r="F54" i="30"/>
  <c r="E55" i="30"/>
  <c r="F55" i="30"/>
  <c r="E56" i="30"/>
  <c r="F56" i="30"/>
  <c r="E57" i="30"/>
  <c r="F57" i="30"/>
  <c r="E58" i="30"/>
  <c r="F58" i="30"/>
  <c r="E59" i="30"/>
  <c r="F59" i="30"/>
  <c r="E60" i="30"/>
  <c r="F60" i="30"/>
  <c r="E61" i="30"/>
  <c r="F61" i="30"/>
  <c r="E62" i="30"/>
  <c r="F62" i="30"/>
  <c r="E63" i="30"/>
  <c r="F63" i="30"/>
  <c r="E64" i="30"/>
  <c r="F64" i="30"/>
  <c r="E65" i="30"/>
  <c r="F65" i="30"/>
  <c r="E66" i="30"/>
  <c r="F66" i="30"/>
  <c r="E67" i="30"/>
  <c r="F67" i="30"/>
  <c r="E68" i="30"/>
  <c r="F68" i="30"/>
  <c r="E69" i="30"/>
  <c r="F69" i="30"/>
  <c r="E70" i="30"/>
  <c r="F70" i="30"/>
  <c r="E71" i="30"/>
  <c r="F71" i="30"/>
  <c r="E72" i="30"/>
  <c r="F72" i="30"/>
  <c r="E73" i="30"/>
  <c r="F73" i="30"/>
  <c r="E74" i="30"/>
  <c r="F74" i="30"/>
  <c r="E75" i="30"/>
  <c r="F75" i="30"/>
  <c r="E76" i="30"/>
  <c r="F76" i="30"/>
  <c r="E77" i="30"/>
  <c r="F77" i="30"/>
  <c r="E78" i="30"/>
  <c r="F78" i="30"/>
  <c r="E79" i="30"/>
  <c r="F79" i="30"/>
  <c r="E80" i="30"/>
  <c r="F80" i="30"/>
  <c r="E81" i="30"/>
  <c r="F81" i="30"/>
  <c r="E82" i="30"/>
  <c r="F82" i="30"/>
  <c r="E83" i="30"/>
  <c r="F83" i="30"/>
  <c r="E84" i="30"/>
  <c r="F84" i="30"/>
  <c r="E85" i="30"/>
  <c r="F85" i="30"/>
  <c r="E86" i="30"/>
  <c r="F86" i="30"/>
  <c r="E87" i="30"/>
  <c r="F87" i="30"/>
  <c r="E88" i="30"/>
  <c r="F88" i="30"/>
  <c r="E89" i="30"/>
  <c r="F89" i="30"/>
  <c r="E90" i="30"/>
  <c r="F90" i="30"/>
  <c r="E91" i="30"/>
  <c r="F91" i="30"/>
  <c r="F17" i="30"/>
  <c r="E17" i="30"/>
  <c r="K14" i="15"/>
  <c r="N14" i="15" s="1"/>
  <c r="F54" i="11"/>
  <c r="F15" i="18"/>
  <c r="F23" i="18"/>
  <c r="G18" i="18"/>
  <c r="H18" i="18" s="1"/>
  <c r="I18" i="18" s="1"/>
  <c r="J18" i="18" s="1"/>
  <c r="G19" i="18"/>
  <c r="G20" i="18"/>
  <c r="G21" i="18"/>
  <c r="H21" i="18" s="1"/>
  <c r="I21" i="18" s="1"/>
  <c r="J21" i="18" s="1"/>
  <c r="G22" i="18"/>
  <c r="H22" i="18" s="1"/>
  <c r="I22" i="18" s="1"/>
  <c r="J22" i="18" s="1"/>
  <c r="F37" i="18"/>
  <c r="G31" i="18"/>
  <c r="G32" i="18"/>
  <c r="G33" i="18"/>
  <c r="H33" i="18" s="1"/>
  <c r="I33" i="18" s="1"/>
  <c r="J33" i="18" s="1"/>
  <c r="G34" i="18"/>
  <c r="G35" i="18"/>
  <c r="G44" i="18"/>
  <c r="F114" i="18" s="1"/>
  <c r="G17" i="25" s="1"/>
  <c r="C53" i="22"/>
  <c r="F22" i="24" s="1"/>
  <c r="C54" i="22"/>
  <c r="G45" i="18"/>
  <c r="G46" i="18"/>
  <c r="G47" i="18"/>
  <c r="G48" i="18"/>
  <c r="G49" i="18"/>
  <c r="Q14" i="13"/>
  <c r="Q16" i="13" s="1"/>
  <c r="O17" i="13"/>
  <c r="P17" i="13" s="1"/>
  <c r="R17" i="13" s="1"/>
  <c r="M17" i="13"/>
  <c r="S17" i="13"/>
  <c r="O18" i="13"/>
  <c r="M18" i="13"/>
  <c r="S18" i="13"/>
  <c r="O19" i="13"/>
  <c r="P19" i="13" s="1"/>
  <c r="M19" i="13"/>
  <c r="S19" i="13"/>
  <c r="O20" i="13"/>
  <c r="M20" i="13"/>
  <c r="S20" i="13"/>
  <c r="O21" i="13"/>
  <c r="P21" i="13" s="1"/>
  <c r="M21" i="13"/>
  <c r="S21" i="13"/>
  <c r="O22" i="13"/>
  <c r="M22" i="13"/>
  <c r="S22" i="13"/>
  <c r="O23" i="13"/>
  <c r="P23" i="13" s="1"/>
  <c r="M23" i="13"/>
  <c r="S23" i="13"/>
  <c r="O24" i="13"/>
  <c r="P24" i="13" s="1"/>
  <c r="M24" i="13"/>
  <c r="S24" i="13"/>
  <c r="O25" i="13"/>
  <c r="P25" i="13" s="1"/>
  <c r="M25" i="13"/>
  <c r="S25" i="13"/>
  <c r="O26" i="13"/>
  <c r="P26" i="13" s="1"/>
  <c r="M26" i="13"/>
  <c r="S26" i="13"/>
  <c r="O27" i="13"/>
  <c r="P27" i="13" s="1"/>
  <c r="M27" i="13"/>
  <c r="S27" i="13"/>
  <c r="O28" i="13"/>
  <c r="M28" i="13"/>
  <c r="S28" i="13"/>
  <c r="O29" i="13"/>
  <c r="P29" i="13" s="1"/>
  <c r="M29" i="13"/>
  <c r="S29" i="13"/>
  <c r="O30" i="13"/>
  <c r="P30" i="13" s="1"/>
  <c r="M30" i="13"/>
  <c r="S30" i="13"/>
  <c r="O31" i="13"/>
  <c r="P31" i="13" s="1"/>
  <c r="M31" i="13"/>
  <c r="S31" i="13"/>
  <c r="O32" i="13"/>
  <c r="P32" i="13" s="1"/>
  <c r="M32" i="13"/>
  <c r="S32" i="13"/>
  <c r="O33" i="13"/>
  <c r="P33" i="13" s="1"/>
  <c r="M33" i="13"/>
  <c r="S33" i="13"/>
  <c r="O34" i="13"/>
  <c r="P34" i="13" s="1"/>
  <c r="M34" i="13"/>
  <c r="S34" i="13"/>
  <c r="O35" i="13"/>
  <c r="P35" i="13" s="1"/>
  <c r="M35" i="13"/>
  <c r="S35" i="13"/>
  <c r="F91" i="18"/>
  <c r="G29" i="1"/>
  <c r="G31" i="1"/>
  <c r="G33" i="1" s="1"/>
  <c r="G35" i="1" s="1"/>
  <c r="G67" i="18"/>
  <c r="G68" i="18"/>
  <c r="H68" i="18" s="1"/>
  <c r="G69" i="18"/>
  <c r="H69" i="18" s="1"/>
  <c r="I69" i="18" s="1"/>
  <c r="J69" i="18" s="1"/>
  <c r="G70" i="18"/>
  <c r="H70" i="18" s="1"/>
  <c r="G71" i="18"/>
  <c r="G72" i="18"/>
  <c r="H72" i="18" s="1"/>
  <c r="G73" i="18"/>
  <c r="G74" i="18"/>
  <c r="H74" i="18" s="1"/>
  <c r="G75" i="18"/>
  <c r="G76" i="18"/>
  <c r="H76" i="18" s="1"/>
  <c r="G77" i="18"/>
  <c r="H77" i="18" s="1"/>
  <c r="I77" i="18" s="1"/>
  <c r="J77" i="18" s="1"/>
  <c r="G78" i="18"/>
  <c r="H78" i="18" s="1"/>
  <c r="G81" i="18"/>
  <c r="G82" i="18"/>
  <c r="H82" i="18" s="1"/>
  <c r="G83" i="18"/>
  <c r="G84" i="18"/>
  <c r="H84" i="18" s="1"/>
  <c r="G85" i="18"/>
  <c r="H85" i="18" s="1"/>
  <c r="I85" i="18" s="1"/>
  <c r="G86" i="18"/>
  <c r="H86" i="18" s="1"/>
  <c r="G87" i="18"/>
  <c r="H87" i="18" s="1"/>
  <c r="I87" i="18" s="1"/>
  <c r="J87" i="18" s="1"/>
  <c r="G88" i="18"/>
  <c r="H88" i="18" s="1"/>
  <c r="G89" i="18"/>
  <c r="G90" i="18"/>
  <c r="H90" i="18" s="1"/>
  <c r="G50" i="1"/>
  <c r="H21" i="1"/>
  <c r="H19" i="18"/>
  <c r="I19" i="18" s="1"/>
  <c r="J19" i="18" s="1"/>
  <c r="H20" i="18"/>
  <c r="H31" i="18"/>
  <c r="I31" i="18" s="1"/>
  <c r="H32" i="18"/>
  <c r="H34" i="18"/>
  <c r="H35" i="18"/>
  <c r="I35" i="18" s="1"/>
  <c r="J35" i="18" s="1"/>
  <c r="H44" i="18"/>
  <c r="H45" i="18"/>
  <c r="H46" i="18"/>
  <c r="H47" i="18"/>
  <c r="H48" i="18"/>
  <c r="H49" i="18"/>
  <c r="H25" i="1"/>
  <c r="H46" i="1"/>
  <c r="I46" i="1" s="1"/>
  <c r="H26" i="1"/>
  <c r="H27" i="1"/>
  <c r="H47" i="1"/>
  <c r="H48" i="1"/>
  <c r="I48" i="1" s="1"/>
  <c r="H67" i="18"/>
  <c r="H71" i="18"/>
  <c r="H73" i="18"/>
  <c r="I73" i="18" s="1"/>
  <c r="J73" i="18" s="1"/>
  <c r="H75" i="18"/>
  <c r="H81" i="18"/>
  <c r="H83" i="18"/>
  <c r="I83" i="18" s="1"/>
  <c r="J83" i="18" s="1"/>
  <c r="H89" i="18"/>
  <c r="H52" i="11"/>
  <c r="J16" i="29"/>
  <c r="J18" i="29"/>
  <c r="K18" i="29" s="1"/>
  <c r="J19" i="29"/>
  <c r="K19" i="29"/>
  <c r="J21" i="29"/>
  <c r="K21" i="29" s="1"/>
  <c r="J22" i="29"/>
  <c r="K22" i="29" s="1"/>
  <c r="J24" i="29"/>
  <c r="J27" i="29"/>
  <c r="K27" i="29" s="1"/>
  <c r="J28" i="29"/>
  <c r="J29" i="29"/>
  <c r="K29" i="29" s="1"/>
  <c r="J30" i="29"/>
  <c r="K30" i="29" s="1"/>
  <c r="J31" i="29"/>
  <c r="K31" i="29" s="1"/>
  <c r="J32" i="29"/>
  <c r="J34" i="29"/>
  <c r="K34" i="29" s="1"/>
  <c r="J35" i="29"/>
  <c r="K35" i="29" s="1"/>
  <c r="J36" i="29"/>
  <c r="J38" i="29"/>
  <c r="K38" i="29" s="1"/>
  <c r="J40" i="29"/>
  <c r="J41" i="29"/>
  <c r="K41" i="29" s="1"/>
  <c r="J43" i="29"/>
  <c r="K43" i="29" s="1"/>
  <c r="J44" i="29"/>
  <c r="J46" i="29"/>
  <c r="K46" i="29" s="1"/>
  <c r="J47" i="29"/>
  <c r="K47" i="29" s="1"/>
  <c r="J48" i="29"/>
  <c r="J49" i="29"/>
  <c r="K49" i="29" s="1"/>
  <c r="J50" i="29"/>
  <c r="K50" i="29" s="1"/>
  <c r="J51" i="29"/>
  <c r="K51" i="29" s="1"/>
  <c r="H53" i="29"/>
  <c r="H54" i="29"/>
  <c r="I54" i="29" s="1"/>
  <c r="J54" i="29" s="1"/>
  <c r="K54" i="29" s="1"/>
  <c r="H55" i="29"/>
  <c r="I55" i="29"/>
  <c r="H56" i="29"/>
  <c r="I56" i="29" s="1"/>
  <c r="H57" i="29"/>
  <c r="H58" i="29"/>
  <c r="I58" i="29" s="1"/>
  <c r="H59" i="29"/>
  <c r="I59" i="29" s="1"/>
  <c r="H60" i="29"/>
  <c r="I60" i="29" s="1"/>
  <c r="J60" i="29" s="1"/>
  <c r="H61" i="29"/>
  <c r="H62" i="29"/>
  <c r="I62" i="29" s="1"/>
  <c r="J62" i="29" s="1"/>
  <c r="K62" i="29" s="1"/>
  <c r="H63" i="29"/>
  <c r="I63" i="29" s="1"/>
  <c r="H64" i="29"/>
  <c r="I64" i="29" s="1"/>
  <c r="J64" i="29" s="1"/>
  <c r="H65" i="29"/>
  <c r="H66" i="29"/>
  <c r="I66" i="29" s="1"/>
  <c r="J66" i="29" s="1"/>
  <c r="K66" i="29" s="1"/>
  <c r="H67" i="29"/>
  <c r="I67" i="29" s="1"/>
  <c r="H68" i="29"/>
  <c r="I68" i="29" s="1"/>
  <c r="J68" i="29" s="1"/>
  <c r="H69" i="29"/>
  <c r="H70" i="29"/>
  <c r="I70" i="29" s="1"/>
  <c r="J70" i="29" s="1"/>
  <c r="K70" i="29" s="1"/>
  <c r="H71" i="29"/>
  <c r="I71" i="29" s="1"/>
  <c r="H72" i="29"/>
  <c r="I72" i="29" s="1"/>
  <c r="J72" i="29" s="1"/>
  <c r="H73" i="29"/>
  <c r="H74" i="29"/>
  <c r="I74" i="29"/>
  <c r="J74" i="29" s="1"/>
  <c r="K74" i="29" s="1"/>
  <c r="H75" i="29"/>
  <c r="I75" i="29" s="1"/>
  <c r="H76" i="29"/>
  <c r="I76" i="29" s="1"/>
  <c r="J76" i="29"/>
  <c r="H77" i="29"/>
  <c r="H78" i="29"/>
  <c r="I78" i="29" s="1"/>
  <c r="H79" i="29"/>
  <c r="I79" i="29"/>
  <c r="H80" i="29"/>
  <c r="I80" i="29" s="1"/>
  <c r="H81" i="29"/>
  <c r="H82" i="29"/>
  <c r="I82" i="29"/>
  <c r="J82" i="29" s="1"/>
  <c r="K82" i="29" s="1"/>
  <c r="H83" i="29"/>
  <c r="I83" i="29" s="1"/>
  <c r="H84" i="29"/>
  <c r="I84" i="29" s="1"/>
  <c r="H85" i="29"/>
  <c r="H86" i="29"/>
  <c r="I86" i="29" s="1"/>
  <c r="H87" i="29"/>
  <c r="I87" i="29" s="1"/>
  <c r="J13" i="29"/>
  <c r="K13" i="29" s="1"/>
  <c r="W10" i="29"/>
  <c r="Q10" i="29"/>
  <c r="K10" i="29"/>
  <c r="V10" i="29"/>
  <c r="P10" i="29"/>
  <c r="J10" i="29"/>
  <c r="U10" i="29"/>
  <c r="O10" i="29"/>
  <c r="I10" i="29"/>
  <c r="T10" i="29"/>
  <c r="N10" i="29"/>
  <c r="H10" i="29"/>
  <c r="S10" i="29"/>
  <c r="M10" i="29"/>
  <c r="G10" i="29"/>
  <c r="AF13" i="29"/>
  <c r="AG13" i="29" s="1"/>
  <c r="AF14" i="29"/>
  <c r="AG14" i="29" s="1"/>
  <c r="AF15" i="29"/>
  <c r="AG15" i="29" s="1"/>
  <c r="AF16" i="29"/>
  <c r="AG16" i="29" s="1"/>
  <c r="AF17" i="29"/>
  <c r="AG17" i="29" s="1"/>
  <c r="AF18" i="29"/>
  <c r="AG18" i="29" s="1"/>
  <c r="AF19" i="29"/>
  <c r="AG19" i="29" s="1"/>
  <c r="AF20" i="29"/>
  <c r="AG20" i="29" s="1"/>
  <c r="AF21" i="29"/>
  <c r="AG21" i="29" s="1"/>
  <c r="AF22" i="29"/>
  <c r="AG22" i="29" s="1"/>
  <c r="AF23" i="29"/>
  <c r="AG23" i="29" s="1"/>
  <c r="AF24" i="29"/>
  <c r="AG24" i="29" s="1"/>
  <c r="AF25" i="29"/>
  <c r="AG25" i="29" s="1"/>
  <c r="AF26" i="29"/>
  <c r="AG26" i="29" s="1"/>
  <c r="AF27" i="29"/>
  <c r="AG27" i="29" s="1"/>
  <c r="AF28" i="29"/>
  <c r="AG28" i="29" s="1"/>
  <c r="AF29" i="29"/>
  <c r="AG29" i="29" s="1"/>
  <c r="AF30" i="29"/>
  <c r="AG30" i="29" s="1"/>
  <c r="AF31" i="29"/>
  <c r="AG31" i="29" s="1"/>
  <c r="AF32" i="29"/>
  <c r="AG32" i="29" s="1"/>
  <c r="AF33" i="29"/>
  <c r="AG33" i="29" s="1"/>
  <c r="AF34" i="29"/>
  <c r="AG34" i="29" s="1"/>
  <c r="AF35" i="29"/>
  <c r="AG35" i="29" s="1"/>
  <c r="AF36" i="29"/>
  <c r="AG36" i="29" s="1"/>
  <c r="AF37" i="29"/>
  <c r="AG37" i="29" s="1"/>
  <c r="AF38" i="29"/>
  <c r="AG38" i="29" s="1"/>
  <c r="AF39" i="29"/>
  <c r="AG39" i="29" s="1"/>
  <c r="AF40" i="29"/>
  <c r="AG40" i="29" s="1"/>
  <c r="AF41" i="29"/>
  <c r="AG41" i="29" s="1"/>
  <c r="AF42" i="29"/>
  <c r="AG42" i="29" s="1"/>
  <c r="AF43" i="29"/>
  <c r="AG43" i="29" s="1"/>
  <c r="AF44" i="29"/>
  <c r="AG44" i="29" s="1"/>
  <c r="AF45" i="29"/>
  <c r="AG45" i="29" s="1"/>
  <c r="AF46" i="29"/>
  <c r="AG46" i="29" s="1"/>
  <c r="AF47" i="29"/>
  <c r="AG47" i="29" s="1"/>
  <c r="AF48" i="29"/>
  <c r="AG48" i="29" s="1"/>
  <c r="AF49" i="29"/>
  <c r="AG49" i="29" s="1"/>
  <c r="AF50" i="29"/>
  <c r="AG50" i="29" s="1"/>
  <c r="AF51" i="29"/>
  <c r="AG51" i="29" s="1"/>
  <c r="AF52" i="29"/>
  <c r="AG52" i="29" s="1"/>
  <c r="AF53" i="29"/>
  <c r="AG53" i="29" s="1"/>
  <c r="AF54" i="29"/>
  <c r="AG54" i="29" s="1"/>
  <c r="AF55" i="29"/>
  <c r="AG55" i="29" s="1"/>
  <c r="AF56" i="29"/>
  <c r="AG56" i="29" s="1"/>
  <c r="AF57" i="29"/>
  <c r="AG57" i="29" s="1"/>
  <c r="AF58" i="29"/>
  <c r="AG58" i="29" s="1"/>
  <c r="AF59" i="29"/>
  <c r="AG59" i="29" s="1"/>
  <c r="AF60" i="29"/>
  <c r="AG60" i="29" s="1"/>
  <c r="AF61" i="29"/>
  <c r="AG61" i="29" s="1"/>
  <c r="AF62" i="29"/>
  <c r="AG62" i="29" s="1"/>
  <c r="AF63" i="29"/>
  <c r="AG63" i="29" s="1"/>
  <c r="AF64" i="29"/>
  <c r="AG64" i="29" s="1"/>
  <c r="AF65" i="29"/>
  <c r="AG65" i="29" s="1"/>
  <c r="AF66" i="29"/>
  <c r="AG66" i="29" s="1"/>
  <c r="AF67" i="29"/>
  <c r="AG67" i="29" s="1"/>
  <c r="AF68" i="29"/>
  <c r="AG68" i="29" s="1"/>
  <c r="AF69" i="29"/>
  <c r="AG69" i="29" s="1"/>
  <c r="AF70" i="29"/>
  <c r="AG70" i="29" s="1"/>
  <c r="AF71" i="29"/>
  <c r="AG71" i="29" s="1"/>
  <c r="AF72" i="29"/>
  <c r="AG72" i="29" s="1"/>
  <c r="AF73" i="29"/>
  <c r="AG73" i="29" s="1"/>
  <c r="AF74" i="29"/>
  <c r="AG74" i="29" s="1"/>
  <c r="AF75" i="29"/>
  <c r="AG75" i="29" s="1"/>
  <c r="AF76" i="29"/>
  <c r="AG76" i="29" s="1"/>
  <c r="AF77" i="29"/>
  <c r="AG77" i="29" s="1"/>
  <c r="AF78" i="29"/>
  <c r="AG78" i="29" s="1"/>
  <c r="AF79" i="29"/>
  <c r="AG79" i="29" s="1"/>
  <c r="AF80" i="29"/>
  <c r="AG80" i="29" s="1"/>
  <c r="AF81" i="29"/>
  <c r="AG81" i="29" s="1"/>
  <c r="AF82" i="29"/>
  <c r="AG82" i="29" s="1"/>
  <c r="AF83" i="29"/>
  <c r="AG83" i="29" s="1"/>
  <c r="AF84" i="29"/>
  <c r="AG84" i="29" s="1"/>
  <c r="AF85" i="29"/>
  <c r="AG85" i="29" s="1"/>
  <c r="AF86" i="29"/>
  <c r="AG86" i="29" s="1"/>
  <c r="AF87" i="29"/>
  <c r="AG87" i="29" s="1"/>
  <c r="AE88" i="29"/>
  <c r="AD88" i="29"/>
  <c r="T13" i="29"/>
  <c r="U13" i="29" s="1"/>
  <c r="T14" i="29"/>
  <c r="U14" i="29" s="1"/>
  <c r="V14" i="29" s="1"/>
  <c r="W14" i="29" s="1"/>
  <c r="T15" i="29"/>
  <c r="U15" i="29" s="1"/>
  <c r="V15" i="29" s="1"/>
  <c r="W15" i="29" s="1"/>
  <c r="T16" i="29"/>
  <c r="U16" i="29" s="1"/>
  <c r="V16" i="29" s="1"/>
  <c r="W16" i="29" s="1"/>
  <c r="T17" i="29"/>
  <c r="U17" i="29" s="1"/>
  <c r="V17" i="29" s="1"/>
  <c r="W17" i="29" s="1"/>
  <c r="T18" i="29"/>
  <c r="U18" i="29" s="1"/>
  <c r="V18" i="29" s="1"/>
  <c r="W18" i="29" s="1"/>
  <c r="T19" i="29"/>
  <c r="U19" i="29" s="1"/>
  <c r="V19" i="29" s="1"/>
  <c r="W19" i="29" s="1"/>
  <c r="T20" i="29"/>
  <c r="U20" i="29" s="1"/>
  <c r="V20" i="29" s="1"/>
  <c r="W20" i="29" s="1"/>
  <c r="T21" i="29"/>
  <c r="U21" i="29" s="1"/>
  <c r="V21" i="29" s="1"/>
  <c r="W21" i="29" s="1"/>
  <c r="T22" i="29"/>
  <c r="U22" i="29" s="1"/>
  <c r="V22" i="29" s="1"/>
  <c r="W22" i="29" s="1"/>
  <c r="T23" i="29"/>
  <c r="U23" i="29" s="1"/>
  <c r="V23" i="29" s="1"/>
  <c r="W23" i="29" s="1"/>
  <c r="T24" i="29"/>
  <c r="U24" i="29" s="1"/>
  <c r="V24" i="29" s="1"/>
  <c r="W24" i="29" s="1"/>
  <c r="T25" i="29"/>
  <c r="U25" i="29" s="1"/>
  <c r="V25" i="29" s="1"/>
  <c r="W25" i="29" s="1"/>
  <c r="T26" i="29"/>
  <c r="U26" i="29" s="1"/>
  <c r="V26" i="29" s="1"/>
  <c r="W26" i="29" s="1"/>
  <c r="T27" i="29"/>
  <c r="U27" i="29" s="1"/>
  <c r="V27" i="29" s="1"/>
  <c r="W27" i="29" s="1"/>
  <c r="T28" i="29"/>
  <c r="U28" i="29" s="1"/>
  <c r="V28" i="29" s="1"/>
  <c r="W28" i="29" s="1"/>
  <c r="T29" i="29"/>
  <c r="U29" i="29" s="1"/>
  <c r="V29" i="29" s="1"/>
  <c r="W29" i="29" s="1"/>
  <c r="T30" i="29"/>
  <c r="U30" i="29" s="1"/>
  <c r="V30" i="29" s="1"/>
  <c r="W30" i="29" s="1"/>
  <c r="T31" i="29"/>
  <c r="U31" i="29" s="1"/>
  <c r="V31" i="29" s="1"/>
  <c r="W31" i="29" s="1"/>
  <c r="T32" i="29"/>
  <c r="U32" i="29" s="1"/>
  <c r="V32" i="29" s="1"/>
  <c r="W32" i="29" s="1"/>
  <c r="T33" i="29"/>
  <c r="U33" i="29" s="1"/>
  <c r="V33" i="29" s="1"/>
  <c r="W33" i="29" s="1"/>
  <c r="T34" i="29"/>
  <c r="U34" i="29" s="1"/>
  <c r="V34" i="29" s="1"/>
  <c r="W34" i="29" s="1"/>
  <c r="T35" i="29"/>
  <c r="U35" i="29" s="1"/>
  <c r="V35" i="29" s="1"/>
  <c r="W35" i="29" s="1"/>
  <c r="T36" i="29"/>
  <c r="U36" i="29" s="1"/>
  <c r="V36" i="29" s="1"/>
  <c r="W36" i="29" s="1"/>
  <c r="T37" i="29"/>
  <c r="U37" i="29" s="1"/>
  <c r="V37" i="29" s="1"/>
  <c r="W37" i="29" s="1"/>
  <c r="T38" i="29"/>
  <c r="U38" i="29" s="1"/>
  <c r="V38" i="29" s="1"/>
  <c r="W38" i="29" s="1"/>
  <c r="T39" i="29"/>
  <c r="U39" i="29" s="1"/>
  <c r="V39" i="29" s="1"/>
  <c r="W39" i="29" s="1"/>
  <c r="T40" i="29"/>
  <c r="U40" i="29"/>
  <c r="V40" i="29" s="1"/>
  <c r="W40" i="29" s="1"/>
  <c r="T41" i="29"/>
  <c r="U41" i="29" s="1"/>
  <c r="V41" i="29" s="1"/>
  <c r="W41" i="29" s="1"/>
  <c r="T42" i="29"/>
  <c r="U42" i="29" s="1"/>
  <c r="V42" i="29" s="1"/>
  <c r="W42" i="29" s="1"/>
  <c r="T43" i="29"/>
  <c r="U43" i="29" s="1"/>
  <c r="V43" i="29" s="1"/>
  <c r="W43" i="29" s="1"/>
  <c r="T44" i="29"/>
  <c r="U44" i="29" s="1"/>
  <c r="V44" i="29" s="1"/>
  <c r="W44" i="29" s="1"/>
  <c r="T45" i="29"/>
  <c r="U45" i="29" s="1"/>
  <c r="V45" i="29" s="1"/>
  <c r="W45" i="29" s="1"/>
  <c r="T46" i="29"/>
  <c r="U46" i="29"/>
  <c r="V46" i="29" s="1"/>
  <c r="W46" i="29" s="1"/>
  <c r="T47" i="29"/>
  <c r="U47" i="29" s="1"/>
  <c r="V47" i="29" s="1"/>
  <c r="W47" i="29" s="1"/>
  <c r="T48" i="29"/>
  <c r="U48" i="29"/>
  <c r="V48" i="29" s="1"/>
  <c r="W48" i="29" s="1"/>
  <c r="T49" i="29"/>
  <c r="U49" i="29" s="1"/>
  <c r="V49" i="29" s="1"/>
  <c r="W49" i="29" s="1"/>
  <c r="T50" i="29"/>
  <c r="U50" i="29" s="1"/>
  <c r="V50" i="29" s="1"/>
  <c r="W50" i="29" s="1"/>
  <c r="T51" i="29"/>
  <c r="U51" i="29" s="1"/>
  <c r="V51" i="29" s="1"/>
  <c r="W51" i="29" s="1"/>
  <c r="T52" i="29"/>
  <c r="U52" i="29" s="1"/>
  <c r="V52" i="29" s="1"/>
  <c r="W52" i="29" s="1"/>
  <c r="T53" i="29"/>
  <c r="U53" i="29" s="1"/>
  <c r="V53" i="29" s="1"/>
  <c r="W53" i="29" s="1"/>
  <c r="T54" i="29"/>
  <c r="U54" i="29"/>
  <c r="V54" i="29" s="1"/>
  <c r="W54" i="29" s="1"/>
  <c r="T55" i="29"/>
  <c r="U55" i="29" s="1"/>
  <c r="V55" i="29" s="1"/>
  <c r="W55" i="29" s="1"/>
  <c r="T56" i="29"/>
  <c r="U56" i="29"/>
  <c r="V56" i="29" s="1"/>
  <c r="W56" i="29" s="1"/>
  <c r="T57" i="29"/>
  <c r="U57" i="29" s="1"/>
  <c r="V57" i="29" s="1"/>
  <c r="W57" i="29" s="1"/>
  <c r="T58" i="29"/>
  <c r="U58" i="29" s="1"/>
  <c r="V58" i="29" s="1"/>
  <c r="W58" i="29" s="1"/>
  <c r="T59" i="29"/>
  <c r="U59" i="29" s="1"/>
  <c r="V59" i="29" s="1"/>
  <c r="W59" i="29" s="1"/>
  <c r="T60" i="29"/>
  <c r="U60" i="29" s="1"/>
  <c r="V60" i="29" s="1"/>
  <c r="W60" i="29" s="1"/>
  <c r="T61" i="29"/>
  <c r="U61" i="29" s="1"/>
  <c r="V61" i="29" s="1"/>
  <c r="W61" i="29" s="1"/>
  <c r="T62" i="29"/>
  <c r="U62" i="29"/>
  <c r="V62" i="29" s="1"/>
  <c r="W62" i="29" s="1"/>
  <c r="T63" i="29"/>
  <c r="U63" i="29" s="1"/>
  <c r="V63" i="29" s="1"/>
  <c r="W63" i="29" s="1"/>
  <c r="T64" i="29"/>
  <c r="U64" i="29"/>
  <c r="V64" i="29" s="1"/>
  <c r="W64" i="29" s="1"/>
  <c r="T65" i="29"/>
  <c r="U65" i="29" s="1"/>
  <c r="V65" i="29" s="1"/>
  <c r="W65" i="29" s="1"/>
  <c r="T66" i="29"/>
  <c r="U66" i="29" s="1"/>
  <c r="V66" i="29" s="1"/>
  <c r="W66" i="29" s="1"/>
  <c r="T67" i="29"/>
  <c r="U67" i="29" s="1"/>
  <c r="V67" i="29" s="1"/>
  <c r="W67" i="29" s="1"/>
  <c r="T68" i="29"/>
  <c r="U68" i="29" s="1"/>
  <c r="V68" i="29" s="1"/>
  <c r="W68" i="29" s="1"/>
  <c r="T69" i="29"/>
  <c r="U69" i="29" s="1"/>
  <c r="V69" i="29" s="1"/>
  <c r="W69" i="29" s="1"/>
  <c r="T70" i="29"/>
  <c r="U70" i="29"/>
  <c r="V70" i="29" s="1"/>
  <c r="W70" i="29" s="1"/>
  <c r="T71" i="29"/>
  <c r="U71" i="29" s="1"/>
  <c r="V71" i="29" s="1"/>
  <c r="W71" i="29" s="1"/>
  <c r="T72" i="29"/>
  <c r="U72" i="29"/>
  <c r="V72" i="29" s="1"/>
  <c r="W72" i="29" s="1"/>
  <c r="T73" i="29"/>
  <c r="U73" i="29" s="1"/>
  <c r="V73" i="29" s="1"/>
  <c r="W73" i="29" s="1"/>
  <c r="T74" i="29"/>
  <c r="U74" i="29" s="1"/>
  <c r="V74" i="29" s="1"/>
  <c r="W74" i="29" s="1"/>
  <c r="T75" i="29"/>
  <c r="U75" i="29" s="1"/>
  <c r="V75" i="29" s="1"/>
  <c r="W75" i="29" s="1"/>
  <c r="T76" i="29"/>
  <c r="U76" i="29" s="1"/>
  <c r="V76" i="29" s="1"/>
  <c r="W76" i="29" s="1"/>
  <c r="T77" i="29"/>
  <c r="U77" i="29" s="1"/>
  <c r="V77" i="29" s="1"/>
  <c r="W77" i="29" s="1"/>
  <c r="T78" i="29"/>
  <c r="U78" i="29"/>
  <c r="V78" i="29" s="1"/>
  <c r="W78" i="29" s="1"/>
  <c r="T79" i="29"/>
  <c r="U79" i="29" s="1"/>
  <c r="V79" i="29" s="1"/>
  <c r="W79" i="29" s="1"/>
  <c r="T80" i="29"/>
  <c r="U80" i="29"/>
  <c r="V80" i="29" s="1"/>
  <c r="W80" i="29" s="1"/>
  <c r="T81" i="29"/>
  <c r="U81" i="29" s="1"/>
  <c r="V81" i="29" s="1"/>
  <c r="W81" i="29" s="1"/>
  <c r="T82" i="29"/>
  <c r="U82" i="29" s="1"/>
  <c r="V82" i="29" s="1"/>
  <c r="W82" i="29" s="1"/>
  <c r="T83" i="29"/>
  <c r="U83" i="29" s="1"/>
  <c r="V83" i="29" s="1"/>
  <c r="W83" i="29" s="1"/>
  <c r="T84" i="29"/>
  <c r="U84" i="29" s="1"/>
  <c r="V84" i="29" s="1"/>
  <c r="W84" i="29" s="1"/>
  <c r="T85" i="29"/>
  <c r="U85" i="29" s="1"/>
  <c r="V85" i="29" s="1"/>
  <c r="W85" i="29" s="1"/>
  <c r="T86" i="29"/>
  <c r="U86" i="29"/>
  <c r="V86" i="29" s="1"/>
  <c r="W86" i="29" s="1"/>
  <c r="T87" i="29"/>
  <c r="U87" i="29" s="1"/>
  <c r="V87" i="29" s="1"/>
  <c r="W87" i="29" s="1"/>
  <c r="S88" i="29"/>
  <c r="G88" i="29"/>
  <c r="M16" i="13"/>
  <c r="M36" i="13" s="1"/>
  <c r="L15" i="15"/>
  <c r="C45" i="22"/>
  <c r="D47" i="22"/>
  <c r="C21" i="22"/>
  <c r="C24" i="22" s="1"/>
  <c r="C42" i="22" s="1"/>
  <c r="I30" i="17"/>
  <c r="K54" i="23" s="1"/>
  <c r="J30" i="17"/>
  <c r="L54" i="23" s="1"/>
  <c r="I32" i="17"/>
  <c r="K56" i="23" s="1"/>
  <c r="J32" i="17"/>
  <c r="L56" i="23" s="1"/>
  <c r="I33" i="17"/>
  <c r="K57" i="23" s="1"/>
  <c r="J33" i="17"/>
  <c r="L57" i="23" s="1"/>
  <c r="F40" i="17"/>
  <c r="G40" i="17"/>
  <c r="H40" i="17"/>
  <c r="I40" i="17"/>
  <c r="J40" i="17"/>
  <c r="D68" i="22"/>
  <c r="I22" i="1"/>
  <c r="L67" i="13"/>
  <c r="L100" i="13" s="1"/>
  <c r="L66" i="13"/>
  <c r="L99" i="13" s="1"/>
  <c r="L65" i="13"/>
  <c r="L98" i="13" s="1"/>
  <c r="L64" i="13"/>
  <c r="L97" i="13" s="1"/>
  <c r="L63" i="13"/>
  <c r="L96" i="13" s="1"/>
  <c r="L62" i="13"/>
  <c r="L95" i="13" s="1"/>
  <c r="L61" i="13"/>
  <c r="L94" i="13" s="1"/>
  <c r="L60" i="13"/>
  <c r="L93" i="13" s="1"/>
  <c r="L59" i="13"/>
  <c r="L92" i="13" s="1"/>
  <c r="L58" i="13"/>
  <c r="L91" i="13" s="1"/>
  <c r="L57" i="13"/>
  <c r="L90" i="13" s="1"/>
  <c r="L56" i="13"/>
  <c r="L89" i="13" s="1"/>
  <c r="L55" i="13"/>
  <c r="L88" i="13" s="1"/>
  <c r="L54" i="13"/>
  <c r="L87" i="13" s="1"/>
  <c r="L53" i="13"/>
  <c r="L86" i="13" s="1"/>
  <c r="L52" i="13"/>
  <c r="L85" i="13" s="1"/>
  <c r="L51" i="13"/>
  <c r="L84" i="13" s="1"/>
  <c r="I48" i="13"/>
  <c r="I81" i="13" s="1"/>
  <c r="W109" i="22"/>
  <c r="E48" i="13"/>
  <c r="E81" i="13" s="1"/>
  <c r="D71" i="22"/>
  <c r="L48" i="13"/>
  <c r="L81" i="13" s="1"/>
  <c r="C72" i="22"/>
  <c r="W79" i="22"/>
  <c r="W80" i="22"/>
  <c r="W81" i="22"/>
  <c r="W82" i="22"/>
  <c r="W83" i="22"/>
  <c r="W84" i="22"/>
  <c r="W85" i="22"/>
  <c r="W86" i="22"/>
  <c r="W87" i="22"/>
  <c r="W88" i="22"/>
  <c r="W89" i="22"/>
  <c r="W93" i="22"/>
  <c r="W94" i="22"/>
  <c r="W95" i="22"/>
  <c r="W96" i="22"/>
  <c r="W97" i="22"/>
  <c r="W98" i="22"/>
  <c r="W99" i="22"/>
  <c r="W100" i="22"/>
  <c r="W101" i="22"/>
  <c r="W102" i="22"/>
  <c r="W103" i="22"/>
  <c r="W104" i="22"/>
  <c r="W105" i="22"/>
  <c r="W106" i="22"/>
  <c r="W107" i="22"/>
  <c r="W108" i="22"/>
  <c r="W110" i="22"/>
  <c r="W111" i="22"/>
  <c r="W112" i="22"/>
  <c r="W113" i="22"/>
  <c r="W114" i="22"/>
  <c r="W115" i="22"/>
  <c r="W116" i="22"/>
  <c r="W117" i="22"/>
  <c r="W118" i="22"/>
  <c r="Y21" i="29"/>
  <c r="G65" i="1"/>
  <c r="H65" i="1"/>
  <c r="H49" i="1"/>
  <c r="I49" i="1" s="1"/>
  <c r="H28" i="1"/>
  <c r="F23" i="11"/>
  <c r="O9" i="15"/>
  <c r="Q8" i="15" s="1"/>
  <c r="C70" i="22"/>
  <c r="C46" i="22"/>
  <c r="C47" i="22"/>
  <c r="C48" i="22"/>
  <c r="K48" i="13"/>
  <c r="K81" i="13" s="1"/>
  <c r="E49" i="13"/>
  <c r="E82" i="13" s="1"/>
  <c r="I49" i="13"/>
  <c r="I82" i="13" s="1"/>
  <c r="E50" i="13"/>
  <c r="E83" i="13" s="1"/>
  <c r="E51" i="13"/>
  <c r="E84" i="13" s="1"/>
  <c r="E52" i="13"/>
  <c r="E85" i="13" s="1"/>
  <c r="E53" i="13"/>
  <c r="E86" i="13" s="1"/>
  <c r="E54" i="13"/>
  <c r="E87" i="13" s="1"/>
  <c r="E55" i="13"/>
  <c r="E88" i="13" s="1"/>
  <c r="E56" i="13"/>
  <c r="E89" i="13" s="1"/>
  <c r="E57" i="13"/>
  <c r="E90" i="13" s="1"/>
  <c r="E58" i="13"/>
  <c r="E91" i="13" s="1"/>
  <c r="E59" i="13"/>
  <c r="E92" i="13" s="1"/>
  <c r="E60" i="13"/>
  <c r="E93" i="13" s="1"/>
  <c r="E61" i="13"/>
  <c r="E94" i="13" s="1"/>
  <c r="E62" i="13"/>
  <c r="E95" i="13" s="1"/>
  <c r="E63" i="13"/>
  <c r="E96" i="13" s="1"/>
  <c r="E64" i="13"/>
  <c r="E97" i="13" s="1"/>
  <c r="E65" i="13"/>
  <c r="E98" i="13" s="1"/>
  <c r="E66" i="13"/>
  <c r="E99" i="13" s="1"/>
  <c r="E67" i="13"/>
  <c r="E100" i="13" s="1"/>
  <c r="D46" i="22"/>
  <c r="D48" i="22"/>
  <c r="I52" i="11"/>
  <c r="J52" i="11" s="1"/>
  <c r="U16" i="13"/>
  <c r="V16" i="13" s="1"/>
  <c r="U17" i="13"/>
  <c r="V17" i="13" s="1"/>
  <c r="G48" i="13"/>
  <c r="G81" i="13" s="1"/>
  <c r="G49" i="13"/>
  <c r="G82" i="13" s="1"/>
  <c r="I21" i="17"/>
  <c r="I23" i="17"/>
  <c r="I24" i="17"/>
  <c r="J21" i="17"/>
  <c r="J23" i="17"/>
  <c r="J24" i="17"/>
  <c r="G50" i="13"/>
  <c r="G83" i="13" s="1"/>
  <c r="G51" i="13"/>
  <c r="G84" i="13" s="1"/>
  <c r="G52" i="13"/>
  <c r="G85" i="13" s="1"/>
  <c r="G53" i="13"/>
  <c r="G86" i="13" s="1"/>
  <c r="G54" i="13"/>
  <c r="G87" i="13" s="1"/>
  <c r="G55" i="13"/>
  <c r="G88" i="13" s="1"/>
  <c r="G56" i="13"/>
  <c r="G89" i="13" s="1"/>
  <c r="G57" i="13"/>
  <c r="G90" i="13" s="1"/>
  <c r="G58" i="13"/>
  <c r="G91" i="13" s="1"/>
  <c r="G59" i="13"/>
  <c r="G92" i="13" s="1"/>
  <c r="G60" i="13"/>
  <c r="G93" i="13" s="1"/>
  <c r="G61" i="13"/>
  <c r="G94" i="13" s="1"/>
  <c r="G62" i="13"/>
  <c r="G95" i="13" s="1"/>
  <c r="G63" i="13"/>
  <c r="G96" i="13" s="1"/>
  <c r="G64" i="13"/>
  <c r="G97" i="13" s="1"/>
  <c r="G65" i="13"/>
  <c r="G98" i="13" s="1"/>
  <c r="G66" i="13"/>
  <c r="G99" i="13" s="1"/>
  <c r="G67" i="13"/>
  <c r="G100" i="13" s="1"/>
  <c r="U35" i="13"/>
  <c r="V35" i="13" s="1"/>
  <c r="U34" i="13"/>
  <c r="V34" i="13" s="1"/>
  <c r="U33" i="13"/>
  <c r="V33" i="13" s="1"/>
  <c r="U32" i="13"/>
  <c r="V32" i="13" s="1"/>
  <c r="U31" i="13"/>
  <c r="V31" i="13" s="1"/>
  <c r="U30" i="13"/>
  <c r="V30" i="13" s="1"/>
  <c r="U29" i="13"/>
  <c r="V29" i="13" s="1"/>
  <c r="U28" i="13"/>
  <c r="V28" i="13" s="1"/>
  <c r="U27" i="13"/>
  <c r="V27" i="13" s="1"/>
  <c r="U26" i="13"/>
  <c r="V26" i="13" s="1"/>
  <c r="U25" i="13"/>
  <c r="V25" i="13" s="1"/>
  <c r="U24" i="13"/>
  <c r="V24" i="13" s="1"/>
  <c r="U23" i="13"/>
  <c r="V23" i="13" s="1"/>
  <c r="U22" i="13"/>
  <c r="V22" i="13" s="1"/>
  <c r="U21" i="13"/>
  <c r="V21" i="13" s="1"/>
  <c r="U20" i="13"/>
  <c r="V20" i="13" s="1"/>
  <c r="U19" i="13"/>
  <c r="V19" i="13" s="1"/>
  <c r="U18" i="13"/>
  <c r="V18" i="13" s="1"/>
  <c r="F50" i="1"/>
  <c r="F66" i="24"/>
  <c r="F46" i="24" s="1"/>
  <c r="G43" i="11"/>
  <c r="H43" i="11" s="1"/>
  <c r="G44" i="11"/>
  <c r="H44" i="11" s="1"/>
  <c r="I44" i="11" s="1"/>
  <c r="F45" i="11"/>
  <c r="C5" i="26"/>
  <c r="F41" i="11"/>
  <c r="G53" i="11"/>
  <c r="H53" i="11" s="1"/>
  <c r="I53" i="11" s="1"/>
  <c r="J53" i="11" s="1"/>
  <c r="G51" i="11"/>
  <c r="H51" i="11" s="1"/>
  <c r="I51" i="11" s="1"/>
  <c r="J51" i="11" s="1"/>
  <c r="G50" i="11"/>
  <c r="H50" i="11" s="1"/>
  <c r="I50" i="11" s="1"/>
  <c r="J50" i="11" s="1"/>
  <c r="G49" i="11"/>
  <c r="H49" i="11" s="1"/>
  <c r="I49" i="11" s="1"/>
  <c r="J49" i="11" s="1"/>
  <c r="G48" i="11"/>
  <c r="H48" i="11" s="1"/>
  <c r="I48" i="11" s="1"/>
  <c r="J48" i="11" s="1"/>
  <c r="G47" i="11"/>
  <c r="G54" i="11" s="1"/>
  <c r="F25" i="26" s="1"/>
  <c r="G40" i="11"/>
  <c r="H40" i="11" s="1"/>
  <c r="I40" i="11" s="1"/>
  <c r="J40" i="11" s="1"/>
  <c r="C5" i="11"/>
  <c r="C5" i="25"/>
  <c r="C5" i="17"/>
  <c r="C6" i="15"/>
  <c r="C5" i="23"/>
  <c r="C5" i="24"/>
  <c r="F41" i="28"/>
  <c r="F43" i="28" s="1"/>
  <c r="F45" i="28" s="1"/>
  <c r="F31" i="28"/>
  <c r="F33" i="28" s="1"/>
  <c r="J41" i="28"/>
  <c r="J43" i="28" s="1"/>
  <c r="J45" i="28" s="1"/>
  <c r="J31" i="28"/>
  <c r="J33" i="28" s="1"/>
  <c r="J35" i="28" s="1"/>
  <c r="H41" i="28"/>
  <c r="H43" i="28" s="1"/>
  <c r="H31" i="28"/>
  <c r="H33" i="28" s="1"/>
  <c r="G31" i="28"/>
  <c r="G33" i="28" s="1"/>
  <c r="G41" i="28"/>
  <c r="G43" i="28" s="1"/>
  <c r="C5" i="28"/>
  <c r="C5" i="13"/>
  <c r="C5" i="18"/>
  <c r="G16" i="1"/>
  <c r="F16" i="1" s="1"/>
  <c r="H57" i="23"/>
  <c r="G55" i="1"/>
  <c r="I68" i="18"/>
  <c r="J68" i="18" s="1"/>
  <c r="I76" i="18"/>
  <c r="K67" i="23"/>
  <c r="L67" i="23" s="1"/>
  <c r="I19" i="23"/>
  <c r="K18" i="23"/>
  <c r="L18" i="23" s="1"/>
  <c r="I32" i="18"/>
  <c r="J32" i="18" s="1"/>
  <c r="K29" i="23"/>
  <c r="L29" i="23" s="1"/>
  <c r="I48" i="18"/>
  <c r="J48" i="18"/>
  <c r="G33" i="11"/>
  <c r="H33" i="11" s="1"/>
  <c r="I33" i="11" s="1"/>
  <c r="J33" i="11" s="1"/>
  <c r="G34" i="11"/>
  <c r="G35" i="11"/>
  <c r="H35" i="11" s="1"/>
  <c r="I35" i="11" s="1"/>
  <c r="J35" i="11" s="1"/>
  <c r="D69" i="22"/>
  <c r="H13" i="23"/>
  <c r="H21" i="23" s="1"/>
  <c r="H19" i="23"/>
  <c r="I20" i="18"/>
  <c r="J20" i="18" s="1"/>
  <c r="H31" i="23"/>
  <c r="I34" i="18"/>
  <c r="J34" i="18" s="1"/>
  <c r="H108" i="23"/>
  <c r="H37" i="23"/>
  <c r="H43" i="23" s="1"/>
  <c r="H72" i="1"/>
  <c r="I72" i="1" s="1"/>
  <c r="H73" i="1"/>
  <c r="I73" i="1" s="1"/>
  <c r="J73" i="1" s="1"/>
  <c r="I45" i="18"/>
  <c r="J45" i="18" s="1"/>
  <c r="I46" i="18"/>
  <c r="J46" i="18" s="1"/>
  <c r="I49" i="18"/>
  <c r="J49" i="18" s="1"/>
  <c r="I47" i="18"/>
  <c r="J47" i="18" s="1"/>
  <c r="I25" i="1"/>
  <c r="H58" i="1"/>
  <c r="I58" i="1"/>
  <c r="J58" i="1" s="1"/>
  <c r="I26" i="1"/>
  <c r="J26" i="1" s="1"/>
  <c r="I28" i="1"/>
  <c r="J28" i="1" s="1"/>
  <c r="I47" i="1"/>
  <c r="J47" i="1" s="1"/>
  <c r="H59" i="1"/>
  <c r="I59" i="1" s="1"/>
  <c r="J59" i="1" s="1"/>
  <c r="H60" i="1"/>
  <c r="I60" i="1"/>
  <c r="J60" i="1" s="1"/>
  <c r="H61" i="1"/>
  <c r="I61" i="1"/>
  <c r="J61" i="1" s="1"/>
  <c r="H76" i="1"/>
  <c r="H77" i="1"/>
  <c r="I77" i="1" s="1"/>
  <c r="J77" i="1" s="1"/>
  <c r="I70" i="18"/>
  <c r="J70" i="18" s="1"/>
  <c r="I71" i="18"/>
  <c r="J71" i="18" s="1"/>
  <c r="I74" i="18"/>
  <c r="J74" i="18" s="1"/>
  <c r="I75" i="18"/>
  <c r="J75" i="18" s="1"/>
  <c r="J76" i="18"/>
  <c r="I78" i="18"/>
  <c r="J78" i="18" s="1"/>
  <c r="I81" i="18"/>
  <c r="J81" i="18" s="1"/>
  <c r="I82" i="18"/>
  <c r="J82" i="18" s="1"/>
  <c r="I84" i="18"/>
  <c r="J84" i="18" s="1"/>
  <c r="I86" i="18"/>
  <c r="J86" i="18" s="1"/>
  <c r="I88" i="18"/>
  <c r="J88" i="18" s="1"/>
  <c r="I89" i="18"/>
  <c r="J89" i="18" s="1"/>
  <c r="I90" i="18"/>
  <c r="J90" i="18" s="1"/>
  <c r="I72" i="18"/>
  <c r="J72" i="18" s="1"/>
  <c r="K65" i="23"/>
  <c r="I65" i="1"/>
  <c r="K77" i="23"/>
  <c r="L77" i="23" s="1"/>
  <c r="K78" i="23"/>
  <c r="L78" i="23" s="1"/>
  <c r="K79" i="23"/>
  <c r="L79" i="23" s="1"/>
  <c r="K80" i="23"/>
  <c r="L80" i="23" s="1"/>
  <c r="K81" i="23"/>
  <c r="L81" i="23" s="1"/>
  <c r="K82" i="23"/>
  <c r="L82" i="23" s="1"/>
  <c r="K83" i="23"/>
  <c r="L83" i="23" s="1"/>
  <c r="K84" i="23"/>
  <c r="L84" i="23" s="1"/>
  <c r="H69" i="23"/>
  <c r="H76" i="23"/>
  <c r="H54" i="23"/>
  <c r="H56" i="23"/>
  <c r="I108" i="23"/>
  <c r="K38" i="23"/>
  <c r="K39" i="23"/>
  <c r="L39" i="23" s="1"/>
  <c r="K40" i="23"/>
  <c r="L40" i="23" s="1"/>
  <c r="K41" i="23"/>
  <c r="L41" i="23" s="1"/>
  <c r="J31" i="23"/>
  <c r="K28" i="23"/>
  <c r="K17" i="23"/>
  <c r="L17" i="23" s="1"/>
  <c r="I103" i="23"/>
  <c r="J103" i="23"/>
  <c r="K103" i="23"/>
  <c r="L103" i="23"/>
  <c r="H103" i="23"/>
  <c r="F44" i="24"/>
  <c r="F49" i="24"/>
  <c r="F54" i="24"/>
  <c r="F59" i="24"/>
  <c r="H8" i="23"/>
  <c r="F38" i="24" s="1"/>
  <c r="C58" i="22"/>
  <c r="I41" i="28"/>
  <c r="I43" i="28" s="1"/>
  <c r="I31" i="28"/>
  <c r="I33" i="28" s="1"/>
  <c r="I50" i="13"/>
  <c r="I83" i="13" s="1"/>
  <c r="I51" i="13"/>
  <c r="I84" i="13" s="1"/>
  <c r="I52" i="13"/>
  <c r="I85" i="13" s="1"/>
  <c r="I53" i="13"/>
  <c r="I86" i="13" s="1"/>
  <c r="I54" i="13"/>
  <c r="I87" i="13" s="1"/>
  <c r="I55" i="13"/>
  <c r="I88" i="13" s="1"/>
  <c r="I56" i="13"/>
  <c r="I89" i="13" s="1"/>
  <c r="I57" i="13"/>
  <c r="I90" i="13" s="1"/>
  <c r="I58" i="13"/>
  <c r="I91" i="13" s="1"/>
  <c r="I59" i="13"/>
  <c r="I92" i="13" s="1"/>
  <c r="I60" i="13"/>
  <c r="I93" i="13" s="1"/>
  <c r="I61" i="13"/>
  <c r="I94" i="13" s="1"/>
  <c r="I62" i="13"/>
  <c r="I95" i="13" s="1"/>
  <c r="I63" i="13"/>
  <c r="I96" i="13" s="1"/>
  <c r="I64" i="13"/>
  <c r="I97" i="13" s="1"/>
  <c r="I65" i="13"/>
  <c r="I98" i="13" s="1"/>
  <c r="I66" i="13"/>
  <c r="I99" i="13" s="1"/>
  <c r="I67" i="13"/>
  <c r="I100" i="13" s="1"/>
  <c r="W78" i="22"/>
  <c r="F16" i="17"/>
  <c r="H34" i="11"/>
  <c r="I34" i="11" s="1"/>
  <c r="J34" i="11" s="1"/>
  <c r="G21" i="11"/>
  <c r="H21" i="11" s="1"/>
  <c r="G20" i="11"/>
  <c r="H20" i="11" s="1"/>
  <c r="G19" i="11"/>
  <c r="H19" i="11" s="1"/>
  <c r="G16" i="11"/>
  <c r="H16" i="11" s="1"/>
  <c r="F8" i="11"/>
  <c r="G36" i="25"/>
  <c r="H33" i="25"/>
  <c r="I33" i="25" s="1"/>
  <c r="H34" i="25"/>
  <c r="I34" i="25" s="1"/>
  <c r="J34" i="25" s="1"/>
  <c r="E41" i="13"/>
  <c r="E40" i="13"/>
  <c r="E9" i="13"/>
  <c r="E8" i="13"/>
  <c r="H67" i="13"/>
  <c r="H100" i="13" s="1"/>
  <c r="H132" i="13" s="1"/>
  <c r="H164" i="13" s="1"/>
  <c r="F67" i="13"/>
  <c r="F100" i="13" s="1"/>
  <c r="F132" i="13" s="1"/>
  <c r="F164" i="13" s="1"/>
  <c r="D67" i="13"/>
  <c r="D100" i="13" s="1"/>
  <c r="D132" i="13" s="1"/>
  <c r="D164" i="13" s="1"/>
  <c r="H66" i="13"/>
  <c r="H99" i="13" s="1"/>
  <c r="H131" i="13" s="1"/>
  <c r="H163" i="13" s="1"/>
  <c r="F66" i="13"/>
  <c r="F99" i="13" s="1"/>
  <c r="F131" i="13" s="1"/>
  <c r="F163" i="13" s="1"/>
  <c r="D66" i="13"/>
  <c r="D99" i="13" s="1"/>
  <c r="D131" i="13" s="1"/>
  <c r="D163" i="13" s="1"/>
  <c r="H65" i="13"/>
  <c r="H98" i="13" s="1"/>
  <c r="H130" i="13" s="1"/>
  <c r="H162" i="13" s="1"/>
  <c r="F65" i="13"/>
  <c r="F98" i="13" s="1"/>
  <c r="F130" i="13" s="1"/>
  <c r="F162" i="13" s="1"/>
  <c r="D65" i="13"/>
  <c r="D98" i="13" s="1"/>
  <c r="D130" i="13" s="1"/>
  <c r="D162" i="13" s="1"/>
  <c r="H64" i="13"/>
  <c r="H97" i="13" s="1"/>
  <c r="H129" i="13" s="1"/>
  <c r="H161" i="13" s="1"/>
  <c r="F64" i="13"/>
  <c r="F97" i="13" s="1"/>
  <c r="F129" i="13" s="1"/>
  <c r="F161" i="13" s="1"/>
  <c r="D64" i="13"/>
  <c r="D97" i="13" s="1"/>
  <c r="D129" i="13" s="1"/>
  <c r="D161" i="13" s="1"/>
  <c r="H63" i="13"/>
  <c r="H96" i="13" s="1"/>
  <c r="H128" i="13" s="1"/>
  <c r="H160" i="13" s="1"/>
  <c r="F63" i="13"/>
  <c r="F96" i="13" s="1"/>
  <c r="F128" i="13" s="1"/>
  <c r="F160" i="13" s="1"/>
  <c r="D63" i="13"/>
  <c r="D96" i="13" s="1"/>
  <c r="D128" i="13" s="1"/>
  <c r="D160" i="13" s="1"/>
  <c r="H62" i="13"/>
  <c r="H95" i="13" s="1"/>
  <c r="H127" i="13" s="1"/>
  <c r="H159" i="13" s="1"/>
  <c r="F62" i="13"/>
  <c r="F95" i="13" s="1"/>
  <c r="F127" i="13" s="1"/>
  <c r="F159" i="13" s="1"/>
  <c r="D62" i="13"/>
  <c r="D95" i="13" s="1"/>
  <c r="D127" i="13" s="1"/>
  <c r="D159" i="13" s="1"/>
  <c r="H61" i="13"/>
  <c r="H94" i="13" s="1"/>
  <c r="H126" i="13" s="1"/>
  <c r="H158" i="13" s="1"/>
  <c r="F61" i="13"/>
  <c r="F94" i="13" s="1"/>
  <c r="F126" i="13" s="1"/>
  <c r="F158" i="13" s="1"/>
  <c r="D61" i="13"/>
  <c r="D94" i="13" s="1"/>
  <c r="D126" i="13" s="1"/>
  <c r="D158" i="13" s="1"/>
  <c r="H60" i="13"/>
  <c r="H93" i="13" s="1"/>
  <c r="H125" i="13" s="1"/>
  <c r="H157" i="13" s="1"/>
  <c r="F60" i="13"/>
  <c r="F93" i="13" s="1"/>
  <c r="F125" i="13" s="1"/>
  <c r="F157" i="13" s="1"/>
  <c r="D60" i="13"/>
  <c r="D93" i="13" s="1"/>
  <c r="D125" i="13" s="1"/>
  <c r="D157" i="13" s="1"/>
  <c r="H59" i="13"/>
  <c r="H92" i="13" s="1"/>
  <c r="H124" i="13" s="1"/>
  <c r="H156" i="13" s="1"/>
  <c r="F59" i="13"/>
  <c r="F92" i="13" s="1"/>
  <c r="F124" i="13" s="1"/>
  <c r="F156" i="13" s="1"/>
  <c r="D59" i="13"/>
  <c r="D92" i="13" s="1"/>
  <c r="D124" i="13" s="1"/>
  <c r="D156" i="13" s="1"/>
  <c r="H58" i="13"/>
  <c r="H91" i="13" s="1"/>
  <c r="H123" i="13" s="1"/>
  <c r="H155" i="13" s="1"/>
  <c r="F58" i="13"/>
  <c r="F91" i="13" s="1"/>
  <c r="F123" i="13" s="1"/>
  <c r="F155" i="13" s="1"/>
  <c r="D58" i="13"/>
  <c r="D91" i="13" s="1"/>
  <c r="D123" i="13" s="1"/>
  <c r="D155" i="13" s="1"/>
  <c r="H57" i="13"/>
  <c r="H90" i="13" s="1"/>
  <c r="H122" i="13" s="1"/>
  <c r="H154" i="13" s="1"/>
  <c r="F57" i="13"/>
  <c r="F90" i="13" s="1"/>
  <c r="F122" i="13" s="1"/>
  <c r="F154" i="13" s="1"/>
  <c r="D57" i="13"/>
  <c r="D90" i="13" s="1"/>
  <c r="D122" i="13" s="1"/>
  <c r="D154" i="13" s="1"/>
  <c r="H56" i="13"/>
  <c r="H89" i="13" s="1"/>
  <c r="H121" i="13" s="1"/>
  <c r="H153" i="13" s="1"/>
  <c r="F56" i="13"/>
  <c r="F89" i="13" s="1"/>
  <c r="F121" i="13" s="1"/>
  <c r="F153" i="13" s="1"/>
  <c r="D56" i="13"/>
  <c r="D89" i="13" s="1"/>
  <c r="D121" i="13" s="1"/>
  <c r="D153" i="13" s="1"/>
  <c r="H55" i="13"/>
  <c r="H88" i="13" s="1"/>
  <c r="H120" i="13" s="1"/>
  <c r="H152" i="13" s="1"/>
  <c r="F55" i="13"/>
  <c r="F88" i="13" s="1"/>
  <c r="F120" i="13" s="1"/>
  <c r="F152" i="13" s="1"/>
  <c r="D55" i="13"/>
  <c r="D88" i="13" s="1"/>
  <c r="D120" i="13" s="1"/>
  <c r="D152" i="13" s="1"/>
  <c r="H54" i="13"/>
  <c r="H87" i="13" s="1"/>
  <c r="H119" i="13" s="1"/>
  <c r="H151" i="13" s="1"/>
  <c r="F54" i="13"/>
  <c r="F87" i="13" s="1"/>
  <c r="F119" i="13" s="1"/>
  <c r="F151" i="13" s="1"/>
  <c r="D54" i="13"/>
  <c r="D87" i="13" s="1"/>
  <c r="D119" i="13" s="1"/>
  <c r="D151" i="13" s="1"/>
  <c r="H53" i="13"/>
  <c r="H86" i="13" s="1"/>
  <c r="H118" i="13" s="1"/>
  <c r="H150" i="13" s="1"/>
  <c r="F53" i="13"/>
  <c r="F86" i="13" s="1"/>
  <c r="F118" i="13" s="1"/>
  <c r="F150" i="13" s="1"/>
  <c r="D53" i="13"/>
  <c r="D86" i="13" s="1"/>
  <c r="D118" i="13" s="1"/>
  <c r="D150" i="13" s="1"/>
  <c r="H52" i="13"/>
  <c r="H85" i="13" s="1"/>
  <c r="H117" i="13" s="1"/>
  <c r="H149" i="13" s="1"/>
  <c r="F52" i="13"/>
  <c r="F85" i="13" s="1"/>
  <c r="F117" i="13" s="1"/>
  <c r="F149" i="13" s="1"/>
  <c r="D52" i="13"/>
  <c r="D85" i="13" s="1"/>
  <c r="D117" i="13" s="1"/>
  <c r="D149" i="13" s="1"/>
  <c r="H51" i="13"/>
  <c r="H84" i="13" s="1"/>
  <c r="H116" i="13" s="1"/>
  <c r="H148" i="13" s="1"/>
  <c r="F51" i="13"/>
  <c r="F84" i="13" s="1"/>
  <c r="F116" i="13" s="1"/>
  <c r="F148" i="13" s="1"/>
  <c r="D51" i="13"/>
  <c r="D84" i="13" s="1"/>
  <c r="D116" i="13" s="1"/>
  <c r="D148" i="13" s="1"/>
  <c r="H50" i="13"/>
  <c r="H83" i="13" s="1"/>
  <c r="H115" i="13" s="1"/>
  <c r="H147" i="13" s="1"/>
  <c r="F50" i="13"/>
  <c r="F83" i="13" s="1"/>
  <c r="F115" i="13" s="1"/>
  <c r="F147" i="13" s="1"/>
  <c r="D50" i="13"/>
  <c r="D83" i="13" s="1"/>
  <c r="D115" i="13" s="1"/>
  <c r="D147" i="13" s="1"/>
  <c r="H49" i="13"/>
  <c r="H82" i="13" s="1"/>
  <c r="H114" i="13" s="1"/>
  <c r="H146" i="13" s="1"/>
  <c r="F49" i="13"/>
  <c r="F82" i="13" s="1"/>
  <c r="F114" i="13" s="1"/>
  <c r="F146" i="13" s="1"/>
  <c r="D49" i="13"/>
  <c r="D82" i="13" s="1"/>
  <c r="D114" i="13" s="1"/>
  <c r="D146" i="13" s="1"/>
  <c r="D48" i="13"/>
  <c r="D81" i="13" s="1"/>
  <c r="D113" i="13" s="1"/>
  <c r="D145" i="13" s="1"/>
  <c r="F48" i="13"/>
  <c r="F81" i="13" s="1"/>
  <c r="F113" i="13" s="1"/>
  <c r="F145" i="13" s="1"/>
  <c r="H48" i="13"/>
  <c r="H81" i="13" s="1"/>
  <c r="H113" i="13" s="1"/>
  <c r="H145" i="13" s="1"/>
  <c r="L36" i="13"/>
  <c r="K36" i="13"/>
  <c r="D61" i="1"/>
  <c r="D60" i="1"/>
  <c r="D59" i="1"/>
  <c r="D58" i="1"/>
  <c r="D49" i="1"/>
  <c r="D48" i="1"/>
  <c r="D47" i="1"/>
  <c r="D46" i="1"/>
  <c r="D38" i="1"/>
  <c r="D37" i="1"/>
  <c r="D36" i="1"/>
  <c r="D35" i="1"/>
  <c r="F15" i="1"/>
  <c r="G15" i="1"/>
  <c r="H15" i="1"/>
  <c r="I15" i="1"/>
  <c r="J15" i="1"/>
  <c r="F11" i="26"/>
  <c r="M70" i="15"/>
  <c r="M69" i="15"/>
  <c r="M68" i="15"/>
  <c r="M67" i="15"/>
  <c r="M66" i="15"/>
  <c r="M65" i="15"/>
  <c r="M64" i="15"/>
  <c r="M63" i="15"/>
  <c r="M62" i="15"/>
  <c r="M61" i="15"/>
  <c r="M60" i="15"/>
  <c r="M59" i="15"/>
  <c r="M58" i="15"/>
  <c r="M57" i="15"/>
  <c r="M56" i="15"/>
  <c r="M55" i="15"/>
  <c r="M54" i="15"/>
  <c r="M53" i="15"/>
  <c r="M52" i="15"/>
  <c r="M51" i="15"/>
  <c r="M50" i="15"/>
  <c r="M49" i="15"/>
  <c r="M48" i="15"/>
  <c r="M47" i="15"/>
  <c r="M46" i="15"/>
  <c r="M45" i="15"/>
  <c r="M44" i="15"/>
  <c r="M43" i="15"/>
  <c r="M42" i="15"/>
  <c r="M41" i="15"/>
  <c r="M40" i="15"/>
  <c r="L70" i="15"/>
  <c r="L69" i="15"/>
  <c r="L68" i="15"/>
  <c r="L67" i="15"/>
  <c r="L66" i="15"/>
  <c r="L65" i="15"/>
  <c r="L64" i="15"/>
  <c r="L63" i="15"/>
  <c r="L62" i="15"/>
  <c r="L61" i="15"/>
  <c r="L60" i="15"/>
  <c r="L59" i="15"/>
  <c r="L58" i="15"/>
  <c r="L57" i="15"/>
  <c r="L56" i="15"/>
  <c r="L55" i="15"/>
  <c r="L54" i="15"/>
  <c r="L53" i="15"/>
  <c r="L52" i="15"/>
  <c r="L51" i="15"/>
  <c r="L50" i="15"/>
  <c r="L49" i="15"/>
  <c r="L48" i="15"/>
  <c r="L47" i="15"/>
  <c r="L46" i="15"/>
  <c r="L45" i="15"/>
  <c r="L44" i="15"/>
  <c r="L43" i="15"/>
  <c r="L42" i="15"/>
  <c r="L41" i="15"/>
  <c r="L40" i="15"/>
  <c r="K70" i="15"/>
  <c r="N70" i="15" s="1"/>
  <c r="K69" i="15"/>
  <c r="N69" i="15" s="1"/>
  <c r="K68" i="15"/>
  <c r="N68" i="15" s="1"/>
  <c r="K67" i="15"/>
  <c r="N67" i="15" s="1"/>
  <c r="K66" i="15"/>
  <c r="N66" i="15" s="1"/>
  <c r="K65" i="15"/>
  <c r="N65" i="15" s="1"/>
  <c r="K64" i="15"/>
  <c r="N64" i="15" s="1"/>
  <c r="K63" i="15"/>
  <c r="N63" i="15" s="1"/>
  <c r="K62" i="15"/>
  <c r="N62" i="15" s="1"/>
  <c r="K61" i="15"/>
  <c r="N61" i="15" s="1"/>
  <c r="K60" i="15"/>
  <c r="N60" i="15"/>
  <c r="K59" i="15"/>
  <c r="N59" i="15" s="1"/>
  <c r="K58" i="15"/>
  <c r="N58" i="15"/>
  <c r="K57" i="15"/>
  <c r="N57" i="15" s="1"/>
  <c r="K56" i="15"/>
  <c r="N56" i="15"/>
  <c r="K55" i="15"/>
  <c r="N55" i="15" s="1"/>
  <c r="K54" i="15"/>
  <c r="N54" i="15"/>
  <c r="K53" i="15"/>
  <c r="N53" i="15" s="1"/>
  <c r="K52" i="15"/>
  <c r="N52" i="15" s="1"/>
  <c r="K51" i="15"/>
  <c r="N51" i="15" s="1"/>
  <c r="K50" i="15"/>
  <c r="N50" i="15" s="1"/>
  <c r="K49" i="15"/>
  <c r="N49" i="15" s="1"/>
  <c r="K48" i="15"/>
  <c r="N48" i="15" s="1"/>
  <c r="K47" i="15"/>
  <c r="N47" i="15" s="1"/>
  <c r="K46" i="15"/>
  <c r="N46" i="15"/>
  <c r="K45" i="15"/>
  <c r="N45" i="15" s="1"/>
  <c r="K44" i="15"/>
  <c r="N44" i="15" s="1"/>
  <c r="K43" i="15"/>
  <c r="N43" i="15"/>
  <c r="K42" i="15"/>
  <c r="N42" i="15" s="1"/>
  <c r="K41" i="15"/>
  <c r="N41" i="15"/>
  <c r="K40" i="15"/>
  <c r="N40" i="15" s="1"/>
  <c r="M39" i="15"/>
  <c r="L39" i="15"/>
  <c r="K39" i="15"/>
  <c r="K15" i="15"/>
  <c r="N15" i="15" s="1"/>
  <c r="M15" i="15"/>
  <c r="K16" i="15"/>
  <c r="N16" i="15" s="1"/>
  <c r="M16" i="15"/>
  <c r="K17" i="15"/>
  <c r="N17" i="15" s="1"/>
  <c r="M17" i="15"/>
  <c r="K18" i="15"/>
  <c r="N18" i="15" s="1"/>
  <c r="M18" i="15"/>
  <c r="K19" i="15"/>
  <c r="N19" i="15" s="1"/>
  <c r="M19" i="15"/>
  <c r="K20" i="15"/>
  <c r="N20" i="15" s="1"/>
  <c r="M20" i="15"/>
  <c r="K21" i="15"/>
  <c r="N21" i="15" s="1"/>
  <c r="M21" i="15"/>
  <c r="K22" i="15"/>
  <c r="N22" i="15"/>
  <c r="M22" i="15"/>
  <c r="K23" i="15"/>
  <c r="N23" i="15" s="1"/>
  <c r="M23" i="15"/>
  <c r="K24" i="15"/>
  <c r="N24" i="15"/>
  <c r="M24" i="15"/>
  <c r="K25" i="15"/>
  <c r="N25" i="15" s="1"/>
  <c r="M25" i="15"/>
  <c r="K26" i="15"/>
  <c r="N26" i="15" s="1"/>
  <c r="M26" i="15"/>
  <c r="K27" i="15"/>
  <c r="N27" i="15" s="1"/>
  <c r="M27" i="15"/>
  <c r="K28" i="15"/>
  <c r="N28" i="15" s="1"/>
  <c r="M28" i="15"/>
  <c r="K29" i="15"/>
  <c r="N29" i="15" s="1"/>
  <c r="M29" i="15"/>
  <c r="K30" i="15"/>
  <c r="N30" i="15" s="1"/>
  <c r="M30" i="15"/>
  <c r="K31" i="15"/>
  <c r="N31" i="15" s="1"/>
  <c r="M31" i="15"/>
  <c r="K32" i="15"/>
  <c r="N32" i="15" s="1"/>
  <c r="M32" i="15"/>
  <c r="K33" i="15"/>
  <c r="N33" i="15" s="1"/>
  <c r="M33" i="15"/>
  <c r="K34" i="15"/>
  <c r="N34" i="15"/>
  <c r="M34" i="15"/>
  <c r="K35" i="15"/>
  <c r="N35" i="15" s="1"/>
  <c r="M35" i="15"/>
  <c r="K36" i="15"/>
  <c r="N36" i="15" s="1"/>
  <c r="M36" i="15"/>
  <c r="K37" i="15"/>
  <c r="N37" i="15" s="1"/>
  <c r="M37" i="15"/>
  <c r="K38" i="15"/>
  <c r="N38" i="15" s="1"/>
  <c r="M38" i="15"/>
  <c r="N39" i="15"/>
  <c r="L38" i="15"/>
  <c r="L37" i="15"/>
  <c r="L36" i="15"/>
  <c r="L35" i="15"/>
  <c r="L34" i="15"/>
  <c r="L33" i="15"/>
  <c r="L32" i="15"/>
  <c r="L31" i="15"/>
  <c r="L30" i="15"/>
  <c r="L29" i="15"/>
  <c r="L28" i="15"/>
  <c r="L27" i="15"/>
  <c r="L26" i="15"/>
  <c r="L25" i="15"/>
  <c r="L24" i="15"/>
  <c r="L23" i="15"/>
  <c r="L22" i="15"/>
  <c r="L21" i="15"/>
  <c r="L20" i="15"/>
  <c r="L19" i="15"/>
  <c r="L18" i="15"/>
  <c r="L17" i="15"/>
  <c r="L16" i="15"/>
  <c r="L14" i="15"/>
  <c r="G59" i="24"/>
  <c r="G54" i="24"/>
  <c r="G49" i="24"/>
  <c r="G44" i="24"/>
  <c r="J8" i="24"/>
  <c r="I8" i="24"/>
  <c r="H8" i="24"/>
  <c r="G8" i="24"/>
  <c r="F8" i="24"/>
  <c r="J8" i="18"/>
  <c r="I8" i="18"/>
  <c r="H8" i="18"/>
  <c r="G8" i="18"/>
  <c r="F8" i="18"/>
  <c r="D14" i="22"/>
  <c r="D56" i="22" s="1"/>
  <c r="C25" i="22"/>
  <c r="C49" i="22"/>
  <c r="D49" i="22"/>
  <c r="C50" i="22"/>
  <c r="D50" i="22"/>
  <c r="C55" i="22"/>
  <c r="C56" i="22"/>
  <c r="I31" i="23"/>
  <c r="H106" i="23" s="1"/>
  <c r="H36" i="25"/>
  <c r="I44" i="18"/>
  <c r="H114" i="18" s="1"/>
  <c r="I17" i="25" s="1"/>
  <c r="I27" i="1"/>
  <c r="J27" i="1" s="1"/>
  <c r="G83" i="1"/>
  <c r="J44" i="18"/>
  <c r="H55" i="1"/>
  <c r="I55" i="1" s="1"/>
  <c r="J55" i="1" s="1"/>
  <c r="U48" i="13"/>
  <c r="U65" i="13"/>
  <c r="U57" i="13"/>
  <c r="I69" i="23"/>
  <c r="G23" i="25" s="1"/>
  <c r="I76" i="1"/>
  <c r="J76" i="1" s="1"/>
  <c r="I21" i="1"/>
  <c r="J21" i="1" s="1"/>
  <c r="I67" i="18"/>
  <c r="J67" i="18" s="1"/>
  <c r="F83" i="1"/>
  <c r="F85" i="1"/>
  <c r="U62" i="13"/>
  <c r="U54" i="13"/>
  <c r="K68" i="13"/>
  <c r="U52" i="13"/>
  <c r="U60" i="13"/>
  <c r="W92" i="22"/>
  <c r="W91" i="22"/>
  <c r="W90" i="22"/>
  <c r="J108" i="23"/>
  <c r="L38" i="23"/>
  <c r="K108" i="23" s="1"/>
  <c r="K27" i="23"/>
  <c r="G45" i="11"/>
  <c r="F44" i="26" s="1"/>
  <c r="U61" i="13"/>
  <c r="U64" i="13"/>
  <c r="U56" i="13"/>
  <c r="J25" i="1"/>
  <c r="I15" i="18"/>
  <c r="J22" i="1"/>
  <c r="J15" i="18" s="1"/>
  <c r="J65" i="1"/>
  <c r="J49" i="24" s="1"/>
  <c r="I49" i="24"/>
  <c r="G8" i="11"/>
  <c r="G61" i="11" s="1"/>
  <c r="F110" i="18"/>
  <c r="I8" i="23"/>
  <c r="G38" i="24" s="1"/>
  <c r="F8" i="26"/>
  <c r="D58" i="22"/>
  <c r="G8" i="25"/>
  <c r="I8" i="25" s="1"/>
  <c r="J8" i="25" s="1"/>
  <c r="J19" i="23"/>
  <c r="K16" i="23"/>
  <c r="L16" i="23" s="1"/>
  <c r="L19" i="23" s="1"/>
  <c r="L27" i="23"/>
  <c r="J49" i="1" l="1"/>
  <c r="I59" i="24"/>
  <c r="I37" i="18"/>
  <c r="J31" i="18"/>
  <c r="J37" i="18" s="1"/>
  <c r="I113" i="18" s="1"/>
  <c r="G29" i="30"/>
  <c r="J25" i="29"/>
  <c r="K25" i="29" s="1"/>
  <c r="J48" i="1"/>
  <c r="J54" i="24" s="1"/>
  <c r="I54" i="24"/>
  <c r="J46" i="1"/>
  <c r="I50" i="1"/>
  <c r="I44" i="24"/>
  <c r="J23" i="18"/>
  <c r="J33" i="29"/>
  <c r="K33" i="29" s="1"/>
  <c r="G37" i="30"/>
  <c r="J45" i="29"/>
  <c r="K45" i="29" s="1"/>
  <c r="AB45" i="29" s="1"/>
  <c r="G49" i="30"/>
  <c r="L108" i="23"/>
  <c r="U67" i="13"/>
  <c r="I29" i="1"/>
  <c r="F84" i="1"/>
  <c r="H47" i="11"/>
  <c r="I47" i="11" s="1"/>
  <c r="G84" i="1"/>
  <c r="U36" i="13"/>
  <c r="G85" i="1"/>
  <c r="F64" i="24"/>
  <c r="F67" i="24" s="1"/>
  <c r="H75" i="23" s="1"/>
  <c r="H86" i="23" s="1"/>
  <c r="F24" i="25" s="1"/>
  <c r="L68" i="13"/>
  <c r="G35" i="28"/>
  <c r="H91" i="18"/>
  <c r="G38" i="1"/>
  <c r="G60" i="24" s="1"/>
  <c r="G23" i="18"/>
  <c r="F51" i="24"/>
  <c r="F26" i="24"/>
  <c r="F66" i="18"/>
  <c r="F14" i="24"/>
  <c r="G45" i="24"/>
  <c r="J72" i="1"/>
  <c r="L37" i="23" s="1"/>
  <c r="L43" i="23" s="1"/>
  <c r="L109" i="23" s="1"/>
  <c r="K37" i="23"/>
  <c r="K43" i="23" s="1"/>
  <c r="O36" i="13"/>
  <c r="H45" i="28"/>
  <c r="D45" i="22"/>
  <c r="J85" i="18"/>
  <c r="I91" i="18"/>
  <c r="I23" i="18"/>
  <c r="G37" i="18"/>
  <c r="F23" i="26"/>
  <c r="H45" i="11"/>
  <c r="G44" i="26" s="1"/>
  <c r="I43" i="11"/>
  <c r="J43" i="11" s="1"/>
  <c r="D70" i="22"/>
  <c r="Q111" i="13"/>
  <c r="Q79" i="13"/>
  <c r="Q143" i="13"/>
  <c r="H35" i="28"/>
  <c r="D72" i="22"/>
  <c r="F56" i="24"/>
  <c r="F61" i="24"/>
  <c r="I66" i="24"/>
  <c r="I51" i="24" s="1"/>
  <c r="O100" i="13"/>
  <c r="I132" i="13"/>
  <c r="O96" i="13"/>
  <c r="I128" i="13"/>
  <c r="O92" i="13"/>
  <c r="I124" i="13"/>
  <c r="O88" i="13"/>
  <c r="I120" i="13"/>
  <c r="O84" i="13"/>
  <c r="I116" i="13"/>
  <c r="U99" i="13"/>
  <c r="G131" i="13"/>
  <c r="U95" i="13"/>
  <c r="G127" i="13"/>
  <c r="U91" i="13"/>
  <c r="G123" i="13"/>
  <c r="U87" i="13"/>
  <c r="G119" i="13"/>
  <c r="U83" i="13"/>
  <c r="G115" i="13"/>
  <c r="U82" i="13"/>
  <c r="G114" i="13"/>
  <c r="P97" i="13"/>
  <c r="T97" i="13"/>
  <c r="J97" i="13"/>
  <c r="E129" i="13"/>
  <c r="V97" i="13"/>
  <c r="P93" i="13"/>
  <c r="T93" i="13"/>
  <c r="J93" i="13"/>
  <c r="E125" i="13"/>
  <c r="V93" i="13"/>
  <c r="P89" i="13"/>
  <c r="T89" i="13"/>
  <c r="J89" i="13"/>
  <c r="E121" i="13"/>
  <c r="V89" i="13"/>
  <c r="P85" i="13"/>
  <c r="T85" i="13"/>
  <c r="J85" i="13"/>
  <c r="E117" i="13"/>
  <c r="V85" i="13"/>
  <c r="E114" i="13"/>
  <c r="V82" i="13"/>
  <c r="S81" i="13"/>
  <c r="M81" i="13"/>
  <c r="L113" i="13"/>
  <c r="S86" i="13"/>
  <c r="M86" i="13"/>
  <c r="L118" i="13"/>
  <c r="S90" i="13"/>
  <c r="M90" i="13"/>
  <c r="L122" i="13"/>
  <c r="S94" i="13"/>
  <c r="M94" i="13"/>
  <c r="L126" i="13"/>
  <c r="S98" i="13"/>
  <c r="M98" i="13"/>
  <c r="L130" i="13"/>
  <c r="M50" i="13"/>
  <c r="L83" i="13"/>
  <c r="L101" i="13" s="1"/>
  <c r="O97" i="13"/>
  <c r="I129" i="13"/>
  <c r="O93" i="13"/>
  <c r="I125" i="13"/>
  <c r="O89" i="13"/>
  <c r="I121" i="13"/>
  <c r="O85" i="13"/>
  <c r="I117" i="13"/>
  <c r="U100" i="13"/>
  <c r="G132" i="13"/>
  <c r="U96" i="13"/>
  <c r="G128" i="13"/>
  <c r="U92" i="13"/>
  <c r="G124" i="13"/>
  <c r="U88" i="13"/>
  <c r="G120" i="13"/>
  <c r="U84" i="13"/>
  <c r="G116" i="13"/>
  <c r="J98" i="13"/>
  <c r="E130" i="13"/>
  <c r="V98" i="13"/>
  <c r="P98" i="13"/>
  <c r="T98" i="13"/>
  <c r="J94" i="13"/>
  <c r="E126" i="13"/>
  <c r="V94" i="13"/>
  <c r="P94" i="13"/>
  <c r="T94" i="13"/>
  <c r="J90" i="13"/>
  <c r="E122" i="13"/>
  <c r="V90" i="13"/>
  <c r="P90" i="13"/>
  <c r="T90" i="13"/>
  <c r="J86" i="13"/>
  <c r="E118" i="13"/>
  <c r="V86" i="13"/>
  <c r="P86" i="13"/>
  <c r="T86" i="13"/>
  <c r="I114" i="13"/>
  <c r="E113" i="13"/>
  <c r="V81" i="13"/>
  <c r="S85" i="13"/>
  <c r="M85" i="13"/>
  <c r="L117" i="13"/>
  <c r="S89" i="13"/>
  <c r="M89" i="13"/>
  <c r="L121" i="13"/>
  <c r="S93" i="13"/>
  <c r="M93" i="13"/>
  <c r="L125" i="13"/>
  <c r="S97" i="13"/>
  <c r="M97" i="13"/>
  <c r="L129" i="13"/>
  <c r="O98" i="13"/>
  <c r="I130" i="13"/>
  <c r="O94" i="13"/>
  <c r="I126" i="13"/>
  <c r="O90" i="13"/>
  <c r="I122" i="13"/>
  <c r="O86" i="13"/>
  <c r="I118" i="13"/>
  <c r="U97" i="13"/>
  <c r="G129" i="13"/>
  <c r="U93" i="13"/>
  <c r="G125" i="13"/>
  <c r="U89" i="13"/>
  <c r="G121" i="13"/>
  <c r="U85" i="13"/>
  <c r="G117" i="13"/>
  <c r="P99" i="13"/>
  <c r="T99" i="13"/>
  <c r="J99" i="13"/>
  <c r="E131" i="13"/>
  <c r="V99" i="13"/>
  <c r="P95" i="13"/>
  <c r="T95" i="13"/>
  <c r="J95" i="13"/>
  <c r="E127" i="13"/>
  <c r="V95" i="13"/>
  <c r="P91" i="13"/>
  <c r="T91" i="13"/>
  <c r="J91" i="13"/>
  <c r="E123" i="13"/>
  <c r="V91" i="13"/>
  <c r="P87" i="13"/>
  <c r="T87" i="13"/>
  <c r="J87" i="13"/>
  <c r="E119" i="13"/>
  <c r="V87" i="13"/>
  <c r="P83" i="13"/>
  <c r="T83" i="13"/>
  <c r="J83" i="13"/>
  <c r="E115" i="13"/>
  <c r="V83" i="13"/>
  <c r="S84" i="13"/>
  <c r="M84" i="13"/>
  <c r="L116" i="13"/>
  <c r="S88" i="13"/>
  <c r="M88" i="13"/>
  <c r="L120" i="13"/>
  <c r="S92" i="13"/>
  <c r="M92" i="13"/>
  <c r="L124" i="13"/>
  <c r="S96" i="13"/>
  <c r="M96" i="13"/>
  <c r="L128" i="13"/>
  <c r="S100" i="13"/>
  <c r="M100" i="13"/>
  <c r="L132" i="13"/>
  <c r="O99" i="13"/>
  <c r="I131" i="13"/>
  <c r="O95" i="13"/>
  <c r="I127" i="13"/>
  <c r="O91" i="13"/>
  <c r="I123" i="13"/>
  <c r="O87" i="13"/>
  <c r="I119" i="13"/>
  <c r="O83" i="13"/>
  <c r="I115" i="13"/>
  <c r="U98" i="13"/>
  <c r="G130" i="13"/>
  <c r="U94" i="13"/>
  <c r="G126" i="13"/>
  <c r="U90" i="13"/>
  <c r="G122" i="13"/>
  <c r="U86" i="13"/>
  <c r="G118" i="13"/>
  <c r="U81" i="13"/>
  <c r="U101" i="13" s="1"/>
  <c r="G113" i="13"/>
  <c r="J100" i="13"/>
  <c r="E132" i="13"/>
  <c r="V100" i="13"/>
  <c r="P100" i="13"/>
  <c r="T100" i="13"/>
  <c r="J96" i="13"/>
  <c r="E128" i="13"/>
  <c r="V96" i="13"/>
  <c r="P96" i="13"/>
  <c r="T96" i="13"/>
  <c r="J92" i="13"/>
  <c r="E124" i="13"/>
  <c r="V92" i="13"/>
  <c r="P92" i="13"/>
  <c r="T92" i="13"/>
  <c r="J88" i="13"/>
  <c r="E120" i="13"/>
  <c r="V88" i="13"/>
  <c r="P88" i="13"/>
  <c r="T88" i="13"/>
  <c r="J84" i="13"/>
  <c r="E116" i="13"/>
  <c r="V84" i="13"/>
  <c r="P84" i="13"/>
  <c r="T84" i="13"/>
  <c r="K101" i="13"/>
  <c r="K113" i="13"/>
  <c r="I113" i="13"/>
  <c r="S87" i="13"/>
  <c r="M87" i="13"/>
  <c r="L119" i="13"/>
  <c r="S91" i="13"/>
  <c r="M91" i="13"/>
  <c r="L123" i="13"/>
  <c r="S95" i="13"/>
  <c r="M95" i="13"/>
  <c r="L127" i="13"/>
  <c r="S99" i="13"/>
  <c r="M99" i="13"/>
  <c r="L131" i="13"/>
  <c r="S82" i="13"/>
  <c r="M82" i="13"/>
  <c r="L114" i="13"/>
  <c r="R67" i="13"/>
  <c r="R63" i="13"/>
  <c r="R59" i="13"/>
  <c r="R55" i="13"/>
  <c r="R51" i="13"/>
  <c r="M48" i="13"/>
  <c r="U66" i="13"/>
  <c r="U58" i="13"/>
  <c r="U50" i="13"/>
  <c r="U49" i="13"/>
  <c r="R64" i="13"/>
  <c r="R60" i="13"/>
  <c r="R56" i="13"/>
  <c r="R52" i="13"/>
  <c r="M56" i="13"/>
  <c r="U63" i="13"/>
  <c r="U55" i="13"/>
  <c r="U51" i="13"/>
  <c r="R65" i="13"/>
  <c r="R61" i="13"/>
  <c r="R57" i="13"/>
  <c r="R53" i="13"/>
  <c r="R66" i="13"/>
  <c r="R62" i="13"/>
  <c r="R58" i="13"/>
  <c r="R54" i="13"/>
  <c r="R50" i="13"/>
  <c r="S50" i="13"/>
  <c r="H16" i="1"/>
  <c r="I16" i="1" s="1"/>
  <c r="J16" i="1" s="1"/>
  <c r="F18" i="24"/>
  <c r="Q35" i="13"/>
  <c r="Q34" i="13"/>
  <c r="Q33" i="13"/>
  <c r="Q32" i="13"/>
  <c r="Q31" i="13"/>
  <c r="Q30" i="13"/>
  <c r="Q29" i="13"/>
  <c r="Q28" i="13"/>
  <c r="Q27" i="13"/>
  <c r="Q26" i="13"/>
  <c r="Q25" i="13"/>
  <c r="Q24" i="13"/>
  <c r="Q23" i="13"/>
  <c r="Q22" i="13"/>
  <c r="Q21" i="13"/>
  <c r="Q20" i="13"/>
  <c r="Q19" i="13"/>
  <c r="Q18" i="13"/>
  <c r="Q17" i="13"/>
  <c r="H47" i="23"/>
  <c r="M49" i="13"/>
  <c r="S49" i="13"/>
  <c r="T8" i="15"/>
  <c r="T30" i="15" s="1"/>
  <c r="O33" i="15"/>
  <c r="O40" i="15"/>
  <c r="O47" i="15"/>
  <c r="O50" i="15"/>
  <c r="Q58" i="15"/>
  <c r="Q15" i="15"/>
  <c r="O61" i="15"/>
  <c r="O68" i="15"/>
  <c r="O30" i="15"/>
  <c r="Q57" i="15"/>
  <c r="Q43" i="15"/>
  <c r="Q39" i="15"/>
  <c r="O57" i="15"/>
  <c r="O64" i="15"/>
  <c r="O26" i="15"/>
  <c r="Q41" i="15"/>
  <c r="Q54" i="15"/>
  <c r="O53" i="15"/>
  <c r="O44" i="15"/>
  <c r="O51" i="15"/>
  <c r="O54" i="15"/>
  <c r="Q26" i="15"/>
  <c r="O56" i="15"/>
  <c r="Q34" i="15"/>
  <c r="Q36" i="15"/>
  <c r="O27" i="15"/>
  <c r="Q52" i="15"/>
  <c r="Q70" i="15"/>
  <c r="O69" i="15"/>
  <c r="W8" i="15"/>
  <c r="W19" i="15" s="1"/>
  <c r="O17" i="15"/>
  <c r="O24" i="15"/>
  <c r="O31" i="15"/>
  <c r="O34" i="15"/>
  <c r="Q20" i="15"/>
  <c r="Q40" i="15"/>
  <c r="O45" i="15"/>
  <c r="O52" i="15"/>
  <c r="O59" i="15"/>
  <c r="S8" i="15"/>
  <c r="S19" i="15" s="1"/>
  <c r="Q47" i="15"/>
  <c r="Q31" i="15"/>
  <c r="O41" i="15"/>
  <c r="O48" i="15"/>
  <c r="O55" i="15"/>
  <c r="R8" i="15"/>
  <c r="R31" i="15" s="1"/>
  <c r="Q59" i="15"/>
  <c r="O37" i="15"/>
  <c r="O28" i="15"/>
  <c r="O35" i="15"/>
  <c r="O38" i="15"/>
  <c r="O63" i="15"/>
  <c r="O46" i="15"/>
  <c r="O16" i="15"/>
  <c r="Q28" i="15"/>
  <c r="O60" i="15"/>
  <c r="Q55" i="15"/>
  <c r="Q18" i="15"/>
  <c r="O65" i="15"/>
  <c r="O15" i="15"/>
  <c r="O18" i="15"/>
  <c r="Q45" i="15"/>
  <c r="Q22" i="15"/>
  <c r="O29" i="15"/>
  <c r="O36" i="15"/>
  <c r="O43" i="15"/>
  <c r="O62" i="15"/>
  <c r="Q38" i="15"/>
  <c r="Q60" i="15"/>
  <c r="O25" i="15"/>
  <c r="O32" i="15"/>
  <c r="O39" i="15"/>
  <c r="O58" i="15"/>
  <c r="Q46" i="15"/>
  <c r="O21" i="15"/>
  <c r="O70" i="15"/>
  <c r="O19" i="15"/>
  <c r="O22" i="15"/>
  <c r="O66" i="15"/>
  <c r="Q56" i="15"/>
  <c r="O23" i="15"/>
  <c r="O67" i="15"/>
  <c r="O49" i="15"/>
  <c r="O20" i="15"/>
  <c r="Q42" i="15"/>
  <c r="O42" i="15"/>
  <c r="F8" i="17"/>
  <c r="I61" i="24"/>
  <c r="Q53" i="15"/>
  <c r="Q24" i="15"/>
  <c r="I45" i="28"/>
  <c r="F35" i="28"/>
  <c r="F49" i="17"/>
  <c r="G14" i="17" s="1"/>
  <c r="G49" i="17" s="1"/>
  <c r="H14" i="17" s="1"/>
  <c r="H49" i="17" s="1"/>
  <c r="I14" i="17" s="1"/>
  <c r="I49" i="17" s="1"/>
  <c r="J14" i="17" s="1"/>
  <c r="J49" i="17" s="1"/>
  <c r="F47" i="17"/>
  <c r="M14" i="15"/>
  <c r="O14" i="15" s="1"/>
  <c r="G41" i="30"/>
  <c r="J37" i="29"/>
  <c r="K37" i="29" s="1"/>
  <c r="G21" i="30"/>
  <c r="J17" i="29"/>
  <c r="K17" i="29" s="1"/>
  <c r="AB17" i="29" s="1"/>
  <c r="J15" i="29"/>
  <c r="K15" i="29" s="1"/>
  <c r="G19" i="30"/>
  <c r="T88" i="29"/>
  <c r="U88" i="29"/>
  <c r="R57" i="15"/>
  <c r="I35" i="28"/>
  <c r="G45" i="28"/>
  <c r="T29" i="13"/>
  <c r="T21" i="13"/>
  <c r="R40" i="15"/>
  <c r="R22" i="15"/>
  <c r="P18" i="13"/>
  <c r="R60" i="15"/>
  <c r="R36" i="15"/>
  <c r="F43" i="18"/>
  <c r="F51" i="18" s="1"/>
  <c r="F50" i="17"/>
  <c r="G15" i="17" s="1"/>
  <c r="G50" i="17" s="1"/>
  <c r="H15" i="17" s="1"/>
  <c r="H50" i="17" s="1"/>
  <c r="I15" i="17" s="1"/>
  <c r="I50" i="17" s="1"/>
  <c r="J15" i="17" s="1"/>
  <c r="J50" i="17" s="1"/>
  <c r="P22" i="13"/>
  <c r="Q35" i="15"/>
  <c r="Q30" i="15"/>
  <c r="Q25" i="15"/>
  <c r="Q17" i="15"/>
  <c r="R49" i="15"/>
  <c r="Q49" i="15"/>
  <c r="Q61" i="15"/>
  <c r="R61" i="15"/>
  <c r="Q65" i="15"/>
  <c r="Q69" i="15"/>
  <c r="I20" i="11"/>
  <c r="H23" i="26" s="1"/>
  <c r="G23" i="26"/>
  <c r="J29" i="1"/>
  <c r="J44" i="24"/>
  <c r="L76" i="23"/>
  <c r="Q37" i="15"/>
  <c r="R37" i="15"/>
  <c r="Q32" i="15"/>
  <c r="Q27" i="15"/>
  <c r="Q19" i="15"/>
  <c r="R19" i="15"/>
  <c r="Q48" i="15"/>
  <c r="Q64" i="15"/>
  <c r="Q68" i="15"/>
  <c r="J33" i="25"/>
  <c r="J36" i="25" s="1"/>
  <c r="I36" i="25"/>
  <c r="I19" i="11"/>
  <c r="G22" i="26"/>
  <c r="L65" i="23"/>
  <c r="J59" i="24"/>
  <c r="J69" i="23"/>
  <c r="K66" i="23"/>
  <c r="L66" i="23" s="1"/>
  <c r="L13" i="23"/>
  <c r="L21" i="23" s="1"/>
  <c r="J31" i="1"/>
  <c r="J66" i="24"/>
  <c r="Q29" i="15"/>
  <c r="Q21" i="15"/>
  <c r="R21" i="15"/>
  <c r="Q16" i="15"/>
  <c r="Q51" i="15"/>
  <c r="Q63" i="15"/>
  <c r="R63" i="15"/>
  <c r="Q67" i="15"/>
  <c r="G38" i="26"/>
  <c r="I16" i="11"/>
  <c r="R33" i="15"/>
  <c r="Q33" i="15"/>
  <c r="Q23" i="15"/>
  <c r="Q44" i="15"/>
  <c r="R44" i="15"/>
  <c r="Q50" i="15"/>
  <c r="Q62" i="15"/>
  <c r="Q66" i="15"/>
  <c r="I21" i="11"/>
  <c r="H24" i="26" s="1"/>
  <c r="G24" i="26"/>
  <c r="L28" i="23"/>
  <c r="L31" i="23" s="1"/>
  <c r="L106" i="23" s="1"/>
  <c r="K31" i="23"/>
  <c r="J44" i="11"/>
  <c r="J45" i="11" s="1"/>
  <c r="I45" i="11"/>
  <c r="J91" i="18"/>
  <c r="S63" i="15"/>
  <c r="J43" i="23"/>
  <c r="J64" i="13"/>
  <c r="V64" i="13"/>
  <c r="J60" i="13"/>
  <c r="V60" i="13"/>
  <c r="J56" i="13"/>
  <c r="V56" i="13"/>
  <c r="J52" i="13"/>
  <c r="V52" i="13"/>
  <c r="J49" i="13"/>
  <c r="J82" i="13" s="1"/>
  <c r="O82" i="13" s="1"/>
  <c r="P82" i="13" s="1"/>
  <c r="V49" i="13"/>
  <c r="F14" i="18"/>
  <c r="F16" i="18" s="1"/>
  <c r="F25" i="18" s="1"/>
  <c r="M14" i="29"/>
  <c r="M18" i="29"/>
  <c r="M22" i="29"/>
  <c r="M26" i="29"/>
  <c r="M30" i="29"/>
  <c r="M34" i="29"/>
  <c r="M38" i="29"/>
  <c r="M42" i="29"/>
  <c r="M46" i="29"/>
  <c r="M50" i="29"/>
  <c r="M54" i="29"/>
  <c r="M58" i="29"/>
  <c r="M62" i="29"/>
  <c r="M66" i="29"/>
  <c r="M70" i="29"/>
  <c r="M74" i="29"/>
  <c r="M78" i="29"/>
  <c r="M82" i="29"/>
  <c r="M86" i="29"/>
  <c r="M17" i="29"/>
  <c r="M21" i="29"/>
  <c r="M25" i="29"/>
  <c r="M29" i="29"/>
  <c r="M33" i="29"/>
  <c r="M37" i="29"/>
  <c r="M41" i="29"/>
  <c r="M45" i="29"/>
  <c r="M49" i="29"/>
  <c r="M53" i="29"/>
  <c r="M57" i="29"/>
  <c r="M61" i="29"/>
  <c r="M65" i="29"/>
  <c r="M69" i="29"/>
  <c r="M73" i="29"/>
  <c r="M77" i="29"/>
  <c r="M81" i="29"/>
  <c r="M85" i="29"/>
  <c r="M15" i="29"/>
  <c r="M19" i="29"/>
  <c r="M23" i="29"/>
  <c r="M27" i="29"/>
  <c r="M31" i="29"/>
  <c r="M35" i="29"/>
  <c r="M39" i="29"/>
  <c r="M43" i="29"/>
  <c r="M47" i="29"/>
  <c r="M51" i="29"/>
  <c r="M55" i="29"/>
  <c r="M59" i="29"/>
  <c r="M63" i="29"/>
  <c r="M67" i="29"/>
  <c r="M71" i="29"/>
  <c r="M75" i="29"/>
  <c r="M79" i="29"/>
  <c r="M83" i="29"/>
  <c r="M87" i="29"/>
  <c r="M24" i="29"/>
  <c r="M40" i="29"/>
  <c r="M56" i="29"/>
  <c r="M72" i="29"/>
  <c r="M20" i="29"/>
  <c r="M36" i="29"/>
  <c r="M52" i="29"/>
  <c r="M68" i="29"/>
  <c r="M84" i="29"/>
  <c r="M28" i="29"/>
  <c r="M44" i="29"/>
  <c r="M60" i="29"/>
  <c r="M76" i="29"/>
  <c r="M13" i="29"/>
  <c r="I37" i="23"/>
  <c r="I43" i="23" s="1"/>
  <c r="I76" i="23"/>
  <c r="G65" i="24"/>
  <c r="G64" i="24"/>
  <c r="V48" i="13"/>
  <c r="J48" i="13"/>
  <c r="J81" i="13" s="1"/>
  <c r="O81" i="13" s="1"/>
  <c r="P81" i="13" s="1"/>
  <c r="M51" i="13"/>
  <c r="S51" i="13"/>
  <c r="M54" i="13"/>
  <c r="S54" i="13"/>
  <c r="M57" i="13"/>
  <c r="S57" i="13"/>
  <c r="M60" i="13"/>
  <c r="S60" i="13"/>
  <c r="M67" i="13"/>
  <c r="S67" i="13"/>
  <c r="Q46" i="13"/>
  <c r="G71" i="30"/>
  <c r="J67" i="29"/>
  <c r="G67" i="30"/>
  <c r="J63" i="29"/>
  <c r="G63" i="30"/>
  <c r="J59" i="29"/>
  <c r="G60" i="30"/>
  <c r="J56" i="29"/>
  <c r="AB46" i="29"/>
  <c r="AB34" i="29"/>
  <c r="AB22" i="29"/>
  <c r="K19" i="23"/>
  <c r="W34" i="15"/>
  <c r="W63" i="15"/>
  <c r="W39" i="15"/>
  <c r="W59" i="15"/>
  <c r="K76" i="23"/>
  <c r="K13" i="23"/>
  <c r="F22" i="26"/>
  <c r="F38" i="26"/>
  <c r="U53" i="13"/>
  <c r="M80" i="29"/>
  <c r="M16" i="29"/>
  <c r="Y87" i="29"/>
  <c r="Y75" i="29"/>
  <c r="Y74" i="29"/>
  <c r="AB49" i="29"/>
  <c r="Y41" i="29"/>
  <c r="AB37" i="29"/>
  <c r="AA27" i="29"/>
  <c r="J65" i="13"/>
  <c r="V65" i="13"/>
  <c r="J61" i="13"/>
  <c r="O61" i="13" s="1"/>
  <c r="V61" i="13"/>
  <c r="J57" i="13"/>
  <c r="O57" i="13" s="1"/>
  <c r="P57" i="13" s="1"/>
  <c r="V57" i="13"/>
  <c r="J53" i="13"/>
  <c r="O53" i="13" s="1"/>
  <c r="P53" i="13" s="1"/>
  <c r="V53" i="13"/>
  <c r="M53" i="13"/>
  <c r="S53" i="13"/>
  <c r="M63" i="13"/>
  <c r="S63" i="13"/>
  <c r="M66" i="13"/>
  <c r="S66" i="13"/>
  <c r="AD10" i="29"/>
  <c r="Y10" i="29"/>
  <c r="D53" i="22"/>
  <c r="D54" i="22"/>
  <c r="K72" i="29"/>
  <c r="AA72" i="29"/>
  <c r="K64" i="29"/>
  <c r="AA64" i="29"/>
  <c r="K60" i="29"/>
  <c r="AA60" i="29"/>
  <c r="AB54" i="29"/>
  <c r="T35" i="13"/>
  <c r="T34" i="13"/>
  <c r="T19" i="13"/>
  <c r="T17" i="13"/>
  <c r="F113" i="18"/>
  <c r="G15" i="25" s="1"/>
  <c r="G12" i="17"/>
  <c r="G56" i="30"/>
  <c r="J52" i="29"/>
  <c r="G46" i="30"/>
  <c r="J42" i="29"/>
  <c r="G43" i="30"/>
  <c r="J39" i="29"/>
  <c r="G40" i="30"/>
  <c r="G30" i="30"/>
  <c r="J26" i="29"/>
  <c r="G27" i="30"/>
  <c r="J23" i="29"/>
  <c r="G24" i="30"/>
  <c r="J20" i="29"/>
  <c r="G18" i="30"/>
  <c r="J14" i="29"/>
  <c r="V36" i="13"/>
  <c r="O49" i="13"/>
  <c r="P49" i="13" s="1"/>
  <c r="R49" i="13" s="1"/>
  <c r="O48" i="13"/>
  <c r="P48" i="13" s="1"/>
  <c r="R48" i="13" s="1"/>
  <c r="M32" i="29"/>
  <c r="AA50" i="29"/>
  <c r="Y45" i="29"/>
  <c r="AA38" i="29"/>
  <c r="Y33" i="29"/>
  <c r="J66" i="13"/>
  <c r="V66" i="13"/>
  <c r="J62" i="13"/>
  <c r="V62" i="13"/>
  <c r="J58" i="13"/>
  <c r="V58" i="13"/>
  <c r="J54" i="13"/>
  <c r="V54" i="13"/>
  <c r="V50" i="13"/>
  <c r="J50" i="13"/>
  <c r="H26" i="24"/>
  <c r="H50" i="1"/>
  <c r="I13" i="23"/>
  <c r="I21" i="23" s="1"/>
  <c r="H105" i="23" s="1"/>
  <c r="G66" i="24"/>
  <c r="Y15" i="29"/>
  <c r="AB15" i="29"/>
  <c r="Y19" i="29"/>
  <c r="AB19" i="29"/>
  <c r="AA21" i="29"/>
  <c r="Y23" i="29"/>
  <c r="AA25" i="29"/>
  <c r="Y27" i="29"/>
  <c r="AB27" i="29"/>
  <c r="AA29" i="29"/>
  <c r="Y31" i="29"/>
  <c r="AB31" i="29"/>
  <c r="AA33" i="29"/>
  <c r="Y35" i="29"/>
  <c r="AB35" i="29"/>
  <c r="AA37" i="29"/>
  <c r="Y39" i="29"/>
  <c r="AA41" i="29"/>
  <c r="Y43" i="29"/>
  <c r="AB43" i="29"/>
  <c r="Y47" i="29"/>
  <c r="AB47" i="29"/>
  <c r="AA49" i="29"/>
  <c r="Y51" i="29"/>
  <c r="AB51" i="29"/>
  <c r="Y56" i="29"/>
  <c r="Y60" i="29"/>
  <c r="Y64" i="29"/>
  <c r="Y68" i="29"/>
  <c r="Y72" i="29"/>
  <c r="Y76" i="29"/>
  <c r="Y80" i="29"/>
  <c r="Y84" i="29"/>
  <c r="AA13" i="29"/>
  <c r="Y14" i="29"/>
  <c r="Y18" i="29"/>
  <c r="Y22" i="29"/>
  <c r="Y26" i="29"/>
  <c r="Y30" i="29"/>
  <c r="Y34" i="29"/>
  <c r="Y38" i="29"/>
  <c r="Y42" i="29"/>
  <c r="Y46" i="29"/>
  <c r="Y50" i="29"/>
  <c r="Y13" i="29"/>
  <c r="Y16" i="29"/>
  <c r="Y20" i="29"/>
  <c r="Y24" i="29"/>
  <c r="Y28" i="29"/>
  <c r="Y32" i="29"/>
  <c r="Y36" i="29"/>
  <c r="Y40" i="29"/>
  <c r="Y44" i="29"/>
  <c r="Y48" i="29"/>
  <c r="Y52" i="29"/>
  <c r="Y17" i="29"/>
  <c r="AA35" i="29"/>
  <c r="AA47" i="29"/>
  <c r="Y82" i="29"/>
  <c r="Y86" i="29"/>
  <c r="AA19" i="29"/>
  <c r="AA31" i="29"/>
  <c r="Y37" i="29"/>
  <c r="AA43" i="29"/>
  <c r="Y49" i="29"/>
  <c r="Y54" i="29"/>
  <c r="Y58" i="29"/>
  <c r="AB13" i="29"/>
  <c r="AA15" i="29"/>
  <c r="Y25" i="29"/>
  <c r="Y29" i="29"/>
  <c r="AA51" i="29"/>
  <c r="Y62" i="29"/>
  <c r="Y66" i="29"/>
  <c r="M52" i="13"/>
  <c r="S52" i="13"/>
  <c r="M59" i="13"/>
  <c r="S59" i="13"/>
  <c r="M62" i="13"/>
  <c r="S62" i="13"/>
  <c r="M65" i="13"/>
  <c r="S65" i="13"/>
  <c r="I65" i="29"/>
  <c r="Y65" i="29"/>
  <c r="I61" i="29"/>
  <c r="Y61" i="29"/>
  <c r="H88" i="29"/>
  <c r="G62" i="30"/>
  <c r="J58" i="29"/>
  <c r="AB25" i="29"/>
  <c r="W35" i="15"/>
  <c r="W55" i="15"/>
  <c r="W24" i="15"/>
  <c r="H113" i="23"/>
  <c r="I114" i="18"/>
  <c r="J17" i="25" s="1"/>
  <c r="I106" i="23"/>
  <c r="F24" i="26"/>
  <c r="O64" i="13"/>
  <c r="P64" i="13" s="1"/>
  <c r="O62" i="13"/>
  <c r="P62" i="13" s="1"/>
  <c r="O60" i="13"/>
  <c r="P60" i="13" s="1"/>
  <c r="O56" i="13"/>
  <c r="P56" i="13" s="1"/>
  <c r="O54" i="13"/>
  <c r="P54" i="13" s="1"/>
  <c r="O52" i="13"/>
  <c r="P52" i="13" s="1"/>
  <c r="O50" i="13"/>
  <c r="P50" i="13" s="1"/>
  <c r="U59" i="13"/>
  <c r="V59" i="13" s="1"/>
  <c r="D21" i="22"/>
  <c r="V13" i="29"/>
  <c r="M48" i="29"/>
  <c r="Y78" i="29"/>
  <c r="Y71" i="29"/>
  <c r="Y70" i="29"/>
  <c r="G18" i="24"/>
  <c r="G22" i="24"/>
  <c r="G26" i="24"/>
  <c r="G14" i="24"/>
  <c r="J67" i="13"/>
  <c r="O67" i="13" s="1"/>
  <c r="P67" i="13" s="1"/>
  <c r="V67" i="13"/>
  <c r="J63" i="13"/>
  <c r="O63" i="13" s="1"/>
  <c r="P63" i="13" s="1"/>
  <c r="V63" i="13"/>
  <c r="J59" i="13"/>
  <c r="O59" i="13" s="1"/>
  <c r="P59" i="13" s="1"/>
  <c r="J55" i="13"/>
  <c r="V55" i="13"/>
  <c r="J51" i="13"/>
  <c r="V51" i="13"/>
  <c r="M55" i="13"/>
  <c r="S55" i="13"/>
  <c r="M58" i="13"/>
  <c r="S58" i="13"/>
  <c r="M61" i="13"/>
  <c r="S61" i="13"/>
  <c r="M64" i="13"/>
  <c r="S64" i="13"/>
  <c r="K76" i="29"/>
  <c r="AA76" i="29"/>
  <c r="K68" i="29"/>
  <c r="AA68" i="29"/>
  <c r="K48" i="29"/>
  <c r="AA48" i="29"/>
  <c r="K36" i="29"/>
  <c r="AA36" i="29"/>
  <c r="AB29" i="29"/>
  <c r="AG88" i="29"/>
  <c r="M64" i="29"/>
  <c r="AA82" i="29"/>
  <c r="S56" i="13"/>
  <c r="I85" i="29"/>
  <c r="Y85" i="29"/>
  <c r="G87" i="30"/>
  <c r="J83" i="29"/>
  <c r="I81" i="29"/>
  <c r="Y81" i="29"/>
  <c r="G83" i="30"/>
  <c r="J79" i="29"/>
  <c r="G82" i="30"/>
  <c r="J78" i="29"/>
  <c r="G80" i="30"/>
  <c r="AB74" i="29"/>
  <c r="G76" i="30"/>
  <c r="AB70" i="29"/>
  <c r="K44" i="29"/>
  <c r="AA44" i="29"/>
  <c r="K40" i="29"/>
  <c r="AA40" i="29"/>
  <c r="K32" i="29"/>
  <c r="AA32" i="29"/>
  <c r="AB30" i="29"/>
  <c r="AB18" i="29"/>
  <c r="T24" i="13"/>
  <c r="T22" i="13"/>
  <c r="AF88" i="29"/>
  <c r="Y67" i="29"/>
  <c r="Y63" i="29"/>
  <c r="Y59" i="29"/>
  <c r="AA54" i="29"/>
  <c r="AA46" i="29"/>
  <c r="AA34" i="29"/>
  <c r="AA22" i="29"/>
  <c r="G91" i="30"/>
  <c r="J87" i="29"/>
  <c r="G90" i="30"/>
  <c r="J86" i="29"/>
  <c r="G88" i="30"/>
  <c r="AB82" i="29"/>
  <c r="G84" i="30"/>
  <c r="I77" i="29"/>
  <c r="Y77" i="29"/>
  <c r="G79" i="30"/>
  <c r="J75" i="29"/>
  <c r="I73" i="29"/>
  <c r="Y73" i="29"/>
  <c r="G75" i="30"/>
  <c r="J71" i="29"/>
  <c r="I69" i="29"/>
  <c r="Y69" i="29"/>
  <c r="AB50" i="29"/>
  <c r="AB38" i="29"/>
  <c r="K16" i="29"/>
  <c r="AA16" i="29"/>
  <c r="T33" i="13"/>
  <c r="AA66" i="29"/>
  <c r="AA62" i="29"/>
  <c r="Y55" i="29"/>
  <c r="AB66" i="29"/>
  <c r="G68" i="30"/>
  <c r="AB62" i="29"/>
  <c r="G64" i="30"/>
  <c r="I57" i="29"/>
  <c r="Y57" i="29"/>
  <c r="G59" i="30"/>
  <c r="J55" i="29"/>
  <c r="I53" i="29"/>
  <c r="Y53" i="29"/>
  <c r="K28" i="29"/>
  <c r="AA28" i="29"/>
  <c r="K24" i="29"/>
  <c r="AA24" i="29"/>
  <c r="J84" i="29"/>
  <c r="Y83" i="29"/>
  <c r="J80" i="29"/>
  <c r="Y79" i="29"/>
  <c r="AA74" i="29"/>
  <c r="AA70" i="29"/>
  <c r="AB41" i="29"/>
  <c r="AB33" i="29"/>
  <c r="AA30" i="29"/>
  <c r="AB21" i="29"/>
  <c r="AA18" i="29"/>
  <c r="G72" i="30"/>
  <c r="G55" i="30"/>
  <c r="G52" i="30"/>
  <c r="G42" i="30"/>
  <c r="G39" i="30"/>
  <c r="G36" i="30"/>
  <c r="G26" i="30"/>
  <c r="G23" i="30"/>
  <c r="G20" i="30"/>
  <c r="H66" i="24"/>
  <c r="P28" i="13"/>
  <c r="T23" i="13"/>
  <c r="G86" i="30"/>
  <c r="G78" i="30"/>
  <c r="G74" i="30"/>
  <c r="G70" i="30"/>
  <c r="G66" i="30"/>
  <c r="G58" i="30"/>
  <c r="G36" i="1"/>
  <c r="G37" i="1"/>
  <c r="T30" i="13"/>
  <c r="T18" i="13"/>
  <c r="G17" i="30"/>
  <c r="G50" i="30"/>
  <c r="G47" i="30"/>
  <c r="G44" i="30"/>
  <c r="G34" i="30"/>
  <c r="G31" i="30"/>
  <c r="G28" i="30"/>
  <c r="H23" i="18"/>
  <c r="T31" i="13"/>
  <c r="T25" i="13"/>
  <c r="P20" i="13"/>
  <c r="P16" i="13"/>
  <c r="R16" i="13" s="1"/>
  <c r="H22" i="24"/>
  <c r="H29" i="1"/>
  <c r="T32" i="13"/>
  <c r="T26" i="13"/>
  <c r="F35" i="1"/>
  <c r="F38" i="1"/>
  <c r="G54" i="30"/>
  <c r="G51" i="30"/>
  <c r="G48" i="30"/>
  <c r="G38" i="30"/>
  <c r="G35" i="30"/>
  <c r="G32" i="30"/>
  <c r="G22" i="30"/>
  <c r="H37" i="18"/>
  <c r="T27" i="13"/>
  <c r="G114" i="18"/>
  <c r="H17" i="25" s="1"/>
  <c r="H18" i="24"/>
  <c r="G91" i="18"/>
  <c r="F37" i="1"/>
  <c r="H14" i="24"/>
  <c r="S16" i="13"/>
  <c r="S36" i="13" s="1"/>
  <c r="F36" i="1"/>
  <c r="J21" i="23"/>
  <c r="S24" i="15" l="1"/>
  <c r="T49" i="15"/>
  <c r="S17" i="15"/>
  <c r="T33" i="15"/>
  <c r="H44" i="26"/>
  <c r="T44" i="15"/>
  <c r="T21" i="15"/>
  <c r="T27" i="15"/>
  <c r="I88" i="29"/>
  <c r="AA17" i="29"/>
  <c r="S56" i="15"/>
  <c r="S49" i="15"/>
  <c r="S38" i="15"/>
  <c r="S31" i="15"/>
  <c r="T48" i="15"/>
  <c r="I64" i="24"/>
  <c r="H54" i="11"/>
  <c r="G25" i="26" s="1"/>
  <c r="S65" i="15"/>
  <c r="S54" i="15"/>
  <c r="S47" i="15"/>
  <c r="T16" i="15"/>
  <c r="H113" i="18"/>
  <c r="I15" i="25" s="1"/>
  <c r="AA45" i="29"/>
  <c r="S40" i="15"/>
  <c r="S33" i="15"/>
  <c r="S22" i="15"/>
  <c r="S15" i="15"/>
  <c r="T66" i="15"/>
  <c r="J50" i="1"/>
  <c r="F30" i="24"/>
  <c r="I31" i="1"/>
  <c r="S64" i="15"/>
  <c r="S48" i="15"/>
  <c r="S32" i="15"/>
  <c r="S16" i="15"/>
  <c r="S57" i="15"/>
  <c r="S41" i="15"/>
  <c r="S25" i="15"/>
  <c r="S62" i="15"/>
  <c r="S46" i="15"/>
  <c r="S30" i="15"/>
  <c r="S14" i="15"/>
  <c r="S55" i="15"/>
  <c r="S39" i="15"/>
  <c r="S23" i="15"/>
  <c r="T62" i="15"/>
  <c r="T23" i="15"/>
  <c r="T51" i="15"/>
  <c r="T32" i="15"/>
  <c r="T69" i="15"/>
  <c r="T25" i="15"/>
  <c r="T35" i="15"/>
  <c r="S68" i="15"/>
  <c r="S52" i="15"/>
  <c r="S36" i="15"/>
  <c r="S20" i="15"/>
  <c r="S61" i="15"/>
  <c r="S45" i="15"/>
  <c r="S29" i="15"/>
  <c r="S66" i="15"/>
  <c r="S50" i="15"/>
  <c r="S34" i="15"/>
  <c r="S18" i="15"/>
  <c r="S59" i="15"/>
  <c r="S43" i="15"/>
  <c r="S27" i="15"/>
  <c r="T50" i="15"/>
  <c r="T67" i="15"/>
  <c r="T29" i="15"/>
  <c r="T64" i="15"/>
  <c r="T19" i="15"/>
  <c r="T37" i="15"/>
  <c r="T61" i="15"/>
  <c r="S60" i="15"/>
  <c r="S44" i="15"/>
  <c r="S28" i="15"/>
  <c r="S69" i="15"/>
  <c r="S53" i="15"/>
  <c r="S37" i="15"/>
  <c r="S21" i="15"/>
  <c r="S58" i="15"/>
  <c r="S42" i="15"/>
  <c r="S26" i="15"/>
  <c r="S67" i="15"/>
  <c r="S51" i="15"/>
  <c r="S35" i="15"/>
  <c r="T63" i="15"/>
  <c r="T68" i="15"/>
  <c r="T65" i="15"/>
  <c r="T17" i="15"/>
  <c r="W60" i="15"/>
  <c r="W38" i="15"/>
  <c r="W46" i="15"/>
  <c r="W15" i="15"/>
  <c r="W67" i="15"/>
  <c r="W27" i="15"/>
  <c r="W53" i="15"/>
  <c r="J109" i="23"/>
  <c r="R50" i="15"/>
  <c r="R23" i="15"/>
  <c r="R16" i="15"/>
  <c r="R68" i="15"/>
  <c r="R27" i="15"/>
  <c r="R34" i="15"/>
  <c r="R53" i="15"/>
  <c r="R45" i="15"/>
  <c r="R20" i="15"/>
  <c r="X8" i="15"/>
  <c r="X16" i="15" s="1"/>
  <c r="W41" i="15"/>
  <c r="W57" i="15"/>
  <c r="W58" i="15"/>
  <c r="W52" i="15"/>
  <c r="W42" i="15"/>
  <c r="W65" i="15"/>
  <c r="W17" i="15"/>
  <c r="R62" i="15"/>
  <c r="R67" i="15"/>
  <c r="R51" i="15"/>
  <c r="R64" i="15"/>
  <c r="R48" i="15"/>
  <c r="R32" i="15"/>
  <c r="R17" i="15"/>
  <c r="R25" i="15"/>
  <c r="R35" i="15"/>
  <c r="R28" i="15"/>
  <c r="R26" i="15"/>
  <c r="R18" i="15"/>
  <c r="R55" i="15"/>
  <c r="G8" i="17"/>
  <c r="W22" i="15"/>
  <c r="W21" i="15"/>
  <c r="W45" i="15"/>
  <c r="W16" i="15"/>
  <c r="W23" i="15"/>
  <c r="W20" i="15"/>
  <c r="R66" i="15"/>
  <c r="R29" i="15"/>
  <c r="R69" i="15"/>
  <c r="R65" i="15"/>
  <c r="R30" i="15"/>
  <c r="R38" i="15"/>
  <c r="R56" i="15"/>
  <c r="R41" i="15"/>
  <c r="R47" i="15"/>
  <c r="O101" i="13"/>
  <c r="K109" i="23"/>
  <c r="H66" i="18"/>
  <c r="G15" i="24"/>
  <c r="G27" i="24"/>
  <c r="Q116" i="13"/>
  <c r="Q120" i="13"/>
  <c r="Q124" i="13"/>
  <c r="Q128" i="13"/>
  <c r="Q132" i="13"/>
  <c r="Q117" i="13"/>
  <c r="Q129" i="13"/>
  <c r="Q115" i="13"/>
  <c r="Q119" i="13"/>
  <c r="Q123" i="13"/>
  <c r="Q127" i="13"/>
  <c r="Q131" i="13"/>
  <c r="Q121" i="13"/>
  <c r="Q114" i="13"/>
  <c r="Q118" i="13"/>
  <c r="Q122" i="13"/>
  <c r="Q126" i="13"/>
  <c r="Q130" i="13"/>
  <c r="Q113" i="13"/>
  <c r="Q125" i="13"/>
  <c r="Q81" i="13"/>
  <c r="R81" i="13" s="1"/>
  <c r="Q82" i="13"/>
  <c r="R82" i="13" s="1"/>
  <c r="T82" i="13" s="1"/>
  <c r="Q87" i="13"/>
  <c r="R87" i="13" s="1"/>
  <c r="Q91" i="13"/>
  <c r="R91" i="13" s="1"/>
  <c r="Q95" i="13"/>
  <c r="R95" i="13" s="1"/>
  <c r="Q99" i="13"/>
  <c r="R99" i="13" s="1"/>
  <c r="Q84" i="13"/>
  <c r="R84" i="13" s="1"/>
  <c r="Q96" i="13"/>
  <c r="Q86" i="13"/>
  <c r="R86" i="13" s="1"/>
  <c r="Q90" i="13"/>
  <c r="R90" i="13" s="1"/>
  <c r="Q94" i="13"/>
  <c r="Q98" i="13"/>
  <c r="R98" i="13" s="1"/>
  <c r="Q92" i="13"/>
  <c r="R92" i="13" s="1"/>
  <c r="Q100" i="13"/>
  <c r="R100" i="13" s="1"/>
  <c r="Q85" i="13"/>
  <c r="R85" i="13" s="1"/>
  <c r="Q89" i="13"/>
  <c r="R89" i="13" s="1"/>
  <c r="Q93" i="13"/>
  <c r="R93" i="13" s="1"/>
  <c r="Q97" i="13"/>
  <c r="R97" i="13" s="1"/>
  <c r="Q88" i="13"/>
  <c r="R88" i="13" s="1"/>
  <c r="Q83" i="13"/>
  <c r="R83" i="13" s="1"/>
  <c r="R94" i="13"/>
  <c r="Q145" i="13"/>
  <c r="Q149" i="13"/>
  <c r="Q153" i="13"/>
  <c r="Q157" i="13"/>
  <c r="Q161" i="13"/>
  <c r="Q154" i="13"/>
  <c r="Q148" i="13"/>
  <c r="Q152" i="13"/>
  <c r="Q156" i="13"/>
  <c r="Q160" i="13"/>
  <c r="Q164" i="13"/>
  <c r="Q150" i="13"/>
  <c r="Q158" i="13"/>
  <c r="Q147" i="13"/>
  <c r="Q151" i="13"/>
  <c r="Q155" i="13"/>
  <c r="Q159" i="13"/>
  <c r="Q163" i="13"/>
  <c r="Q146" i="13"/>
  <c r="Q162" i="13"/>
  <c r="R96" i="13"/>
  <c r="I46" i="24"/>
  <c r="I56" i="24"/>
  <c r="S123" i="13"/>
  <c r="M123" i="13"/>
  <c r="L155" i="13"/>
  <c r="K133" i="13"/>
  <c r="K145" i="13"/>
  <c r="K165" i="13" s="1"/>
  <c r="V120" i="13"/>
  <c r="P120" i="13"/>
  <c r="T120" i="13"/>
  <c r="J120" i="13"/>
  <c r="E152" i="13"/>
  <c r="V128" i="13"/>
  <c r="P128" i="13"/>
  <c r="R128" i="13" s="1"/>
  <c r="T128" i="13"/>
  <c r="J128" i="13"/>
  <c r="E160" i="13"/>
  <c r="U113" i="13"/>
  <c r="G145" i="13"/>
  <c r="U145" i="13" s="1"/>
  <c r="U122" i="13"/>
  <c r="G154" i="13"/>
  <c r="U154" i="13" s="1"/>
  <c r="U130" i="13"/>
  <c r="G162" i="13"/>
  <c r="U162" i="13" s="1"/>
  <c r="O119" i="13"/>
  <c r="I151" i="13"/>
  <c r="O151" i="13" s="1"/>
  <c r="O127" i="13"/>
  <c r="I159" i="13"/>
  <c r="O159" i="13" s="1"/>
  <c r="M132" i="13"/>
  <c r="S132" i="13"/>
  <c r="L164" i="13"/>
  <c r="M116" i="13"/>
  <c r="L148" i="13"/>
  <c r="S116" i="13"/>
  <c r="S125" i="13"/>
  <c r="M125" i="13"/>
  <c r="L157" i="13"/>
  <c r="M126" i="13"/>
  <c r="L158" i="13"/>
  <c r="S126" i="13"/>
  <c r="M114" i="13"/>
  <c r="L146" i="13"/>
  <c r="S114" i="13"/>
  <c r="S119" i="13"/>
  <c r="M119" i="13"/>
  <c r="L151" i="13"/>
  <c r="M128" i="13"/>
  <c r="L160" i="13"/>
  <c r="S128" i="13"/>
  <c r="P119" i="13"/>
  <c r="T119" i="13"/>
  <c r="J119" i="13"/>
  <c r="E151" i="13"/>
  <c r="V119" i="13"/>
  <c r="P127" i="13"/>
  <c r="R127" i="13" s="1"/>
  <c r="T127" i="13"/>
  <c r="J127" i="13"/>
  <c r="V127" i="13"/>
  <c r="E159" i="13"/>
  <c r="U121" i="13"/>
  <c r="G153" i="13"/>
  <c r="U153" i="13" s="1"/>
  <c r="U129" i="13"/>
  <c r="G161" i="13"/>
  <c r="U161" i="13" s="1"/>
  <c r="O122" i="13"/>
  <c r="I154" i="13"/>
  <c r="O154" i="13" s="1"/>
  <c r="O130" i="13"/>
  <c r="I162" i="13"/>
  <c r="O162" i="13" s="1"/>
  <c r="S121" i="13"/>
  <c r="M121" i="13"/>
  <c r="L153" i="13"/>
  <c r="J113" i="13"/>
  <c r="E145" i="13"/>
  <c r="V113" i="13"/>
  <c r="I146" i="13"/>
  <c r="V122" i="13"/>
  <c r="P122" i="13"/>
  <c r="R122" i="13" s="1"/>
  <c r="T122" i="13"/>
  <c r="J122" i="13"/>
  <c r="E154" i="13"/>
  <c r="V130" i="13"/>
  <c r="P130" i="13"/>
  <c r="T130" i="13"/>
  <c r="J130" i="13"/>
  <c r="E162" i="13"/>
  <c r="U120" i="13"/>
  <c r="G152" i="13"/>
  <c r="U152" i="13" s="1"/>
  <c r="U128" i="13"/>
  <c r="G160" i="13"/>
  <c r="U160" i="13" s="1"/>
  <c r="O117" i="13"/>
  <c r="I149" i="13"/>
  <c r="O149" i="13" s="1"/>
  <c r="O125" i="13"/>
  <c r="I157" i="13"/>
  <c r="O157" i="13" s="1"/>
  <c r="S83" i="13"/>
  <c r="S101" i="13" s="1"/>
  <c r="M83" i="13"/>
  <c r="M101" i="13" s="1"/>
  <c r="L115" i="13"/>
  <c r="L133" i="13" s="1"/>
  <c r="M122" i="13"/>
  <c r="L154" i="13"/>
  <c r="S122" i="13"/>
  <c r="P121" i="13"/>
  <c r="T121" i="13"/>
  <c r="J121" i="13"/>
  <c r="E153" i="13"/>
  <c r="V121" i="13"/>
  <c r="P129" i="13"/>
  <c r="T129" i="13"/>
  <c r="J129" i="13"/>
  <c r="V129" i="13"/>
  <c r="E161" i="13"/>
  <c r="U114" i="13"/>
  <c r="G146" i="13"/>
  <c r="U146" i="13" s="1"/>
  <c r="U119" i="13"/>
  <c r="G151" i="13"/>
  <c r="U151" i="13" s="1"/>
  <c r="U127" i="13"/>
  <c r="G159" i="13"/>
  <c r="U159" i="13" s="1"/>
  <c r="O116" i="13"/>
  <c r="I148" i="13"/>
  <c r="O148" i="13" s="1"/>
  <c r="O124" i="13"/>
  <c r="I156" i="13"/>
  <c r="O156" i="13" s="1"/>
  <c r="O132" i="13"/>
  <c r="I164" i="13"/>
  <c r="O164" i="13" s="1"/>
  <c r="S131" i="13"/>
  <c r="M131" i="13"/>
  <c r="L163" i="13"/>
  <c r="O113" i="13"/>
  <c r="I145" i="13"/>
  <c r="V116" i="13"/>
  <c r="P116" i="13"/>
  <c r="T116" i="13"/>
  <c r="J116" i="13"/>
  <c r="E148" i="13"/>
  <c r="V124" i="13"/>
  <c r="P124" i="13"/>
  <c r="T124" i="13"/>
  <c r="J124" i="13"/>
  <c r="E156" i="13"/>
  <c r="V132" i="13"/>
  <c r="P132" i="13"/>
  <c r="T132" i="13"/>
  <c r="J132" i="13"/>
  <c r="E164" i="13"/>
  <c r="U118" i="13"/>
  <c r="G150" i="13"/>
  <c r="U150" i="13" s="1"/>
  <c r="U126" i="13"/>
  <c r="G158" i="13"/>
  <c r="U158" i="13" s="1"/>
  <c r="O115" i="13"/>
  <c r="I147" i="13"/>
  <c r="O147" i="13" s="1"/>
  <c r="O123" i="13"/>
  <c r="I155" i="13"/>
  <c r="O155" i="13" s="1"/>
  <c r="O131" i="13"/>
  <c r="I163" i="13"/>
  <c r="O163" i="13" s="1"/>
  <c r="M124" i="13"/>
  <c r="L156" i="13"/>
  <c r="S124" i="13"/>
  <c r="S117" i="13"/>
  <c r="M117" i="13"/>
  <c r="L149" i="13"/>
  <c r="M118" i="13"/>
  <c r="L150" i="13"/>
  <c r="S118" i="13"/>
  <c r="P101" i="13"/>
  <c r="S127" i="13"/>
  <c r="M127" i="13"/>
  <c r="L159" i="13"/>
  <c r="M120" i="13"/>
  <c r="L152" i="13"/>
  <c r="S120" i="13"/>
  <c r="P115" i="13"/>
  <c r="R115" i="13" s="1"/>
  <c r="T115" i="13"/>
  <c r="J115" i="13"/>
  <c r="E147" i="13"/>
  <c r="V115" i="13"/>
  <c r="P123" i="13"/>
  <c r="T123" i="13"/>
  <c r="J123" i="13"/>
  <c r="E155" i="13"/>
  <c r="V123" i="13"/>
  <c r="P131" i="13"/>
  <c r="R131" i="13" s="1"/>
  <c r="T131" i="13"/>
  <c r="J131" i="13"/>
  <c r="V131" i="13"/>
  <c r="E163" i="13"/>
  <c r="U117" i="13"/>
  <c r="G149" i="13"/>
  <c r="U149" i="13" s="1"/>
  <c r="U125" i="13"/>
  <c r="G157" i="13"/>
  <c r="U157" i="13" s="1"/>
  <c r="O118" i="13"/>
  <c r="I150" i="13"/>
  <c r="O150" i="13" s="1"/>
  <c r="O126" i="13"/>
  <c r="I158" i="13"/>
  <c r="O158" i="13" s="1"/>
  <c r="S129" i="13"/>
  <c r="M129" i="13"/>
  <c r="L161" i="13"/>
  <c r="V118" i="13"/>
  <c r="P118" i="13"/>
  <c r="T118" i="13"/>
  <c r="J118" i="13"/>
  <c r="E150" i="13"/>
  <c r="V126" i="13"/>
  <c r="P126" i="13"/>
  <c r="T126" i="13"/>
  <c r="J126" i="13"/>
  <c r="E158" i="13"/>
  <c r="U116" i="13"/>
  <c r="G148" i="13"/>
  <c r="U148" i="13" s="1"/>
  <c r="U124" i="13"/>
  <c r="G156" i="13"/>
  <c r="U156" i="13" s="1"/>
  <c r="U132" i="13"/>
  <c r="G164" i="13"/>
  <c r="U164" i="13" s="1"/>
  <c r="O121" i="13"/>
  <c r="I153" i="13"/>
  <c r="O153" i="13" s="1"/>
  <c r="O129" i="13"/>
  <c r="I161" i="13"/>
  <c r="O161" i="13" s="1"/>
  <c r="M130" i="13"/>
  <c r="L162" i="13"/>
  <c r="S130" i="13"/>
  <c r="S113" i="13"/>
  <c r="M113" i="13"/>
  <c r="L145" i="13"/>
  <c r="V114" i="13"/>
  <c r="J114" i="13"/>
  <c r="O114" i="13" s="1"/>
  <c r="P114" i="13" s="1"/>
  <c r="E146" i="13"/>
  <c r="P117" i="13"/>
  <c r="T117" i="13"/>
  <c r="J117" i="13"/>
  <c r="E149" i="13"/>
  <c r="V117" i="13"/>
  <c r="P125" i="13"/>
  <c r="R125" i="13" s="1"/>
  <c r="T125" i="13"/>
  <c r="J125" i="13"/>
  <c r="E157" i="13"/>
  <c r="V125" i="13"/>
  <c r="U115" i="13"/>
  <c r="G147" i="13"/>
  <c r="U147" i="13" s="1"/>
  <c r="U123" i="13"/>
  <c r="G155" i="13"/>
  <c r="U155" i="13" s="1"/>
  <c r="U131" i="13"/>
  <c r="G163" i="13"/>
  <c r="U163" i="13" s="1"/>
  <c r="O120" i="13"/>
  <c r="I152" i="13"/>
  <c r="O152" i="13" s="1"/>
  <c r="O128" i="13"/>
  <c r="I160" i="13"/>
  <c r="O160" i="13" s="1"/>
  <c r="V101" i="13"/>
  <c r="O12" i="15"/>
  <c r="X45" i="15"/>
  <c r="U68" i="13"/>
  <c r="S70" i="15"/>
  <c r="Y8" i="15"/>
  <c r="T14" i="15"/>
  <c r="I31" i="17" s="1"/>
  <c r="I34" i="17" s="1"/>
  <c r="I42" i="17" s="1"/>
  <c r="H19" i="26" s="1"/>
  <c r="T18" i="15"/>
  <c r="T22" i="15"/>
  <c r="I8" i="17"/>
  <c r="T59" i="15"/>
  <c r="T20" i="15"/>
  <c r="T43" i="15"/>
  <c r="T24" i="15"/>
  <c r="T36" i="15"/>
  <c r="T40" i="15"/>
  <c r="T31" i="15"/>
  <c r="T26" i="15"/>
  <c r="Z8" i="15"/>
  <c r="T46" i="15"/>
  <c r="T55" i="15"/>
  <c r="T28" i="15"/>
  <c r="T38" i="15"/>
  <c r="T70" i="15"/>
  <c r="T60" i="15"/>
  <c r="T45" i="15"/>
  <c r="T42" i="15"/>
  <c r="T52" i="15"/>
  <c r="T57" i="15"/>
  <c r="T34" i="15"/>
  <c r="T47" i="15"/>
  <c r="T54" i="15"/>
  <c r="T58" i="15"/>
  <c r="T53" i="15"/>
  <c r="T56" i="15"/>
  <c r="T41" i="15"/>
  <c r="T15" i="15"/>
  <c r="T39" i="15"/>
  <c r="U8" i="15"/>
  <c r="R39" i="15"/>
  <c r="R70" i="15"/>
  <c r="R54" i="15"/>
  <c r="R46" i="15"/>
  <c r="R58" i="15"/>
  <c r="R59" i="15"/>
  <c r="R43" i="15"/>
  <c r="R24" i="15"/>
  <c r="R42" i="15"/>
  <c r="R52" i="15"/>
  <c r="R15" i="15"/>
  <c r="W14" i="15"/>
  <c r="F22" i="17" s="1"/>
  <c r="F25" i="17" s="1"/>
  <c r="W68" i="15"/>
  <c r="W51" i="15"/>
  <c r="W30" i="15"/>
  <c r="W47" i="15"/>
  <c r="W54" i="15"/>
  <c r="W64" i="15"/>
  <c r="W25" i="15"/>
  <c r="W40" i="15"/>
  <c r="W31" i="15"/>
  <c r="W69" i="15"/>
  <c r="W70" i="15"/>
  <c r="W29" i="15"/>
  <c r="W36" i="15"/>
  <c r="W37" i="15"/>
  <c r="W62" i="15"/>
  <c r="W50" i="15"/>
  <c r="W48" i="15"/>
  <c r="W43" i="15"/>
  <c r="W32" i="15"/>
  <c r="W49" i="15"/>
  <c r="W66" i="15"/>
  <c r="W18" i="15"/>
  <c r="W56" i="15"/>
  <c r="W44" i="15"/>
  <c r="W61" i="15"/>
  <c r="W28" i="15"/>
  <c r="W33" i="15"/>
  <c r="W26" i="15"/>
  <c r="O58" i="13"/>
  <c r="P58" i="13" s="1"/>
  <c r="O66" i="13"/>
  <c r="P66" i="13" s="1"/>
  <c r="Q14" i="15"/>
  <c r="F31" i="17" s="1"/>
  <c r="R14" i="15"/>
  <c r="G31" i="17" s="1"/>
  <c r="X47" i="15"/>
  <c r="P61" i="13"/>
  <c r="K21" i="23"/>
  <c r="J105" i="23" s="1"/>
  <c r="K106" i="23"/>
  <c r="J15" i="25"/>
  <c r="AB24" i="29"/>
  <c r="G100" i="30"/>
  <c r="F27" i="24"/>
  <c r="F28" i="24" s="1"/>
  <c r="F60" i="24"/>
  <c r="F62" i="24" s="1"/>
  <c r="K80" i="29"/>
  <c r="AA80" i="29"/>
  <c r="AB28" i="29"/>
  <c r="AB16" i="29"/>
  <c r="F19" i="24"/>
  <c r="F20" i="24" s="1"/>
  <c r="F50" i="24"/>
  <c r="F52" i="24" s="1"/>
  <c r="G99" i="30"/>
  <c r="F23" i="24"/>
  <c r="F24" i="24" s="1"/>
  <c r="F55" i="24"/>
  <c r="F57" i="24" s="1"/>
  <c r="H31" i="1"/>
  <c r="T20" i="13"/>
  <c r="G23" i="24"/>
  <c r="G24" i="24" s="1"/>
  <c r="G55" i="24"/>
  <c r="K84" i="29"/>
  <c r="AA84" i="29"/>
  <c r="G61" i="30"/>
  <c r="J57" i="29"/>
  <c r="G77" i="30"/>
  <c r="J73" i="29"/>
  <c r="AA86" i="29"/>
  <c r="K86" i="29"/>
  <c r="AA87" i="29"/>
  <c r="K87" i="29"/>
  <c r="AB44" i="29"/>
  <c r="G85" i="30"/>
  <c r="J81" i="29"/>
  <c r="AB68" i="29"/>
  <c r="G16" i="24"/>
  <c r="G30" i="24"/>
  <c r="G56" i="24"/>
  <c r="G51" i="24"/>
  <c r="G46" i="24"/>
  <c r="G47" i="24" s="1"/>
  <c r="G61" i="24"/>
  <c r="G62" i="24" s="1"/>
  <c r="K39" i="29"/>
  <c r="AA39" i="29"/>
  <c r="K52" i="29"/>
  <c r="AA52" i="29"/>
  <c r="AB60" i="29"/>
  <c r="G43" i="18"/>
  <c r="G51" i="18" s="1"/>
  <c r="G66" i="18"/>
  <c r="I66" i="18"/>
  <c r="I18" i="24"/>
  <c r="I26" i="24"/>
  <c r="I43" i="18"/>
  <c r="I51" i="18" s="1"/>
  <c r="J43" i="18"/>
  <c r="J51" i="18" s="1"/>
  <c r="K56" i="29"/>
  <c r="AA56" i="29"/>
  <c r="Q49" i="13"/>
  <c r="T49" i="13" s="1"/>
  <c r="Q48" i="13"/>
  <c r="Q51" i="13"/>
  <c r="Q52" i="13"/>
  <c r="T52" i="13" s="1"/>
  <c r="Q53" i="13"/>
  <c r="T53" i="13" s="1"/>
  <c r="Q54" i="13"/>
  <c r="T54" i="13" s="1"/>
  <c r="Q55" i="13"/>
  <c r="Q56" i="13"/>
  <c r="T56" i="13" s="1"/>
  <c r="Q57" i="13"/>
  <c r="T57" i="13" s="1"/>
  <c r="Q58" i="13"/>
  <c r="T58" i="13" s="1"/>
  <c r="Q59" i="13"/>
  <c r="T59" i="13" s="1"/>
  <c r="Q60" i="13"/>
  <c r="T60" i="13" s="1"/>
  <c r="Q61" i="13"/>
  <c r="T61" i="13" s="1"/>
  <c r="Q62" i="13"/>
  <c r="T62" i="13" s="1"/>
  <c r="Q63" i="13"/>
  <c r="T63" i="13" s="1"/>
  <c r="Q64" i="13"/>
  <c r="T64" i="13" s="1"/>
  <c r="Q65" i="13"/>
  <c r="Q66" i="13"/>
  <c r="T66" i="13" s="1"/>
  <c r="Q67" i="13"/>
  <c r="T67" i="13" s="1"/>
  <c r="Q50" i="13"/>
  <c r="T50" i="13" s="1"/>
  <c r="I109" i="23"/>
  <c r="H109" i="23"/>
  <c r="H110" i="23" s="1"/>
  <c r="J21" i="11"/>
  <c r="I24" i="26" s="1"/>
  <c r="J16" i="11"/>
  <c r="I38" i="26" s="1"/>
  <c r="H38" i="26"/>
  <c r="J83" i="1"/>
  <c r="J84" i="1"/>
  <c r="J85" i="1"/>
  <c r="J33" i="1"/>
  <c r="J19" i="11"/>
  <c r="S48" i="13"/>
  <c r="S68" i="13" s="1"/>
  <c r="O55" i="13"/>
  <c r="P55" i="13" s="1"/>
  <c r="F26" i="26"/>
  <c r="I22" i="24"/>
  <c r="K69" i="23"/>
  <c r="J113" i="23" s="1"/>
  <c r="F15" i="24"/>
  <c r="F45" i="24"/>
  <c r="F47" i="24" s="1"/>
  <c r="T16" i="13"/>
  <c r="P36" i="13"/>
  <c r="H46" i="24"/>
  <c r="H61" i="24"/>
  <c r="H56" i="24"/>
  <c r="H51" i="24"/>
  <c r="AA55" i="29"/>
  <c r="K55" i="29"/>
  <c r="AA71" i="29"/>
  <c r="K71" i="29"/>
  <c r="AA78" i="29"/>
  <c r="K78" i="29"/>
  <c r="AA79" i="29"/>
  <c r="K79" i="29"/>
  <c r="G89" i="30"/>
  <c r="J85" i="29"/>
  <c r="AB76" i="29"/>
  <c r="G65" i="30"/>
  <c r="J61" i="29"/>
  <c r="AB64" i="29"/>
  <c r="F55" i="18"/>
  <c r="J51" i="24"/>
  <c r="J46" i="24"/>
  <c r="J56" i="24"/>
  <c r="J61" i="24"/>
  <c r="H23" i="25"/>
  <c r="I113" i="23"/>
  <c r="J64" i="24"/>
  <c r="J65" i="24"/>
  <c r="J37" i="1"/>
  <c r="J35" i="1"/>
  <c r="I14" i="24"/>
  <c r="M68" i="13"/>
  <c r="V68" i="13"/>
  <c r="G39" i="11" s="1"/>
  <c r="I44" i="26"/>
  <c r="L69" i="23"/>
  <c r="G26" i="26"/>
  <c r="J47" i="23"/>
  <c r="G81" i="30"/>
  <c r="J77" i="29"/>
  <c r="AB32" i="29"/>
  <c r="AA83" i="29"/>
  <c r="K83" i="29"/>
  <c r="AB36" i="29"/>
  <c r="Z10" i="29"/>
  <c r="AE10" i="29"/>
  <c r="G110" i="18"/>
  <c r="G69" i="30"/>
  <c r="J65" i="29"/>
  <c r="AA14" i="29"/>
  <c r="K14" i="29"/>
  <c r="AA26" i="29"/>
  <c r="K26" i="29"/>
  <c r="AB72" i="29"/>
  <c r="G113" i="18"/>
  <c r="H15" i="25" s="1"/>
  <c r="O51" i="13"/>
  <c r="P51" i="13" s="1"/>
  <c r="G67" i="24"/>
  <c r="I75" i="23" s="1"/>
  <c r="I86" i="23" s="1"/>
  <c r="H43" i="18"/>
  <c r="H51" i="18" s="1"/>
  <c r="H115" i="18" s="1"/>
  <c r="I18" i="25" s="1"/>
  <c r="J18" i="24"/>
  <c r="J26" i="24"/>
  <c r="J66" i="18"/>
  <c r="J14" i="24"/>
  <c r="H30" i="24"/>
  <c r="AA75" i="29"/>
  <c r="K75" i="29"/>
  <c r="G19" i="24"/>
  <c r="G50" i="24"/>
  <c r="T28" i="13"/>
  <c r="G57" i="30"/>
  <c r="J53" i="29"/>
  <c r="G73" i="30"/>
  <c r="J69" i="29"/>
  <c r="AB40" i="29"/>
  <c r="AB48" i="29"/>
  <c r="W13" i="29"/>
  <c r="W88" i="29" s="1"/>
  <c r="V88" i="29"/>
  <c r="D24" i="22"/>
  <c r="D42" i="22" s="1"/>
  <c r="Q24" i="29" s="1"/>
  <c r="D25" i="22"/>
  <c r="J47" i="11"/>
  <c r="J54" i="11" s="1"/>
  <c r="I54" i="11"/>
  <c r="H25" i="26" s="1"/>
  <c r="AA58" i="29"/>
  <c r="K58" i="29"/>
  <c r="I105" i="23"/>
  <c r="I47" i="23"/>
  <c r="K20" i="29"/>
  <c r="AA20" i="29"/>
  <c r="K23" i="29"/>
  <c r="AA23" i="29"/>
  <c r="AA42" i="29"/>
  <c r="K42" i="29"/>
  <c r="G47" i="17"/>
  <c r="AA59" i="29"/>
  <c r="K59" i="29"/>
  <c r="AA63" i="29"/>
  <c r="K63" i="29"/>
  <c r="AA67" i="29"/>
  <c r="K67" i="29"/>
  <c r="H31" i="17"/>
  <c r="L105" i="23"/>
  <c r="L110" i="23" s="1"/>
  <c r="L47" i="23"/>
  <c r="J20" i="11"/>
  <c r="I23" i="26" s="1"/>
  <c r="G28" i="24"/>
  <c r="Y88" i="29"/>
  <c r="O65" i="13"/>
  <c r="P65" i="13" s="1"/>
  <c r="M88" i="29"/>
  <c r="J22" i="24"/>
  <c r="J106" i="23"/>
  <c r="H22" i="26"/>
  <c r="R101" i="13" l="1"/>
  <c r="P113" i="13"/>
  <c r="R113" i="13" s="1"/>
  <c r="T81" i="13"/>
  <c r="T101" i="13" s="1"/>
  <c r="R117" i="13"/>
  <c r="Q12" i="15"/>
  <c r="R120" i="13"/>
  <c r="R114" i="13"/>
  <c r="T114" i="13" s="1"/>
  <c r="R123" i="13"/>
  <c r="I110" i="23"/>
  <c r="I25" i="26"/>
  <c r="R124" i="13"/>
  <c r="R130" i="13"/>
  <c r="S12" i="15"/>
  <c r="R118" i="13"/>
  <c r="R129" i="13"/>
  <c r="I33" i="1"/>
  <c r="I83" i="1"/>
  <c r="I84" i="1"/>
  <c r="I85" i="1"/>
  <c r="R121" i="13"/>
  <c r="R119" i="13"/>
  <c r="X21" i="15"/>
  <c r="X55" i="15"/>
  <c r="X69" i="15"/>
  <c r="X29" i="15"/>
  <c r="X36" i="15"/>
  <c r="X61" i="15"/>
  <c r="R126" i="13"/>
  <c r="X28" i="15"/>
  <c r="X26" i="15"/>
  <c r="F48" i="17"/>
  <c r="F51" i="17" s="1"/>
  <c r="F15" i="11" s="1"/>
  <c r="F17" i="11" s="1"/>
  <c r="F25" i="11" s="1"/>
  <c r="F32" i="11" s="1"/>
  <c r="F36" i="11" s="1"/>
  <c r="F56" i="11" s="1"/>
  <c r="X59" i="15"/>
  <c r="R132" i="13"/>
  <c r="X46" i="15"/>
  <c r="X62" i="15"/>
  <c r="X31" i="15"/>
  <c r="X39" i="15"/>
  <c r="X24" i="15"/>
  <c r="X68" i="15"/>
  <c r="X44" i="15"/>
  <c r="X23" i="15"/>
  <c r="X18" i="15"/>
  <c r="X30" i="15"/>
  <c r="X56" i="15"/>
  <c r="X48" i="15"/>
  <c r="X33" i="15"/>
  <c r="X37" i="15"/>
  <c r="X63" i="15"/>
  <c r="X40" i="15"/>
  <c r="X15" i="15"/>
  <c r="X53" i="15"/>
  <c r="X65" i="15"/>
  <c r="X17" i="15"/>
  <c r="X25" i="15"/>
  <c r="X22" i="15"/>
  <c r="X54" i="15"/>
  <c r="X43" i="15"/>
  <c r="X27" i="15"/>
  <c r="X20" i="15"/>
  <c r="X41" i="15"/>
  <c r="X50" i="15"/>
  <c r="X35" i="15"/>
  <c r="X58" i="15"/>
  <c r="X32" i="15"/>
  <c r="X51" i="15"/>
  <c r="X67" i="15"/>
  <c r="K105" i="23"/>
  <c r="K110" i="23" s="1"/>
  <c r="X70" i="15"/>
  <c r="X57" i="15"/>
  <c r="X42" i="15"/>
  <c r="X34" i="15"/>
  <c r="X19" i="15"/>
  <c r="X64" i="15"/>
  <c r="X49" i="15"/>
  <c r="X14" i="15"/>
  <c r="G22" i="17" s="1"/>
  <c r="G25" i="17" s="1"/>
  <c r="F36" i="26" s="1"/>
  <c r="X52" i="15"/>
  <c r="X60" i="15"/>
  <c r="X66" i="15"/>
  <c r="X38" i="15"/>
  <c r="R116" i="13"/>
  <c r="K47" i="23"/>
  <c r="G52" i="24"/>
  <c r="K55" i="23"/>
  <c r="K59" i="23" s="1"/>
  <c r="I22" i="25" s="1"/>
  <c r="W12" i="15"/>
  <c r="R12" i="15"/>
  <c r="T12" i="15"/>
  <c r="G31" i="24"/>
  <c r="H26" i="26"/>
  <c r="M162" i="13"/>
  <c r="S162" i="13"/>
  <c r="P158" i="13"/>
  <c r="R158" i="13" s="1"/>
  <c r="J158" i="13"/>
  <c r="V158" i="13"/>
  <c r="T158" i="13"/>
  <c r="S161" i="13"/>
  <c r="M161" i="13"/>
  <c r="S159" i="13"/>
  <c r="M159" i="13"/>
  <c r="S154" i="13"/>
  <c r="M154" i="13"/>
  <c r="J159" i="13"/>
  <c r="P159" i="13"/>
  <c r="R159" i="13" s="1"/>
  <c r="T159" i="13"/>
  <c r="V159" i="13"/>
  <c r="J151" i="13"/>
  <c r="V151" i="13"/>
  <c r="P151" i="13"/>
  <c r="R151" i="13" s="1"/>
  <c r="T151" i="13"/>
  <c r="V160" i="13"/>
  <c r="J160" i="13"/>
  <c r="P160" i="13"/>
  <c r="R160" i="13" s="1"/>
  <c r="T160" i="13"/>
  <c r="P133" i="13"/>
  <c r="J157" i="13"/>
  <c r="V157" i="13"/>
  <c r="P157" i="13"/>
  <c r="R157" i="13" s="1"/>
  <c r="T157" i="13"/>
  <c r="S145" i="13"/>
  <c r="M145" i="13"/>
  <c r="J163" i="13"/>
  <c r="P163" i="13"/>
  <c r="R163" i="13" s="1"/>
  <c r="V163" i="13"/>
  <c r="T163" i="13"/>
  <c r="J155" i="13"/>
  <c r="V155" i="13"/>
  <c r="P155" i="13"/>
  <c r="R155" i="13" s="1"/>
  <c r="T155" i="13"/>
  <c r="S149" i="13"/>
  <c r="M149" i="13"/>
  <c r="S156" i="13"/>
  <c r="M156" i="13"/>
  <c r="P164" i="13"/>
  <c r="R164" i="13" s="1"/>
  <c r="T164" i="13"/>
  <c r="J164" i="13"/>
  <c r="V164" i="13"/>
  <c r="P148" i="13"/>
  <c r="R148" i="13" s="1"/>
  <c r="T148" i="13"/>
  <c r="J148" i="13"/>
  <c r="V148" i="13"/>
  <c r="S163" i="13"/>
  <c r="M163" i="13"/>
  <c r="J161" i="13"/>
  <c r="P161" i="13"/>
  <c r="R161" i="13" s="1"/>
  <c r="T161" i="13"/>
  <c r="V161" i="13"/>
  <c r="J153" i="13"/>
  <c r="V153" i="13"/>
  <c r="P153" i="13"/>
  <c r="R153" i="13" s="1"/>
  <c r="T153" i="13"/>
  <c r="P154" i="13"/>
  <c r="R154" i="13" s="1"/>
  <c r="T154" i="13"/>
  <c r="J154" i="13"/>
  <c r="V154" i="13"/>
  <c r="S151" i="13"/>
  <c r="M151" i="13"/>
  <c r="S146" i="13"/>
  <c r="M146" i="13"/>
  <c r="S158" i="13"/>
  <c r="M158" i="13"/>
  <c r="M164" i="13"/>
  <c r="S164" i="13"/>
  <c r="V133" i="13"/>
  <c r="U133" i="13"/>
  <c r="P150" i="13"/>
  <c r="R150" i="13" s="1"/>
  <c r="T150" i="13"/>
  <c r="J150" i="13"/>
  <c r="V150" i="13"/>
  <c r="S152" i="13"/>
  <c r="M152" i="13"/>
  <c r="S115" i="13"/>
  <c r="S133" i="13" s="1"/>
  <c r="M115" i="13"/>
  <c r="M133" i="13" s="1"/>
  <c r="L147" i="13"/>
  <c r="L165" i="13" s="1"/>
  <c r="P152" i="13"/>
  <c r="R152" i="13" s="1"/>
  <c r="T152" i="13"/>
  <c r="J152" i="13"/>
  <c r="V152" i="13"/>
  <c r="S155" i="13"/>
  <c r="M155" i="13"/>
  <c r="O133" i="13"/>
  <c r="U165" i="13"/>
  <c r="J149" i="13"/>
  <c r="V149" i="13"/>
  <c r="P149" i="13"/>
  <c r="R149" i="13" s="1"/>
  <c r="T149" i="13"/>
  <c r="J146" i="13"/>
  <c r="O146" i="13" s="1"/>
  <c r="P146" i="13" s="1"/>
  <c r="V146" i="13"/>
  <c r="J147" i="13"/>
  <c r="V147" i="13"/>
  <c r="P147" i="13"/>
  <c r="R147" i="13" s="1"/>
  <c r="T147" i="13"/>
  <c r="S150" i="13"/>
  <c r="M150" i="13"/>
  <c r="P156" i="13"/>
  <c r="R156" i="13" s="1"/>
  <c r="T156" i="13"/>
  <c r="J156" i="13"/>
  <c r="V156" i="13"/>
  <c r="T162" i="13"/>
  <c r="J162" i="13"/>
  <c r="P162" i="13"/>
  <c r="R162" i="13" s="1"/>
  <c r="V162" i="13"/>
  <c r="J145" i="13"/>
  <c r="O145" i="13" s="1"/>
  <c r="V145" i="13"/>
  <c r="S153" i="13"/>
  <c r="M153" i="13"/>
  <c r="M160" i="13"/>
  <c r="S160" i="13"/>
  <c r="S157" i="13"/>
  <c r="M157" i="13"/>
  <c r="S148" i="13"/>
  <c r="M148" i="13"/>
  <c r="G101" i="30"/>
  <c r="U14" i="15"/>
  <c r="U57" i="15"/>
  <c r="U24" i="15"/>
  <c r="U47" i="15"/>
  <c r="U70" i="15"/>
  <c r="U59" i="15"/>
  <c r="AA8" i="15"/>
  <c r="J8" i="17"/>
  <c r="U41" i="15"/>
  <c r="U18" i="15"/>
  <c r="U39" i="15"/>
  <c r="U36" i="15"/>
  <c r="U25" i="15"/>
  <c r="U49" i="15"/>
  <c r="U64" i="15"/>
  <c r="U50" i="15"/>
  <c r="U60" i="15"/>
  <c r="U15" i="15"/>
  <c r="U42" i="15"/>
  <c r="U55" i="15"/>
  <c r="U58" i="15"/>
  <c r="U52" i="15"/>
  <c r="U34" i="15"/>
  <c r="U69" i="15"/>
  <c r="U21" i="15"/>
  <c r="U16" i="15"/>
  <c r="U66" i="15"/>
  <c r="U54" i="15"/>
  <c r="U43" i="15"/>
  <c r="U40" i="15"/>
  <c r="U45" i="15"/>
  <c r="U22" i="15"/>
  <c r="U28" i="15"/>
  <c r="U35" i="15"/>
  <c r="U30" i="15"/>
  <c r="U61" i="15"/>
  <c r="U65" i="15"/>
  <c r="U37" i="15"/>
  <c r="U32" i="15"/>
  <c r="U27" i="15"/>
  <c r="U19" i="15"/>
  <c r="U48" i="15"/>
  <c r="U68" i="15"/>
  <c r="U53" i="15"/>
  <c r="U26" i="15"/>
  <c r="U31" i="15"/>
  <c r="U20" i="15"/>
  <c r="U46" i="15"/>
  <c r="U56" i="15"/>
  <c r="U38" i="15"/>
  <c r="U17" i="15"/>
  <c r="U29" i="15"/>
  <c r="U51" i="15"/>
  <c r="U63" i="15"/>
  <c r="U67" i="15"/>
  <c r="U33" i="15"/>
  <c r="U23" i="15"/>
  <c r="U44" i="15"/>
  <c r="U62" i="15"/>
  <c r="Y14" i="15"/>
  <c r="Y36" i="15"/>
  <c r="Y57" i="15"/>
  <c r="Y32" i="15"/>
  <c r="Y60" i="15"/>
  <c r="Y26" i="15"/>
  <c r="Y47" i="15"/>
  <c r="Y22" i="15"/>
  <c r="Y43" i="15"/>
  <c r="Y53" i="15"/>
  <c r="Y19" i="15"/>
  <c r="Y49" i="15"/>
  <c r="Y15" i="15"/>
  <c r="Y30" i="15"/>
  <c r="Y64" i="15"/>
  <c r="Y51" i="15"/>
  <c r="Y55" i="15"/>
  <c r="Y41" i="15"/>
  <c r="Y45" i="15"/>
  <c r="Y23" i="15"/>
  <c r="Y48" i="15"/>
  <c r="Y27" i="15"/>
  <c r="Y16" i="15"/>
  <c r="Y50" i="15"/>
  <c r="Y20" i="15"/>
  <c r="Y54" i="15"/>
  <c r="Y34" i="15"/>
  <c r="Y38" i="15"/>
  <c r="Y24" i="15"/>
  <c r="Y28" i="15"/>
  <c r="Y42" i="15"/>
  <c r="Y70" i="15"/>
  <c r="Y46" i="15"/>
  <c r="Y69" i="15"/>
  <c r="Y39" i="15"/>
  <c r="Y18" i="15"/>
  <c r="Y21" i="15"/>
  <c r="Y66" i="15"/>
  <c r="Y61" i="15"/>
  <c r="Y40" i="15"/>
  <c r="Y65" i="15"/>
  <c r="Y44" i="15"/>
  <c r="Y33" i="15"/>
  <c r="Y67" i="15"/>
  <c r="Y37" i="15"/>
  <c r="Y68" i="15"/>
  <c r="Y17" i="15"/>
  <c r="Y58" i="15"/>
  <c r="Y62" i="15"/>
  <c r="Y25" i="15"/>
  <c r="Y59" i="15"/>
  <c r="Y29" i="15"/>
  <c r="Y63" i="15"/>
  <c r="Y52" i="15"/>
  <c r="Y31" i="15"/>
  <c r="Y56" i="15"/>
  <c r="Y35" i="15"/>
  <c r="Z14" i="15"/>
  <c r="Z32" i="15"/>
  <c r="Z15" i="15"/>
  <c r="Z53" i="15"/>
  <c r="Z36" i="15"/>
  <c r="Z31" i="15"/>
  <c r="Z20" i="15"/>
  <c r="Z64" i="15"/>
  <c r="Z44" i="15"/>
  <c r="Z46" i="15"/>
  <c r="Z42" i="15"/>
  <c r="Z25" i="15"/>
  <c r="Z63" i="15"/>
  <c r="Z70" i="15"/>
  <c r="Z19" i="15"/>
  <c r="Z40" i="15"/>
  <c r="Z29" i="15"/>
  <c r="Z57" i="15"/>
  <c r="Z51" i="15"/>
  <c r="Z34" i="15"/>
  <c r="Z17" i="15"/>
  <c r="Z30" i="15"/>
  <c r="Z37" i="15"/>
  <c r="Z58" i="15"/>
  <c r="Z47" i="15"/>
  <c r="Z61" i="15"/>
  <c r="Z68" i="15"/>
  <c r="Z23" i="15"/>
  <c r="Z27" i="15"/>
  <c r="Z39" i="15"/>
  <c r="Z18" i="15"/>
  <c r="Z52" i="15"/>
  <c r="Z38" i="15"/>
  <c r="Z45" i="15"/>
  <c r="Z24" i="15"/>
  <c r="Z22" i="15"/>
  <c r="Z67" i="15"/>
  <c r="Z16" i="15"/>
  <c r="Z21" i="15"/>
  <c r="Z48" i="15"/>
  <c r="Z43" i="15"/>
  <c r="Z28" i="15"/>
  <c r="Z50" i="15"/>
  <c r="Z35" i="15"/>
  <c r="Z69" i="15"/>
  <c r="Z59" i="15"/>
  <c r="Z49" i="15"/>
  <c r="Z62" i="15"/>
  <c r="Z41" i="15"/>
  <c r="Z66" i="15"/>
  <c r="Z56" i="15"/>
  <c r="Z54" i="15"/>
  <c r="Z33" i="15"/>
  <c r="Z65" i="15"/>
  <c r="Z55" i="15"/>
  <c r="Z26" i="15"/>
  <c r="Z60" i="15"/>
  <c r="I115" i="18"/>
  <c r="J18" i="25" s="1"/>
  <c r="H55" i="23"/>
  <c r="H59" i="23" s="1"/>
  <c r="F34" i="17"/>
  <c r="F42" i="17" s="1"/>
  <c r="I55" i="23"/>
  <c r="I59" i="23" s="1"/>
  <c r="G22" i="25" s="1"/>
  <c r="G34" i="17"/>
  <c r="G42" i="17" s="1"/>
  <c r="F19" i="26" s="1"/>
  <c r="P63" i="29"/>
  <c r="G57" i="24"/>
  <c r="P67" i="29"/>
  <c r="P23" i="29"/>
  <c r="G92" i="30"/>
  <c r="J67" i="24"/>
  <c r="L75" i="23" s="1"/>
  <c r="L86" i="23" s="1"/>
  <c r="Z88" i="29"/>
  <c r="T48" i="13"/>
  <c r="Q67" i="29"/>
  <c r="AB67" i="29"/>
  <c r="T65" i="13"/>
  <c r="J55" i="23"/>
  <c r="J59" i="23" s="1"/>
  <c r="H34" i="17"/>
  <c r="H42" i="17" s="1"/>
  <c r="G19" i="26" s="1"/>
  <c r="Q63" i="29"/>
  <c r="AB63" i="29"/>
  <c r="K65" i="29"/>
  <c r="P65" i="29"/>
  <c r="AA65" i="29"/>
  <c r="AF10" i="29"/>
  <c r="AA10" i="29"/>
  <c r="I8" i="11"/>
  <c r="I61" i="11" s="1"/>
  <c r="H110" i="18"/>
  <c r="K8" i="23"/>
  <c r="I38" i="24" s="1"/>
  <c r="H8" i="26"/>
  <c r="Q83" i="29"/>
  <c r="AB83" i="29"/>
  <c r="Q79" i="29"/>
  <c r="AB79" i="29"/>
  <c r="F31" i="24"/>
  <c r="F16" i="24"/>
  <c r="F32" i="24" s="1"/>
  <c r="F65" i="18" s="1"/>
  <c r="F79" i="18" s="1"/>
  <c r="G115" i="18"/>
  <c r="H18" i="25" s="1"/>
  <c r="F115" i="18"/>
  <c r="G18" i="25" s="1"/>
  <c r="K81" i="29"/>
  <c r="P81" i="29"/>
  <c r="AA81" i="29"/>
  <c r="Q86" i="29"/>
  <c r="AB86" i="29"/>
  <c r="K73" i="29"/>
  <c r="AA73" i="29"/>
  <c r="P73" i="29"/>
  <c r="K57" i="29"/>
  <c r="AA57" i="29"/>
  <c r="P57" i="29"/>
  <c r="P59" i="29"/>
  <c r="P42" i="29"/>
  <c r="P20" i="29"/>
  <c r="P58" i="29"/>
  <c r="Q48" i="29"/>
  <c r="Q40" i="29"/>
  <c r="Q72" i="29"/>
  <c r="P26" i="29"/>
  <c r="P14" i="29"/>
  <c r="G20" i="24"/>
  <c r="G32" i="24" s="1"/>
  <c r="G65" i="18" s="1"/>
  <c r="G79" i="18" s="1"/>
  <c r="Q76" i="29"/>
  <c r="O85" i="29"/>
  <c r="Q59" i="29"/>
  <c r="AB59" i="29"/>
  <c r="K69" i="29"/>
  <c r="AA69" i="29"/>
  <c r="P69" i="29"/>
  <c r="K53" i="29"/>
  <c r="AA53" i="29"/>
  <c r="P53" i="29"/>
  <c r="G24" i="25"/>
  <c r="H114" i="23"/>
  <c r="I30" i="24"/>
  <c r="Q78" i="29"/>
  <c r="AB78" i="29"/>
  <c r="J36" i="1"/>
  <c r="J38" i="1"/>
  <c r="AB56" i="29"/>
  <c r="Q56" i="29"/>
  <c r="AB52" i="29"/>
  <c r="Q52" i="29"/>
  <c r="AB80" i="29"/>
  <c r="Q80" i="29"/>
  <c r="O65" i="29"/>
  <c r="Q32" i="29"/>
  <c r="Q64" i="29"/>
  <c r="P71" i="29"/>
  <c r="Q68" i="29"/>
  <c r="O81" i="29"/>
  <c r="Q44" i="29"/>
  <c r="O73" i="29"/>
  <c r="O57" i="29"/>
  <c r="P84" i="29"/>
  <c r="Q28" i="29"/>
  <c r="Q42" i="29"/>
  <c r="AB42" i="29"/>
  <c r="AB23" i="29"/>
  <c r="Q23" i="29"/>
  <c r="AB20" i="29"/>
  <c r="Q20" i="29"/>
  <c r="Q58" i="29"/>
  <c r="AB58" i="29"/>
  <c r="G14" i="18"/>
  <c r="G16" i="18" s="1"/>
  <c r="G25" i="18" s="1"/>
  <c r="H14" i="18"/>
  <c r="H16" i="18" s="1"/>
  <c r="H25" i="18" s="1"/>
  <c r="P15" i="29"/>
  <c r="O16" i="29"/>
  <c r="N17" i="29"/>
  <c r="P19" i="29"/>
  <c r="N21" i="29"/>
  <c r="O24" i="29"/>
  <c r="N25" i="29"/>
  <c r="P27" i="29"/>
  <c r="O28" i="29"/>
  <c r="N29" i="29"/>
  <c r="P31" i="29"/>
  <c r="O32" i="29"/>
  <c r="N33" i="29"/>
  <c r="P35" i="29"/>
  <c r="N37" i="29"/>
  <c r="O40" i="29"/>
  <c r="N41" i="29"/>
  <c r="P43" i="29"/>
  <c r="O44" i="29"/>
  <c r="N45" i="29"/>
  <c r="P47" i="29"/>
  <c r="O48" i="29"/>
  <c r="N49" i="29"/>
  <c r="P51" i="29"/>
  <c r="O68" i="29"/>
  <c r="Q13" i="29"/>
  <c r="O15" i="29"/>
  <c r="N16" i="29"/>
  <c r="Q17" i="29"/>
  <c r="P18" i="29"/>
  <c r="O19" i="29"/>
  <c r="N20" i="29"/>
  <c r="P22" i="29"/>
  <c r="N24" i="29"/>
  <c r="O27" i="29"/>
  <c r="N28" i="29"/>
  <c r="P30" i="29"/>
  <c r="O31" i="29"/>
  <c r="N32" i="29"/>
  <c r="P34" i="29"/>
  <c r="O35" i="29"/>
  <c r="N36" i="29"/>
  <c r="P38" i="29"/>
  <c r="N40" i="29"/>
  <c r="O43" i="29"/>
  <c r="N44" i="29"/>
  <c r="P46" i="29"/>
  <c r="O47" i="29"/>
  <c r="N48" i="29"/>
  <c r="P50" i="29"/>
  <c r="O51" i="29"/>
  <c r="N52" i="29"/>
  <c r="P54" i="29"/>
  <c r="N56" i="29"/>
  <c r="N60" i="29"/>
  <c r="P62" i="29"/>
  <c r="N64" i="29"/>
  <c r="P66" i="29"/>
  <c r="N68" i="29"/>
  <c r="P70" i="29"/>
  <c r="N72" i="29"/>
  <c r="P74" i="29"/>
  <c r="N76" i="29"/>
  <c r="N80" i="29"/>
  <c r="P82" i="29"/>
  <c r="N84" i="29"/>
  <c r="P13" i="29"/>
  <c r="N14" i="29"/>
  <c r="Q15" i="29"/>
  <c r="O17" i="29"/>
  <c r="N18" i="29"/>
  <c r="Q19" i="29"/>
  <c r="O21" i="29"/>
  <c r="N22" i="29"/>
  <c r="O25" i="29"/>
  <c r="N26" i="29"/>
  <c r="Q27" i="29"/>
  <c r="O29" i="29"/>
  <c r="N30" i="29"/>
  <c r="Q31" i="29"/>
  <c r="O33" i="29"/>
  <c r="N34" i="29"/>
  <c r="Q35" i="29"/>
  <c r="O37" i="29"/>
  <c r="N38" i="29"/>
  <c r="O41" i="29"/>
  <c r="N42" i="29"/>
  <c r="Q43" i="29"/>
  <c r="O45" i="29"/>
  <c r="N46" i="29"/>
  <c r="Q47" i="29"/>
  <c r="O49" i="29"/>
  <c r="N50" i="29"/>
  <c r="Q51" i="29"/>
  <c r="N54" i="29"/>
  <c r="N58" i="29"/>
  <c r="N62" i="29"/>
  <c r="N66" i="29"/>
  <c r="N70" i="29"/>
  <c r="N74" i="29"/>
  <c r="N78" i="29"/>
  <c r="N82" i="29"/>
  <c r="N86" i="29"/>
  <c r="N13" i="29"/>
  <c r="P17" i="29"/>
  <c r="N27" i="29"/>
  <c r="O30" i="29"/>
  <c r="P33" i="29"/>
  <c r="N43" i="29"/>
  <c r="O46" i="29"/>
  <c r="P49" i="29"/>
  <c r="N59" i="29"/>
  <c r="O62" i="29"/>
  <c r="N75" i="29"/>
  <c r="O78" i="29"/>
  <c r="O13" i="29"/>
  <c r="N23" i="29"/>
  <c r="P29" i="29"/>
  <c r="N39" i="29"/>
  <c r="P45" i="29"/>
  <c r="N55" i="29"/>
  <c r="N71" i="29"/>
  <c r="O74" i="29"/>
  <c r="N87" i="29"/>
  <c r="N15" i="29"/>
  <c r="O18" i="29"/>
  <c r="P21" i="29"/>
  <c r="N31" i="29"/>
  <c r="O34" i="29"/>
  <c r="P37" i="29"/>
  <c r="N47" i="29"/>
  <c r="O50" i="29"/>
  <c r="N63" i="29"/>
  <c r="O66" i="29"/>
  <c r="N79" i="29"/>
  <c r="O82" i="29"/>
  <c r="P25" i="29"/>
  <c r="O38" i="29"/>
  <c r="N51" i="29"/>
  <c r="O22" i="29"/>
  <c r="N35" i="29"/>
  <c r="O86" i="29"/>
  <c r="N19" i="29"/>
  <c r="O70" i="29"/>
  <c r="N83" i="29"/>
  <c r="P41" i="29"/>
  <c r="O54" i="29"/>
  <c r="N67" i="29"/>
  <c r="O56" i="29"/>
  <c r="Q34" i="29"/>
  <c r="I14" i="18"/>
  <c r="I16" i="18" s="1"/>
  <c r="I25" i="18" s="1"/>
  <c r="P64" i="29"/>
  <c r="Q54" i="29"/>
  <c r="O52" i="29"/>
  <c r="O39" i="29"/>
  <c r="O36" i="29"/>
  <c r="O26" i="29"/>
  <c r="O14" i="29"/>
  <c r="N65" i="29"/>
  <c r="P76" i="29"/>
  <c r="O83" i="29"/>
  <c r="Q18" i="29"/>
  <c r="O84" i="29"/>
  <c r="O75" i="29"/>
  <c r="Q41" i="29"/>
  <c r="Q62" i="29"/>
  <c r="O60" i="29"/>
  <c r="P24" i="29"/>
  <c r="N85" i="29"/>
  <c r="Q70" i="29"/>
  <c r="P44" i="29"/>
  <c r="Q50" i="29"/>
  <c r="O64" i="29"/>
  <c r="P40" i="29"/>
  <c r="Q37" i="29"/>
  <c r="J14" i="18"/>
  <c r="J16" i="18" s="1"/>
  <c r="J25" i="18" s="1"/>
  <c r="J55" i="18" s="1"/>
  <c r="P60" i="29"/>
  <c r="O23" i="29"/>
  <c r="O20" i="29"/>
  <c r="N61" i="29"/>
  <c r="P68" i="29"/>
  <c r="O79" i="29"/>
  <c r="N77" i="29"/>
  <c r="O71" i="29"/>
  <c r="Q45" i="29"/>
  <c r="O55" i="29"/>
  <c r="O87" i="29"/>
  <c r="N73" i="29"/>
  <c r="N57" i="29"/>
  <c r="Q46" i="29"/>
  <c r="Q22" i="29"/>
  <c r="Q25" i="29"/>
  <c r="P48" i="29"/>
  <c r="Q29" i="29"/>
  <c r="N81" i="29"/>
  <c r="Q74" i="29"/>
  <c r="O72" i="29"/>
  <c r="Q30" i="29"/>
  <c r="Q21" i="29"/>
  <c r="O67" i="29"/>
  <c r="O63" i="29"/>
  <c r="O59" i="29"/>
  <c r="P72" i="29"/>
  <c r="O42" i="29"/>
  <c r="O58" i="29"/>
  <c r="P36" i="29"/>
  <c r="O76" i="29"/>
  <c r="P32" i="29"/>
  <c r="Q82" i="29"/>
  <c r="O80" i="29"/>
  <c r="N69" i="29"/>
  <c r="Q38" i="29"/>
  <c r="P16" i="29"/>
  <c r="Q33" i="29"/>
  <c r="N53" i="29"/>
  <c r="P28" i="29"/>
  <c r="Q66" i="29"/>
  <c r="Q49" i="29"/>
  <c r="J30" i="24"/>
  <c r="Q26" i="29"/>
  <c r="AB26" i="29"/>
  <c r="Q14" i="29"/>
  <c r="AB14" i="29"/>
  <c r="K77" i="29"/>
  <c r="AA77" i="29"/>
  <c r="P77" i="29"/>
  <c r="J55" i="24"/>
  <c r="J57" i="24" s="1"/>
  <c r="J23" i="24"/>
  <c r="J24" i="24" s="1"/>
  <c r="K61" i="29"/>
  <c r="AA61" i="29"/>
  <c r="P61" i="29"/>
  <c r="Q71" i="29"/>
  <c r="AB71" i="29"/>
  <c r="T55" i="13"/>
  <c r="H33" i="1"/>
  <c r="H84" i="1"/>
  <c r="H85" i="1"/>
  <c r="H83" i="1"/>
  <c r="O69" i="29"/>
  <c r="O53" i="29"/>
  <c r="P75" i="29"/>
  <c r="Q36" i="29"/>
  <c r="P55" i="29"/>
  <c r="T36" i="13"/>
  <c r="F62" i="18" s="1"/>
  <c r="F95" i="18" s="1"/>
  <c r="F100" i="18" s="1"/>
  <c r="P39" i="29"/>
  <c r="P87" i="29"/>
  <c r="P86" i="29"/>
  <c r="P68" i="13"/>
  <c r="H39" i="11"/>
  <c r="G41" i="11"/>
  <c r="F28" i="26" s="1"/>
  <c r="H12" i="17"/>
  <c r="H47" i="17" s="1"/>
  <c r="Q75" i="29"/>
  <c r="AB75" i="29"/>
  <c r="J23" i="25"/>
  <c r="L113" i="23"/>
  <c r="J45" i="24"/>
  <c r="J47" i="24" s="1"/>
  <c r="J15" i="24"/>
  <c r="K85" i="29"/>
  <c r="P85" i="29"/>
  <c r="AA85" i="29"/>
  <c r="Q55" i="29"/>
  <c r="AB55" i="29"/>
  <c r="I23" i="25"/>
  <c r="K113" i="23"/>
  <c r="AB39" i="29"/>
  <c r="Q39" i="29"/>
  <c r="Q87" i="29"/>
  <c r="AB87" i="29"/>
  <c r="AB84" i="29"/>
  <c r="Q84" i="29"/>
  <c r="J88" i="29"/>
  <c r="P83" i="29"/>
  <c r="O77" i="29"/>
  <c r="J110" i="23"/>
  <c r="O68" i="13"/>
  <c r="O61" i="29"/>
  <c r="P79" i="29"/>
  <c r="P78" i="29"/>
  <c r="R36" i="13"/>
  <c r="I22" i="26"/>
  <c r="I26" i="26" s="1"/>
  <c r="P56" i="29"/>
  <c r="Q60" i="29"/>
  <c r="P52" i="29"/>
  <c r="Q16" i="29"/>
  <c r="P80" i="29"/>
  <c r="R146" i="13" l="1"/>
  <c r="T146" i="13" s="1"/>
  <c r="R133" i="13"/>
  <c r="P145" i="13"/>
  <c r="P165" i="13" s="1"/>
  <c r="O165" i="13"/>
  <c r="T113" i="13"/>
  <c r="T133" i="13" s="1"/>
  <c r="H90" i="23"/>
  <c r="H94" i="23" s="1"/>
  <c r="F22" i="25"/>
  <c r="F25" i="25" s="1"/>
  <c r="F27" i="25" s="1"/>
  <c r="F40" i="25" s="1"/>
  <c r="G13" i="17"/>
  <c r="G16" i="17" s="1"/>
  <c r="I65" i="24"/>
  <c r="I67" i="24" s="1"/>
  <c r="K75" i="23" s="1"/>
  <c r="K86" i="23" s="1"/>
  <c r="I24" i="25" s="1"/>
  <c r="I36" i="1"/>
  <c r="I37" i="1"/>
  <c r="I35" i="1"/>
  <c r="I38" i="1"/>
  <c r="K88" i="29"/>
  <c r="G104" i="30"/>
  <c r="X12" i="15"/>
  <c r="J24" i="25"/>
  <c r="L114" i="23"/>
  <c r="V165" i="13"/>
  <c r="S147" i="13"/>
  <c r="S165" i="13" s="1"/>
  <c r="M147" i="13"/>
  <c r="M165" i="13" s="1"/>
  <c r="I90" i="23"/>
  <c r="I94" i="23" s="1"/>
  <c r="J31" i="17"/>
  <c r="U12" i="15"/>
  <c r="I22" i="17"/>
  <c r="I25" i="17" s="1"/>
  <c r="H37" i="26" s="1"/>
  <c r="Z12" i="15"/>
  <c r="AA30" i="15"/>
  <c r="AA43" i="15"/>
  <c r="AA65" i="15"/>
  <c r="AA70" i="15"/>
  <c r="AA25" i="15"/>
  <c r="AA20" i="15"/>
  <c r="AA54" i="15"/>
  <c r="AA33" i="15"/>
  <c r="AA57" i="15"/>
  <c r="AA36" i="15"/>
  <c r="AA15" i="15"/>
  <c r="AA49" i="15"/>
  <c r="AA44" i="15"/>
  <c r="AA26" i="15"/>
  <c r="AA63" i="15"/>
  <c r="AA40" i="15"/>
  <c r="AA39" i="15"/>
  <c r="AA18" i="15"/>
  <c r="AA52" i="15"/>
  <c r="AA31" i="15"/>
  <c r="AA21" i="15"/>
  <c r="AA55" i="15"/>
  <c r="AA34" i="15"/>
  <c r="AA68" i="15"/>
  <c r="AA64" i="15"/>
  <c r="AA22" i="15"/>
  <c r="AA23" i="15"/>
  <c r="AA46" i="15"/>
  <c r="AA59" i="15"/>
  <c r="AA27" i="15"/>
  <c r="AA67" i="15"/>
  <c r="AA37" i="15"/>
  <c r="AA16" i="15"/>
  <c r="AA50" i="15"/>
  <c r="AA19" i="15"/>
  <c r="AA53" i="15"/>
  <c r="AA32" i="15"/>
  <c r="AA47" i="15"/>
  <c r="AA60" i="15"/>
  <c r="AA61" i="15"/>
  <c r="AA29" i="15"/>
  <c r="AA42" i="15"/>
  <c r="AA48" i="15"/>
  <c r="AA56" i="15"/>
  <c r="AA35" i="15"/>
  <c r="AA69" i="15"/>
  <c r="AA38" i="15"/>
  <c r="AA17" i="15"/>
  <c r="AA51" i="15"/>
  <c r="AA24" i="15"/>
  <c r="AA45" i="15"/>
  <c r="AA14" i="15"/>
  <c r="AA66" i="15"/>
  <c r="AA28" i="15"/>
  <c r="AA58" i="15"/>
  <c r="AA41" i="15"/>
  <c r="AA62" i="15"/>
  <c r="H22" i="17"/>
  <c r="Y12" i="15"/>
  <c r="H112" i="23"/>
  <c r="H115" i="23" s="1"/>
  <c r="H117" i="23" s="1"/>
  <c r="AA88" i="29"/>
  <c r="R68" i="13"/>
  <c r="I55" i="18"/>
  <c r="I112" i="18"/>
  <c r="J14" i="25" s="1"/>
  <c r="J19" i="25" s="1"/>
  <c r="G112" i="18"/>
  <c r="H14" i="25" s="1"/>
  <c r="H19" i="25" s="1"/>
  <c r="G55" i="18"/>
  <c r="F112" i="18"/>
  <c r="G14" i="25" s="1"/>
  <c r="G19" i="25" s="1"/>
  <c r="P88" i="29"/>
  <c r="T51" i="13"/>
  <c r="T68" i="13" s="1"/>
  <c r="G62" i="18" s="1"/>
  <c r="G95" i="18" s="1"/>
  <c r="H112" i="18"/>
  <c r="I14" i="25" s="1"/>
  <c r="I19" i="25" s="1"/>
  <c r="H55" i="18"/>
  <c r="J19" i="24"/>
  <c r="J20" i="24" s="1"/>
  <c r="J50" i="24"/>
  <c r="J52" i="24" s="1"/>
  <c r="AB53" i="29"/>
  <c r="Q53" i="29"/>
  <c r="AB65" i="29"/>
  <c r="Q65" i="29"/>
  <c r="H22" i="25"/>
  <c r="J112" i="23"/>
  <c r="I112" i="23"/>
  <c r="O88" i="29"/>
  <c r="N88" i="29"/>
  <c r="AB85" i="29"/>
  <c r="Q85" i="29"/>
  <c r="AB77" i="29"/>
  <c r="Q77" i="29"/>
  <c r="J60" i="24"/>
  <c r="J62" i="24" s="1"/>
  <c r="J27" i="24"/>
  <c r="J28" i="24" s="1"/>
  <c r="AB69" i="29"/>
  <c r="Q69" i="29"/>
  <c r="AB57" i="29"/>
  <c r="Q57" i="29"/>
  <c r="AB81" i="29"/>
  <c r="Q81" i="29"/>
  <c r="AB10" i="29"/>
  <c r="AG10" i="29"/>
  <c r="I8" i="26"/>
  <c r="J8" i="11"/>
  <c r="J61" i="11" s="1"/>
  <c r="I110" i="18"/>
  <c r="H4" i="22"/>
  <c r="L8" i="23"/>
  <c r="J38" i="24" s="1"/>
  <c r="F40" i="26"/>
  <c r="H41" i="11"/>
  <c r="G28" i="26" s="1"/>
  <c r="I39" i="11"/>
  <c r="H35" i="1"/>
  <c r="H38" i="1"/>
  <c r="H67" i="24"/>
  <c r="J75" i="23" s="1"/>
  <c r="J86" i="23" s="1"/>
  <c r="J90" i="23" s="1"/>
  <c r="J94" i="23" s="1"/>
  <c r="H37" i="1"/>
  <c r="H36" i="1"/>
  <c r="AB61" i="29"/>
  <c r="Q61" i="29"/>
  <c r="AB73" i="29"/>
  <c r="Q73" i="29"/>
  <c r="J16" i="24"/>
  <c r="R145" i="13" l="1"/>
  <c r="R165" i="13" s="1"/>
  <c r="G48" i="17"/>
  <c r="K114" i="23"/>
  <c r="I55" i="24"/>
  <c r="I57" i="24" s="1"/>
  <c r="I23" i="24"/>
  <c r="I24" i="24" s="1"/>
  <c r="K90" i="23"/>
  <c r="K94" i="23" s="1"/>
  <c r="I45" i="24"/>
  <c r="I47" i="24" s="1"/>
  <c r="I15" i="24"/>
  <c r="I50" i="24"/>
  <c r="I52" i="24" s="1"/>
  <c r="I19" i="24"/>
  <c r="I20" i="24" s="1"/>
  <c r="I60" i="24"/>
  <c r="I62" i="24" s="1"/>
  <c r="I27" i="24"/>
  <c r="I28" i="24" s="1"/>
  <c r="H13" i="17"/>
  <c r="H16" i="17" s="1"/>
  <c r="G51" i="17"/>
  <c r="G15" i="11" s="1"/>
  <c r="G17" i="11" s="1"/>
  <c r="J34" i="17"/>
  <c r="J42" i="17" s="1"/>
  <c r="I19" i="26" s="1"/>
  <c r="L55" i="23"/>
  <c r="L59" i="23" s="1"/>
  <c r="Q88" i="29"/>
  <c r="H25" i="17"/>
  <c r="G36" i="26" s="1"/>
  <c r="J22" i="17"/>
  <c r="J25" i="17" s="1"/>
  <c r="I37" i="26" s="1"/>
  <c r="AA12" i="15"/>
  <c r="AB88" i="29"/>
  <c r="F116" i="18"/>
  <c r="G21" i="25" s="1"/>
  <c r="G25" i="25" s="1"/>
  <c r="G27" i="25" s="1"/>
  <c r="H57" i="24"/>
  <c r="H23" i="24"/>
  <c r="H24" i="24" s="1"/>
  <c r="I12" i="17"/>
  <c r="G100" i="18"/>
  <c r="H47" i="24"/>
  <c r="H15" i="24"/>
  <c r="H19" i="24"/>
  <c r="H20" i="24" s="1"/>
  <c r="H52" i="24"/>
  <c r="H62" i="24"/>
  <c r="H27" i="24"/>
  <c r="H28" i="24" s="1"/>
  <c r="I41" i="11"/>
  <c r="H28" i="26" s="1"/>
  <c r="J39" i="11"/>
  <c r="J41" i="11" s="1"/>
  <c r="J32" i="24"/>
  <c r="J65" i="18" s="1"/>
  <c r="J79" i="18" s="1"/>
  <c r="J31" i="24"/>
  <c r="H24" i="25"/>
  <c r="J114" i="23"/>
  <c r="J115" i="23" s="1"/>
  <c r="J117" i="23" s="1"/>
  <c r="I114" i="23"/>
  <c r="I115" i="23" s="1"/>
  <c r="I117" i="23" s="1"/>
  <c r="T145" i="13" l="1"/>
  <c r="T165" i="13" s="1"/>
  <c r="I16" i="24"/>
  <c r="I32" i="24" s="1"/>
  <c r="I65" i="18" s="1"/>
  <c r="I79" i="18" s="1"/>
  <c r="I31" i="24"/>
  <c r="H48" i="17"/>
  <c r="H51" i="17" s="1"/>
  <c r="H15" i="11" s="1"/>
  <c r="K112" i="23"/>
  <c r="K115" i="23" s="1"/>
  <c r="K117" i="23" s="1"/>
  <c r="L90" i="23"/>
  <c r="L94" i="23" s="1"/>
  <c r="J22" i="25"/>
  <c r="L112" i="23"/>
  <c r="L115" i="23" s="1"/>
  <c r="L117" i="23" s="1"/>
  <c r="I62" i="18"/>
  <c r="H62" i="18"/>
  <c r="I28" i="26"/>
  <c r="G40" i="26"/>
  <c r="G40" i="25"/>
  <c r="F17" i="26" s="1"/>
  <c r="F30" i="26" s="1"/>
  <c r="G65" i="11"/>
  <c r="G32" i="11"/>
  <c r="H31" i="24"/>
  <c r="H16" i="24"/>
  <c r="H32" i="24" s="1"/>
  <c r="H65" i="18" s="1"/>
  <c r="H79" i="18" s="1"/>
  <c r="I47" i="17"/>
  <c r="I95" i="18" l="1"/>
  <c r="I100" i="18" s="1"/>
  <c r="H17" i="11"/>
  <c r="I15" i="11"/>
  <c r="H36" i="26" s="1"/>
  <c r="H40" i="26" s="1"/>
  <c r="I13" i="17"/>
  <c r="F48" i="26"/>
  <c r="H95" i="18"/>
  <c r="J62" i="18"/>
  <c r="J95" i="18" s="1"/>
  <c r="J12" i="17"/>
  <c r="G36" i="11"/>
  <c r="G66" i="11"/>
  <c r="J15" i="11"/>
  <c r="I36" i="26" s="1"/>
  <c r="I40" i="26" s="1"/>
  <c r="H100" i="18" l="1"/>
  <c r="G116" i="18"/>
  <c r="H21" i="25" s="1"/>
  <c r="H25" i="25" s="1"/>
  <c r="H27" i="25" s="1"/>
  <c r="H40" i="25" s="1"/>
  <c r="G17" i="26" s="1"/>
  <c r="G30" i="26" s="1"/>
  <c r="G48" i="26" s="1"/>
  <c r="I48" i="17"/>
  <c r="I16" i="17"/>
  <c r="F51" i="26"/>
  <c r="G11" i="26" s="1"/>
  <c r="H116" i="18"/>
  <c r="I21" i="25" s="1"/>
  <c r="I25" i="25" s="1"/>
  <c r="I27" i="25" s="1"/>
  <c r="I40" i="25" s="1"/>
  <c r="H17" i="26" s="1"/>
  <c r="H30" i="26" s="1"/>
  <c r="H48" i="26" s="1"/>
  <c r="J100" i="18"/>
  <c r="I116" i="18"/>
  <c r="J21" i="25" s="1"/>
  <c r="J25" i="25" s="1"/>
  <c r="J27" i="25" s="1"/>
  <c r="G56" i="11"/>
  <c r="J47" i="17"/>
  <c r="J13" i="17" l="1"/>
  <c r="I51" i="17"/>
  <c r="I14" i="11" s="1"/>
  <c r="I17" i="11" s="1"/>
  <c r="H32" i="11"/>
  <c r="H36" i="11" s="1"/>
  <c r="F10" i="30" s="1"/>
  <c r="H17" i="30" s="1"/>
  <c r="H65" i="11"/>
  <c r="G51" i="26"/>
  <c r="H11" i="26" s="1"/>
  <c r="H51" i="26" s="1"/>
  <c r="I11" i="26" s="1"/>
  <c r="I65" i="11"/>
  <c r="J65" i="11"/>
  <c r="J40" i="25"/>
  <c r="I17" i="26" s="1"/>
  <c r="I30" i="26" s="1"/>
  <c r="I48" i="26" s="1"/>
  <c r="G22" i="11"/>
  <c r="F49" i="26" s="1"/>
  <c r="G63" i="11"/>
  <c r="H66" i="11" l="1"/>
  <c r="J48" i="17"/>
  <c r="J51" i="17" s="1"/>
  <c r="J14" i="11" s="1"/>
  <c r="J17" i="11" s="1"/>
  <c r="J16" i="17"/>
  <c r="I51" i="26"/>
  <c r="G23" i="11"/>
  <c r="H56" i="11"/>
  <c r="I32" i="11"/>
  <c r="H22" i="11" l="1"/>
  <c r="H63" i="11"/>
  <c r="G64" i="11"/>
  <c r="F52" i="26" s="1"/>
  <c r="G25" i="11"/>
  <c r="I36" i="11"/>
  <c r="I66" i="11"/>
  <c r="H98" i="30" l="1"/>
  <c r="H26" i="30"/>
  <c r="H42" i="30"/>
  <c r="H58" i="30"/>
  <c r="H31" i="30"/>
  <c r="H52" i="30"/>
  <c r="H71" i="30"/>
  <c r="H87" i="30"/>
  <c r="H29" i="30"/>
  <c r="H51" i="30"/>
  <c r="H70" i="30"/>
  <c r="H86" i="30"/>
  <c r="H27" i="30"/>
  <c r="H48" i="30"/>
  <c r="H68" i="30"/>
  <c r="H84" i="30"/>
  <c r="H55" i="30"/>
  <c r="H49" i="30"/>
  <c r="H39" i="30"/>
  <c r="H81" i="30"/>
  <c r="H64" i="30"/>
  <c r="H33" i="30"/>
  <c r="H23" i="30"/>
  <c r="H76" i="30"/>
  <c r="H89" i="30"/>
  <c r="H22" i="30"/>
  <c r="H38" i="30"/>
  <c r="H54" i="30"/>
  <c r="H25" i="30"/>
  <c r="H47" i="30"/>
  <c r="H67" i="30"/>
  <c r="H24" i="30"/>
  <c r="H66" i="30"/>
  <c r="H43" i="30"/>
  <c r="H97" i="30"/>
  <c r="H77" i="30"/>
  <c r="H18" i="30"/>
  <c r="H34" i="30"/>
  <c r="H50" i="30"/>
  <c r="H20" i="30"/>
  <c r="H41" i="30"/>
  <c r="H63" i="30"/>
  <c r="H79" i="30"/>
  <c r="H19" i="30"/>
  <c r="H40" i="30"/>
  <c r="H61" i="30"/>
  <c r="H78" i="30"/>
  <c r="H99" i="30"/>
  <c r="H37" i="30"/>
  <c r="H59" i="30"/>
  <c r="H85" i="30"/>
  <c r="H100" i="30"/>
  <c r="H30" i="30"/>
  <c r="H46" i="30"/>
  <c r="H62" i="30"/>
  <c r="H36" i="30"/>
  <c r="H57" i="30"/>
  <c r="H75" i="30"/>
  <c r="H91" i="30"/>
  <c r="H35" i="30"/>
  <c r="H56" i="30"/>
  <c r="H74" i="30"/>
  <c r="H90" i="30"/>
  <c r="H32" i="30"/>
  <c r="H53" i="30"/>
  <c r="H72" i="30"/>
  <c r="H88" i="30"/>
  <c r="H73" i="30"/>
  <c r="H69" i="30"/>
  <c r="H60" i="30"/>
  <c r="H65" i="30"/>
  <c r="H83" i="30"/>
  <c r="H45" i="30"/>
  <c r="H82" i="30"/>
  <c r="H21" i="30"/>
  <c r="H80" i="30"/>
  <c r="H28" i="30"/>
  <c r="H44" i="30"/>
  <c r="I56" i="11"/>
  <c r="J32" i="11"/>
  <c r="G49" i="26"/>
  <c r="H23" i="11"/>
  <c r="H101" i="30" l="1"/>
  <c r="H92" i="30"/>
  <c r="H64" i="11"/>
  <c r="G52" i="26" s="1"/>
  <c r="H25" i="11"/>
  <c r="I22" i="11"/>
  <c r="I63" i="11"/>
  <c r="J66" i="11"/>
  <c r="J36" i="11"/>
  <c r="J56" i="11" s="1"/>
  <c r="J22" i="11" s="1"/>
  <c r="H104" i="30" l="1"/>
  <c r="J63" i="11"/>
  <c r="I49" i="26"/>
  <c r="J23" i="11"/>
  <c r="H49" i="26"/>
  <c r="I23" i="11"/>
  <c r="I64" i="11" l="1"/>
  <c r="H52" i="26" s="1"/>
  <c r="I25" i="11"/>
  <c r="J64" i="11"/>
  <c r="I52" i="26" s="1"/>
  <c r="J25" i="11"/>
</calcChain>
</file>

<file path=xl/comments1.xml><?xml version="1.0" encoding="utf-8"?>
<comments xmlns="http://schemas.openxmlformats.org/spreadsheetml/2006/main">
  <authors>
    <author>Bé Keizer</author>
    <author>Keizer</author>
  </authors>
  <commentList>
    <comment ref="D22" authorId="0">
      <text>
        <r>
          <rPr>
            <sz val="9"/>
            <color indexed="81"/>
            <rFont val="Tahoma"/>
            <family val="2"/>
          </rPr>
          <t xml:space="preserve">
Dit gegeven moet per basisschool verkregen worden.  De drempel is voor 13-14 verlaagd van 26 naar 15. 
Advies: Zo goed mogelijke raming en beschikking Cfi erbij betrekken.</t>
        </r>
      </text>
    </comment>
    <comment ref="D24" authorId="1">
      <text>
        <r>
          <rPr>
            <sz val="9"/>
            <color indexed="81"/>
            <rFont val="Tahoma"/>
            <family val="2"/>
          </rPr>
          <t xml:space="preserve">
Het betreft hier het aantal leerlingen van de SBO dat uitsluitend aan dit samenwerkingsverband wordt toegerekend.</t>
        </r>
      </text>
    </comment>
  </commentList>
</comments>
</file>

<file path=xl/comments2.xml><?xml version="1.0" encoding="utf-8"?>
<comments xmlns="http://schemas.openxmlformats.org/spreadsheetml/2006/main">
  <authors>
    <author>Keizer</author>
  </authors>
  <commentList>
    <comment ref="D65" authorId="0">
      <text>
        <r>
          <rPr>
            <sz val="9"/>
            <color indexed="81"/>
            <rFont val="Tahoma"/>
            <family val="2"/>
          </rPr>
          <t xml:space="preserve">
Bij keuze voor peildatum betreft het zowel het basisbedrag als het zorgbedrag.</t>
        </r>
      </text>
    </comment>
  </commentList>
</comments>
</file>

<file path=xl/comments3.xml><?xml version="1.0" encoding="utf-8"?>
<comments xmlns="http://schemas.openxmlformats.org/spreadsheetml/2006/main">
  <authors>
    <author>Keizer</author>
    <author>Goedhart, R.</author>
  </authors>
  <commentList>
    <comment ref="L13" authorId="0">
      <text>
        <r>
          <rPr>
            <sz val="9"/>
            <color indexed="81"/>
            <rFont val="Tahoma"/>
            <family val="2"/>
          </rPr>
          <t xml:space="preserve">
Opgave van WTF BAPO is positief getal en dat wordt in mindering gebracht op reguliere WTF
</t>
        </r>
      </text>
    </comment>
    <comment ref="Q14" authorId="1">
      <text>
        <r>
          <rPr>
            <sz val="8"/>
            <color indexed="81"/>
            <rFont val="Tahoma"/>
            <family val="2"/>
          </rPr>
          <t xml:space="preserve">
dit percentage is gebaseerd op het landelijk gemiddelde en kan aangepast worden in het werkblad tab
</t>
        </r>
      </text>
    </comment>
    <comment ref="L45" authorId="0">
      <text>
        <r>
          <rPr>
            <sz val="9"/>
            <color indexed="81"/>
            <rFont val="Tahoma"/>
            <family val="2"/>
          </rPr>
          <t xml:space="preserve">
Opgave van WTF BAPO is positief getal en dat wordt in mindering gebracht op reguliere WTF
</t>
        </r>
      </text>
    </comment>
    <comment ref="Q46" authorId="1">
      <text>
        <r>
          <rPr>
            <sz val="8"/>
            <color indexed="81"/>
            <rFont val="Tahoma"/>
            <family val="2"/>
          </rPr>
          <t xml:space="preserve">
dit percentage is gebaseerd op het landelijk gemiddelde en kan aangepast worden in het werkblad tab
</t>
        </r>
      </text>
    </comment>
    <comment ref="L78" authorId="0">
      <text>
        <r>
          <rPr>
            <sz val="9"/>
            <color indexed="81"/>
            <rFont val="Tahoma"/>
            <family val="2"/>
          </rPr>
          <t xml:space="preserve">
Opgave van WTF BAPO is positief getal en dat wordt in mindering gebracht op reguliere WTF
</t>
        </r>
      </text>
    </comment>
    <comment ref="Q79" authorId="1">
      <text>
        <r>
          <rPr>
            <sz val="8"/>
            <color indexed="81"/>
            <rFont val="Tahoma"/>
            <family val="2"/>
          </rPr>
          <t xml:space="preserve">
dit percentage is gebaseerd op het landelijk gemiddelde en kan aangepast worden in het werkblad tab
</t>
        </r>
      </text>
    </comment>
    <comment ref="L110" authorId="0">
      <text>
        <r>
          <rPr>
            <sz val="9"/>
            <color indexed="81"/>
            <rFont val="Tahoma"/>
            <family val="2"/>
          </rPr>
          <t xml:space="preserve">
Opgave van WTF BAPO is positief getal en dat wordt in mindering gebracht op reguliere WTF
</t>
        </r>
      </text>
    </comment>
    <comment ref="Q111" authorId="1">
      <text>
        <r>
          <rPr>
            <sz val="8"/>
            <color indexed="81"/>
            <rFont val="Tahoma"/>
            <family val="2"/>
          </rPr>
          <t xml:space="preserve">
dit percentage is gebaseerd op het landelijk gemiddelde en kan aangepast worden in het werkblad tab
</t>
        </r>
      </text>
    </comment>
    <comment ref="L142" authorId="0">
      <text>
        <r>
          <rPr>
            <sz val="9"/>
            <color indexed="81"/>
            <rFont val="Tahoma"/>
            <family val="2"/>
          </rPr>
          <t xml:space="preserve">
Opgave van WTF BAPO is positief getal en dat wordt in mindering gebracht op reguliere WTF
</t>
        </r>
      </text>
    </comment>
    <comment ref="Q143" authorId="1">
      <text>
        <r>
          <rPr>
            <sz val="8"/>
            <color indexed="81"/>
            <rFont val="Tahoma"/>
            <family val="2"/>
          </rPr>
          <t xml:space="preserve">
dit percentage is gebaseerd op het landelijk gemiddelde en kan aangepast worden in het werkblad tab
</t>
        </r>
      </text>
    </comment>
  </commentList>
</comments>
</file>

<file path=xl/comments4.xml><?xml version="1.0" encoding="utf-8"?>
<comments xmlns="http://schemas.openxmlformats.org/spreadsheetml/2006/main">
  <authors>
    <author>Bé Keizer</author>
  </authors>
  <commentList>
    <comment ref="D66" authorId="0">
      <text>
        <r>
          <rPr>
            <sz val="9"/>
            <color indexed="81"/>
            <rFont val="Tahoma"/>
            <family val="2"/>
          </rPr>
          <t xml:space="preserve">
Aanloopschalen a1 en a2 achterwege gelaten.</t>
        </r>
      </text>
    </comment>
  </commentList>
</comments>
</file>

<file path=xl/comments5.xml><?xml version="1.0" encoding="utf-8"?>
<comments xmlns="http://schemas.openxmlformats.org/spreadsheetml/2006/main">
  <authors>
    <author>Keizer</author>
    <author>Bé Keizer</author>
  </authors>
  <commentList>
    <comment ref="D75" authorId="0">
      <text>
        <r>
          <rPr>
            <sz val="9"/>
            <color indexed="81"/>
            <rFont val="Tahoma"/>
            <family val="2"/>
          </rPr>
          <t xml:space="preserve">
Bij keuze voor peildatum betreft het zowel het basisbedrag als het zorgbedrag.</t>
        </r>
      </text>
    </comment>
    <comment ref="L103" authorId="1">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6.xml><?xml version="1.0" encoding="utf-8"?>
<comments xmlns="http://schemas.openxmlformats.org/spreadsheetml/2006/main">
  <authors>
    <author>Goedhart, R.</author>
  </authors>
  <commentList>
    <comment ref="E8" authorId="0">
      <text>
        <r>
          <rPr>
            <sz val="8"/>
            <color indexed="81"/>
            <rFont val="Tahoma"/>
            <family val="2"/>
          </rPr>
          <t xml:space="preserve">
hoeft niet te worden ingevuld</t>
        </r>
      </text>
    </comment>
  </commentList>
</comments>
</file>

<file path=xl/comments7.xml><?xml version="1.0" encoding="utf-8"?>
<comments xmlns="http://schemas.openxmlformats.org/spreadsheetml/2006/main">
  <authors>
    <author>Goedhart, R.</author>
  </authors>
  <commentList>
    <comment ref="D35" authorId="0">
      <text>
        <r>
          <rPr>
            <sz val="8"/>
            <color indexed="81"/>
            <rFont val="Tahoma"/>
            <family val="2"/>
          </rPr>
          <t xml:space="preserve">
Slechts invullen indien u een eerste waardering/ nul-meting/ inventarisatie heeft uitgevoerd in het kader van de startbalans.
Deze afschrijvingsbedragen kan u halen van uw nul-meting/ overzicht eerste waardering 
</t>
        </r>
      </text>
    </comment>
  </commentList>
</comments>
</file>

<file path=xl/comments8.xml><?xml version="1.0" encoding="utf-8"?>
<comments xmlns="http://schemas.openxmlformats.org/spreadsheetml/2006/main">
  <authors>
    <author>goedhartr</author>
    <author>Bé Keizer</author>
    <author>Goedhart, R.</author>
  </authors>
  <commentList>
    <comment ref="D39" authorId="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F65" authorId="1">
      <text>
        <r>
          <rPr>
            <sz val="9"/>
            <color indexed="81"/>
            <rFont val="Tahoma"/>
            <family val="2"/>
          </rPr>
          <t xml:space="preserve">
gemiddeld over 3 jaar</t>
        </r>
      </text>
    </comment>
    <comment ref="F66" authorId="2">
      <text>
        <r>
          <rPr>
            <sz val="9"/>
            <color indexed="81"/>
            <rFont val="Tahoma"/>
            <family val="2"/>
          </rPr>
          <t xml:space="preserve">
In plaats van het weerstandsvermogen is de kapitalisatiefactor (commissie Don) nu het kengetal dat door de inspectie wordt getoetst. Desondanks menen we dat het oude begrip weerstandsfonds in het PO nog een nuttige functie vervult zolang de weerstandscapaciteit (commissie Don) nog niet in beeld is gebracht.
Voor het primair onderwijs werd veelal de volgende definitie gehanteerd: (Eigen vermogen -/- materiele vaste activa)/ Rijksbijdrage OCW. De streefwaarde bij dit kengetal is afhankelijk van het risicoprofiel van de organisatie, maar zou tenminste  5% moeten zijn (Ernst &amp; Young, 2005). 
De situatie van een SWV-WSNS is echter volledig anders dan die van een basisschool. Zo heeft een SWV veelal geen / weinig personeel in eigen dienst. Daarom zal voor het SWV een andere definitie van het weerstandsvermogen gehanteerd moeten worden.  
Voor het bepalen van de buffer van een SWV moet goed gekeken worden naar de specifieke situatie van het SWV (bijvoorbeeld: afspraken die gemaakt zijn met derden over inhuur personeel), de risico's zouden daarvan moeten worden ingeschat en op basis daarvan kan een buffervermogen bepaald worden voor dat specifieke SWV. Dit vereist dus een nadere analyse.</t>
        </r>
      </text>
    </comment>
  </commentList>
</comments>
</file>

<file path=xl/comments9.xml><?xml version="1.0" encoding="utf-8"?>
<comments xmlns="http://schemas.openxmlformats.org/spreadsheetml/2006/main">
  <authors>
    <author>Bé Keizer</author>
    <author>Keizer</author>
  </authors>
  <commentList>
    <comment ref="A59" authorId="0">
      <text>
        <r>
          <rPr>
            <sz val="9"/>
            <color indexed="81"/>
            <rFont val="Tahoma"/>
            <family val="2"/>
          </rPr>
          <t xml:space="preserve">
Is nodig wanneer de peildatum in plaats van de teldatum wordt gehanteerd voor de overdracht van het basisbedrag.
Dit is een gemiddeld bedrag.</t>
        </r>
      </text>
    </comment>
    <comment ref="A65" authorId="1">
      <text>
        <r>
          <rPr>
            <sz val="9"/>
            <color indexed="81"/>
            <rFont val="Tahoma"/>
            <family val="2"/>
          </rPr>
          <t xml:space="preserve">
Artikel 34.</t>
        </r>
      </text>
    </comment>
    <comment ref="A68" authorId="0">
      <text>
        <r>
          <rPr>
            <sz val="9"/>
            <color indexed="81"/>
            <rFont val="Tahoma"/>
            <family val="2"/>
          </rPr>
          <t xml:space="preserve">
In deze opgave WG-lasten zijn de hogere kosten als gevolg van de inkorting schalen per 1 jan 2011 en de schaal-uitloop/toeslagdirectietoeslag opgenomen. Daarom kan volstaan worden met één salaristabel.</t>
        </r>
      </text>
    </comment>
  </commentList>
</comments>
</file>

<file path=xl/sharedStrings.xml><?xml version="1.0" encoding="utf-8"?>
<sst xmlns="http://schemas.openxmlformats.org/spreadsheetml/2006/main" count="975" uniqueCount="558">
  <si>
    <t>in dit programma gebruikt.</t>
  </si>
  <si>
    <t xml:space="preserve">Werkblad 'pers' </t>
  </si>
  <si>
    <t>In dit werkblad wordt de personele bekostiging verwerkt en de overige baten en lasten weergegeven.</t>
  </si>
  <si>
    <t xml:space="preserve">In dit werkblad wordt de omvang berekend van de overdrachtsverplichtingen die gelden aan de SBO in verband met het aantal leerlingen </t>
  </si>
  <si>
    <t xml:space="preserve">De berekening van de overdracht in verband met de basisbekostiging MI is een benaderd gemiddelde. Het betreft hier namelijk ook het effect </t>
  </si>
  <si>
    <t xml:space="preserve">Werkblad 'mat' </t>
  </si>
  <si>
    <t xml:space="preserve">In dit werkblad worden de baten en lasten van de materiele exploitatie (Londo) verwerkt. </t>
  </si>
  <si>
    <t>LB = 1,00</t>
  </si>
  <si>
    <t>Verhoudingstabel</t>
  </si>
  <si>
    <t>Werktijdfactor</t>
  </si>
  <si>
    <t>Functie</t>
  </si>
  <si>
    <t>Gem Pers Last</t>
  </si>
  <si>
    <t>Naam werknemer</t>
  </si>
  <si>
    <t>P. Werknemer</t>
  </si>
  <si>
    <t>regel</t>
  </si>
  <si>
    <t>norm maandsalaris</t>
  </si>
  <si>
    <t>wtf x maandsalaris</t>
  </si>
  <si>
    <t>Opslagpercentage werkgeverslasten</t>
  </si>
  <si>
    <t>De kosten van personeel aangesteld bij de Centrale Dienst worden in het vorige blad berekend en verwerkt.</t>
  </si>
  <si>
    <t xml:space="preserve">De kosten van personeelsleden - niet aangesteld bij de CD - moeten geraamd worden. Het betreft dan werknemers die in dienst zijn bij een </t>
  </si>
  <si>
    <t>al dan niet in het verband deelnemend bevoegd gezag of op een andere wijze ingeschakeld worden.</t>
  </si>
  <si>
    <t>Werkblad 'begr'</t>
  </si>
  <si>
    <t>In dit werkblad wordt de Staat van baten en lasten weergegeven. Vrijwel alle gegevens worden ontleend aan de hiervoor ingevulde</t>
  </si>
  <si>
    <t xml:space="preserve">Alleen de gegevens omtrent de financiele baten en lasten moeten nog worden opgegeven. </t>
  </si>
  <si>
    <t>De indeling van de Staat van baten en lasten volgt nauwgezet de betreffende voorschriften omtrent de jaarrekening.</t>
  </si>
  <si>
    <t>Veel balansposten zullen daarom niet of nauwelijks aan de orde zijn.</t>
  </si>
  <si>
    <t>Ook de Balans volgt de indeling conform de voorschriften voor de jaarrekening.</t>
  </si>
  <si>
    <t xml:space="preserve">De financien van een SWV vormen over het algemeen een overzichtelijk en eenvoudig geheel. </t>
  </si>
  <si>
    <t>Een dergelijke raming van kosten kan heel gedetailleerd (en tijdrovend) gebeuren, maar men kan ook een meer globale benadering kiezen.</t>
  </si>
  <si>
    <t>voor een functie geldt, in plaats van de leeftijdsafhankelijke vergoeding er bij te betrekken.</t>
  </si>
  <si>
    <t xml:space="preserve">Het is sterk af te raden om loonkosten bij het samenwerkingsverband te laten declareren. Een duidelijke afspraak van te voren over de te betalen </t>
  </si>
  <si>
    <t>kosten geeft beide partijen duidelijkheid en zekerheid.</t>
  </si>
  <si>
    <t>omtrent toekenning van middelen aan de basisscholen automatisch laten berekenen.</t>
  </si>
  <si>
    <t>Werkblad 'mip'</t>
  </si>
  <si>
    <t xml:space="preserve">worden gebracht. Hiervoor is het vereist dat alle investeringen vanaf 1 januari 2006 en de toekomstige investeringen (gedurende tenminste </t>
  </si>
  <si>
    <t>de komende vijf jaren) in kaart worden gebracht.</t>
  </si>
  <si>
    <t>Het werkblad geeft ook een overzicht van hetgeen is ingevuld als meerjareninvestering, de activa en de afschrijvingen.</t>
  </si>
  <si>
    <t>Werkblad 'bal'</t>
  </si>
  <si>
    <t>Werkblad 'toelichting'</t>
  </si>
  <si>
    <t xml:space="preserve">boven de 2%. Daarbij is de keuze van de peildatum van groot belang. Voor de MI is er de keuze om de overdracht ook te baseren </t>
  </si>
  <si>
    <t>op de peildatum in plaats van op de teldatum van 1 oktober. Het advies is om voor die peildatum te kiezen als grondslag voor de overdracht.</t>
  </si>
  <si>
    <t xml:space="preserve">In de situatie dat het aantal leerlingen van de SBO lager is dan de 2% van het SWV wordt de overdracht negatief zoals hiervoor </t>
  </si>
  <si>
    <t>bij Algemeen al is aangestipt.</t>
  </si>
  <si>
    <t xml:space="preserve">Geadviseerd wordt om kritisch te zijn ten aanzien van de omvang van de algemene reserve en slechts een omvang aan te houden die </t>
  </si>
  <si>
    <t>stevig onderbouwd kan worden.</t>
  </si>
  <si>
    <t>Administratienummer</t>
  </si>
  <si>
    <t>Grensverkeer</t>
  </si>
  <si>
    <t>Leerlingen sbo</t>
  </si>
  <si>
    <t>Zorgformatie</t>
  </si>
  <si>
    <t>SBO</t>
  </si>
  <si>
    <t>basisformatie</t>
  </si>
  <si>
    <t>zorgformatie</t>
  </si>
  <si>
    <t>formatie BOA (cumi)</t>
  </si>
  <si>
    <t>zorgbedrag</t>
  </si>
  <si>
    <t>totaal</t>
  </si>
  <si>
    <t>minus ll. inkomend grensverkeer</t>
  </si>
  <si>
    <t>over te dragen</t>
  </si>
  <si>
    <t>maximale bijdrage</t>
  </si>
  <si>
    <t>Algemeen</t>
  </si>
  <si>
    <t>Wellicht overbodig te zeggen dat het verstandig is een beveiligd exemplaar achter de hand te houden.</t>
  </si>
  <si>
    <t xml:space="preserve">tussen de centrale diensten van de samenwerkingsverbanden. Dat heeft het grote voordeel dat voor het grensverkeer geen </t>
  </si>
  <si>
    <t xml:space="preserve">samenwerkingsverband nu tot de overdrachtsverplichting in verband met het aantal leerlingen op de peildatum. Desgewenst </t>
  </si>
  <si>
    <t xml:space="preserve">Dat heeft de volgende consequenties: </t>
  </si>
  <si>
    <t>Analoog het uitgaande grensverkeer.</t>
  </si>
  <si>
    <t xml:space="preserve">en het totaal minus de leerlingen inkomend grensverkeer, plus de leerlingen uitgaand grensverkeer. Dit laatste percentage </t>
  </si>
  <si>
    <t>geeft het zuiverst het verwijzingspercentage van het verband weer.</t>
  </si>
  <si>
    <t xml:space="preserve">De afdruk van ieder werkblad in het programma is 'geregeld', maar de instellingen daarvan zijn door iemand met ervaring </t>
  </si>
  <si>
    <t>in Excel te veranderen.</t>
  </si>
  <si>
    <t xml:space="preserve">In dit werkblad kunnen de gegevens per basisschool worden opgegeven. De invoering van de feitelijke leerlingaantallen per 1 oktober </t>
  </si>
  <si>
    <t xml:space="preserve">De uitgaven aan basisscholen kunnen hier gespecificeerd worden. Iemand met ervaring in Excel kan een eigen regeling van het SWV  </t>
  </si>
  <si>
    <t>Bevat de toelichting zoals hiervoor is weergegeven.</t>
  </si>
  <si>
    <t xml:space="preserve">b. De bekostiging van het grensverkeer wordt in dit programma geregeld tussen de betreffende centrale diensten. Daarbij </t>
  </si>
  <si>
    <t xml:space="preserve">De overdracht van de MI vindt volgens de wet plaats op basis van de teldatum 1 okt. T-1. Het verband kan besluiten om de overdracht </t>
  </si>
  <si>
    <t xml:space="preserve">te laten plaats vinden op basis van de peildatum, zoals dat ook voor de formatie geldt. Hier kunt u opgeven of u de overdracht </t>
  </si>
  <si>
    <t xml:space="preserve">In het programma zelf is het mogelijk bij cellen met een rode punt in de rechterbovenhoek informatie te verkrijgen door de </t>
  </si>
  <si>
    <t>zorgformatie  bao</t>
  </si>
  <si>
    <t>extra zorgformatie voor SWV zonder sbao</t>
  </si>
  <si>
    <t>zorgformatie (naar centrale dienst) in fte</t>
  </si>
  <si>
    <t>zorgformatie (naar centrale dienst) de gpl bedragen</t>
  </si>
  <si>
    <t>OP (landelijk) sbao</t>
  </si>
  <si>
    <t>Prijzen per leerling</t>
  </si>
  <si>
    <t>Speciaal Basisonderwijs de gpl bedragen</t>
  </si>
  <si>
    <t>Directie</t>
  </si>
  <si>
    <t>OP (landelijk)</t>
  </si>
  <si>
    <t>OP  leeftijdsgecorrigeerd: voet</t>
  </si>
  <si>
    <t>OP  leeftijdsgecorrigeerd: bedrag * GGL</t>
  </si>
  <si>
    <t>Landelijke GGL =</t>
  </si>
  <si>
    <t>Lumpsumbedragen Centrale Dienst SWV</t>
  </si>
  <si>
    <t>Landelijke GPL is van toepassing</t>
  </si>
  <si>
    <t>Basisonderwijs de gpl bedragen</t>
  </si>
  <si>
    <t>schaal / regel</t>
  </si>
  <si>
    <t>regels</t>
  </si>
  <si>
    <t>DA</t>
  </si>
  <si>
    <t>DB</t>
  </si>
  <si>
    <t>DBuit</t>
  </si>
  <si>
    <t>DC</t>
  </si>
  <si>
    <t>DCuit</t>
  </si>
  <si>
    <t>DD</t>
  </si>
  <si>
    <t>DE</t>
  </si>
  <si>
    <t>AA</t>
  </si>
  <si>
    <t>AB</t>
  </si>
  <si>
    <t>AC</t>
  </si>
  <si>
    <t>AD</t>
  </si>
  <si>
    <t>AE</t>
  </si>
  <si>
    <t>LA</t>
  </si>
  <si>
    <t>LB</t>
  </si>
  <si>
    <t>LC</t>
  </si>
  <si>
    <t>LD</t>
  </si>
  <si>
    <t>LE</t>
  </si>
  <si>
    <t>LIOa</t>
  </si>
  <si>
    <t>LIOb</t>
  </si>
  <si>
    <t>schaal</t>
  </si>
  <si>
    <t>meerh sbo DB10</t>
  </si>
  <si>
    <t>meerh sbo DB11</t>
  </si>
  <si>
    <t>meerh sbo DCuit15</t>
  </si>
  <si>
    <t>Rijksbijdragen OCW</t>
  </si>
  <si>
    <t>Overige subsidies OCW</t>
  </si>
  <si>
    <t>Overige baten</t>
  </si>
  <si>
    <t>Afschrijvingen</t>
  </si>
  <si>
    <t>Huisvestingslasten</t>
  </si>
  <si>
    <t>Leermiddelen</t>
  </si>
  <si>
    <t>Financiële baten</t>
  </si>
  <si>
    <t>Financiële lasten</t>
  </si>
  <si>
    <t>MEERJARENBALANS</t>
  </si>
  <si>
    <t>Vaste activa</t>
  </si>
  <si>
    <t>Gebouwen en terreinen</t>
  </si>
  <si>
    <t>Inventaris en apparatuur</t>
  </si>
  <si>
    <t>Leermiddelen PO</t>
  </si>
  <si>
    <t>Overige materiële vaste activa</t>
  </si>
  <si>
    <t>Vlottende activa</t>
  </si>
  <si>
    <t>Zorgbedrag basisscholen</t>
  </si>
  <si>
    <t>Afspraken tussen SWV-en</t>
  </si>
  <si>
    <t>Lokaal onderwijsbeleid</t>
  </si>
  <si>
    <t>Het is mogelijk de beveiliging op te heffen zodat iemand met verstand van Excel de applicatie kan aanpassen.</t>
  </si>
  <si>
    <t xml:space="preserve">Voor zo'n globalere benadering kan men de raming voor kleine betrekkingen (bijvoorbeeld minder dan 0,25 fte) baseren op de GPL die </t>
  </si>
  <si>
    <t>Is gekozen voor een bepaalde omvang dan kan men hier snel berekenen wat de kosten op basis van de GPL van de functie LB wordt.</t>
  </si>
  <si>
    <t xml:space="preserve">Voor andere functies dan de functie LB vindt omrekening plaats m.b.v. een omrekentabel die gebaseerd is de verhoudingen van het </t>
  </si>
  <si>
    <t>Er is ook de mogelijkheid om de berekening gedetailleerd te maken waarbij de schaal en regelnummer precies wordt ingevoerd. Daarbij</t>
  </si>
  <si>
    <t>Het samenwerkingsverband hoeft er niet rijk van te worden, maar evenmin een schoolbestuur of andere werkgever.</t>
  </si>
  <si>
    <t>Het advies is om op een 'normale' wijze om te gaan met de vaststelling van deze kosten, namelijk door middel van overleg en onderhandeling.</t>
  </si>
  <si>
    <t xml:space="preserve">Op basis van de ingevoerde gegevens zijn de berekeningen uitgevoerd en kunnen bij de overige posten de verdere gegevens worden </t>
  </si>
  <si>
    <t>Reacties</t>
  </si>
  <si>
    <t xml:space="preserve">Voor reacties op dit programma houden we ons aanbevolen. </t>
  </si>
  <si>
    <t>Reacties graag naar:</t>
  </si>
  <si>
    <t>meerh bas DA11</t>
  </si>
  <si>
    <t>ID1</t>
  </si>
  <si>
    <t>ID2</t>
  </si>
  <si>
    <t>ID3</t>
  </si>
  <si>
    <t>SBO op basis van landelijke GPL (overdracht)</t>
  </si>
  <si>
    <t>Basisschool: rechtstreeks naar CD</t>
  </si>
  <si>
    <t>basis- plus zorgformatie</t>
  </si>
  <si>
    <t>Personele lasten</t>
  </si>
  <si>
    <t>Regeling impuls SMW PO in kader veiligheid en opvang risicoleerlingen</t>
  </si>
  <si>
    <t>schooljaar</t>
  </si>
  <si>
    <t>situatie per</t>
  </si>
  <si>
    <t xml:space="preserve">Persoonsgegevens </t>
  </si>
  <si>
    <t>sofinr.</t>
  </si>
  <si>
    <t>naam</t>
  </si>
  <si>
    <t>functie</t>
  </si>
  <si>
    <t>dienst</t>
  </si>
  <si>
    <t>geboorte</t>
  </si>
  <si>
    <t>trede</t>
  </si>
  <si>
    <t xml:space="preserve">salaris </t>
  </si>
  <si>
    <t>WTF</t>
  </si>
  <si>
    <t>bapo</t>
  </si>
  <si>
    <t>werkg. last</t>
  </si>
  <si>
    <t>loonkosten</t>
  </si>
  <si>
    <t>kosten</t>
  </si>
  <si>
    <t>diensttijd</t>
  </si>
  <si>
    <t xml:space="preserve">totaal </t>
  </si>
  <si>
    <t xml:space="preserve">jaren </t>
  </si>
  <si>
    <t>datum</t>
  </si>
  <si>
    <t>(maand)</t>
  </si>
  <si>
    <t>oop</t>
  </si>
  <si>
    <t>gecorr.</t>
  </si>
  <si>
    <t>werkgeverslasten</t>
  </si>
  <si>
    <t>werkgeverslaten bij opname bapo</t>
  </si>
  <si>
    <t>Zorggeld (kalenderjaar T)</t>
  </si>
  <si>
    <t xml:space="preserve">vs </t>
  </si>
  <si>
    <t>Gezamenlijk formatiebudget in geld basisscholen</t>
  </si>
  <si>
    <t>Inkomend grensverkeer, verrekening tussen CD's</t>
  </si>
  <si>
    <t>Uitgaand grensverkeer, verrekening tussen CD's</t>
  </si>
  <si>
    <t>Overdracht voor PCL</t>
  </si>
  <si>
    <t>Overdracht voor Coördinatie SWV</t>
  </si>
  <si>
    <t>Extra bijdrage SWV aan sbo</t>
  </si>
  <si>
    <t>Toegekend aan basisscholen</t>
  </si>
  <si>
    <t>kalenderjaar</t>
  </si>
  <si>
    <t>activagroep</t>
  </si>
  <si>
    <t>omschrijving</t>
  </si>
  <si>
    <t>aantal /</t>
  </si>
  <si>
    <t>aanschafprijs</t>
  </si>
  <si>
    <t>jaar van</t>
  </si>
  <si>
    <t>afschrijvings-</t>
  </si>
  <si>
    <t>beslisregel</t>
  </si>
  <si>
    <t>aanschaf-</t>
  </si>
  <si>
    <t>afschrijving</t>
  </si>
  <si>
    <t>laatste</t>
  </si>
  <si>
    <t>waarde per 01/01</t>
  </si>
  <si>
    <t>eenheden</t>
  </si>
  <si>
    <t>(per eenheid)</t>
  </si>
  <si>
    <t>aanschaf</t>
  </si>
  <si>
    <t>termijn</t>
  </si>
  <si>
    <t>waarde</t>
  </si>
  <si>
    <t>per jaar</t>
  </si>
  <si>
    <t>investering</t>
  </si>
  <si>
    <t>(investeringen vanaf 1 januari 2006)</t>
  </si>
  <si>
    <t>Waarde activa per 01-01</t>
  </si>
  <si>
    <t>Investeringen</t>
  </si>
  <si>
    <t>Waarde activa per 31-12</t>
  </si>
  <si>
    <t>basisbedrag</t>
  </si>
  <si>
    <t>maximale bijdrage zorg</t>
  </si>
  <si>
    <t>Overdracht ivm leerlingen SBO</t>
  </si>
  <si>
    <t>Personeelsbeleid</t>
  </si>
  <si>
    <t xml:space="preserve">in verband met het aantal leerlingen op de peildatum in vergelijking met de 2% van het samenwerkingsverband. </t>
  </si>
  <si>
    <t xml:space="preserve">c. Het feitelijk aantal leerlingen op de peildatum kan lager zijn dan de 2% op basis waarvan het Rijk de bekostiging heeft verricht aan </t>
  </si>
  <si>
    <t xml:space="preserve">de SBO. In dat geval wordt een negatieve overdrachtsverplichting berekend wat inhoudt dat de SBO in principe zorgmiddelen terug </t>
  </si>
  <si>
    <t xml:space="preserve">moet storten aan het samenwerkingsverband. Het ligt uiteraard in de rede dat daarover overleg plaatsvindt, maar geeft in principe </t>
  </si>
  <si>
    <t xml:space="preserve">goed weer wat het uitgangspunt dient te zijn voor de besteding van de zorgmiddelen die onder de verantwoordelijkheid van het </t>
  </si>
  <si>
    <t>samenwerkingsverband vallen.</t>
  </si>
  <si>
    <t xml:space="preserve">Voor het berekenen van de baten van de meerjarenbegroting kan volstaan worden met de invulling van dit werkblad. </t>
  </si>
  <si>
    <t>van het samenwerkingsverband.</t>
  </si>
  <si>
    <t xml:space="preserve">Na invoering van persoonsgegevens, salarisgegevens en de werktijdfactor worden de totale loonkosten berekend. Daarbij wordt uitgegaan van </t>
  </si>
  <si>
    <t xml:space="preserve">personeelslid wordt aangenomen de gegevens in het eerste jaar al moeten worden ingevuld, zij het dan met werktijdfactor 0. In de </t>
  </si>
  <si>
    <t>latere jaren kan deze WTF dan overschreven worden en op de juiste omvang worden vastgesteld.</t>
  </si>
  <si>
    <t xml:space="preserve">maximumsalaris van elke schaal (conform het FPE-model). </t>
  </si>
  <si>
    <t xml:space="preserve">worden ook de geraamde werkgeverslasten zichtbaar gemaakt. Buiten beeld blijven dan nog de eventuele 'overhead'-kosten van </t>
  </si>
  <si>
    <t>incidentele of specifieke aard en kosten die verband houden met huisvesting, administratie, personeelsbeleid e.d.</t>
  </si>
  <si>
    <t>Het geeft ook het zorgbedrag dat per school wordt berekend en toegekend wordt aan het samenwerkingsverband per kalenderjaar.</t>
  </si>
  <si>
    <t>Werkblad 'tab'</t>
  </si>
  <si>
    <t xml:space="preserve">Bedrag per schoolgewicht teldatum 1 okt. </t>
  </si>
  <si>
    <t xml:space="preserve">Dit instrument levert de meerjarenbegroting voor het samenwerkingsverband. De indeling volgt daarbij de voorgeschreven indeling van de </t>
  </si>
  <si>
    <t>BASISGEGEVENS</t>
  </si>
  <si>
    <t>2012/13</t>
  </si>
  <si>
    <t>teldatum</t>
  </si>
  <si>
    <t>Naam SBO 1</t>
  </si>
  <si>
    <t>Naam SBO 2</t>
  </si>
  <si>
    <t>Naam SBO 3</t>
  </si>
  <si>
    <t>Naam SBO 4</t>
  </si>
  <si>
    <t>Financiële baten en lasten</t>
  </si>
  <si>
    <t>Activa</t>
  </si>
  <si>
    <t>Financiële kengetallen</t>
  </si>
  <si>
    <t>Solvabiliteit 1</t>
  </si>
  <si>
    <t>Liquiditeit</t>
  </si>
  <si>
    <t>Uitgaven (te bekostigen aan ander SWV)</t>
  </si>
  <si>
    <t>Grensverkeerlln. na 1 oktober T-1</t>
  </si>
  <si>
    <t>Grensverkeerlln. voor of op 1 oktober T-1</t>
  </si>
  <si>
    <t>Grensverkeerlln. na 1 oktober T-1 bij SBO in ander SWV.</t>
  </si>
  <si>
    <t>Grensverkeerlln. voor of op 1 oktober T-1 bij SBO in ander SWV</t>
  </si>
  <si>
    <t>minus ll. Inkomend, plus ll. uitgaand grensverkeer</t>
  </si>
  <si>
    <t>ACTIVAOVERZICHT</t>
  </si>
  <si>
    <t>totaal afschrijvingen</t>
  </si>
  <si>
    <t>EFJ te gebruiken om deze verantwoording te leveren. Vereist is dat de financiele jaarrekening digitaal wordt aangeleverd.</t>
  </si>
  <si>
    <t xml:space="preserve">In dit werkblad kunnen de personele lasten worden opgevoerd van het personeel (formatie) dat rechtstreeks is aangesteld bij de Centrale Dienst </t>
  </si>
  <si>
    <t>Werkblad 'act'</t>
  </si>
  <si>
    <t xml:space="preserve">In dit werkblad worden de gegevens in verband met de activa verwerkt. Na opgave van de beginstand van de activa worden de </t>
  </si>
  <si>
    <t>gegevens uit het meerjareninvesteringsplan (werkblad 'mip') automatisch verwerkt, evenals de afschrijvingsbedragen.</t>
  </si>
  <si>
    <t>Is er sprake van een eerste waardering per 1 januari 2006 dan dienen de afschrijvingsgegevens daarvan apart te worden opgenomen.</t>
  </si>
  <si>
    <t>Daarmee is het complete zicht op de activa gerealiseerd.</t>
  </si>
  <si>
    <t xml:space="preserve"> werkbladen zodat nog slechts enkele gegevens nodig zijn. De gegevens zijn - waar het de formatieve middelen betreft - omgerekend </t>
  </si>
  <si>
    <t xml:space="preserve">van schooljaar naar kalenderjaar door middel van de 5/12e en 7/12e techniek. </t>
  </si>
  <si>
    <t xml:space="preserve">Aantal leerlingen basisscholen </t>
  </si>
  <si>
    <t xml:space="preserve">Totaal </t>
  </si>
  <si>
    <t>2% leerlingen SWV op 1 oktober t-1</t>
  </si>
  <si>
    <t>Waarvan op SBO</t>
  </si>
  <si>
    <t xml:space="preserve">Aantal leerlingen per SBO op  teldatum </t>
  </si>
  <si>
    <t>Aantal leerlingen per SBO op  peildatum</t>
  </si>
  <si>
    <t>2013/14</t>
  </si>
  <si>
    <t>Formatietoekenning</t>
  </si>
  <si>
    <t>Salaristabel</t>
  </si>
  <si>
    <t>meerh sbo DC13</t>
  </si>
  <si>
    <t>basisformatie (vast)</t>
  </si>
  <si>
    <t>zorgformatie (vast)</t>
  </si>
  <si>
    <t>formatie BOA / cumi (vast)</t>
  </si>
  <si>
    <t>basisformatie (variabel)</t>
  </si>
  <si>
    <t>zorgformatie (variabel)</t>
  </si>
  <si>
    <t>formatie BOA / cumi (variabel)</t>
  </si>
  <si>
    <t>STAAT VAN BATEN EN LASTEN</t>
  </si>
  <si>
    <t>Overige overheidsbijdragen en -subsidies</t>
  </si>
  <si>
    <t xml:space="preserve">Overige baten </t>
  </si>
  <si>
    <t>baten werk in opdracht derden</t>
  </si>
  <si>
    <t xml:space="preserve">afspraken tussen SWV- en </t>
  </si>
  <si>
    <t xml:space="preserve">Totaal baten personeel </t>
  </si>
  <si>
    <t>OVERDRACHTSVERPLICHTING AAN SBO</t>
  </si>
  <si>
    <t xml:space="preserve">Overige personele lasten </t>
  </si>
  <si>
    <t xml:space="preserve">MATERIEEL </t>
  </si>
  <si>
    <t>PERSONEEL</t>
  </si>
  <si>
    <t>Activiteiten</t>
  </si>
  <si>
    <t>dotatie voorziening jubilea</t>
  </si>
  <si>
    <t>Totaal lasten personeel</t>
  </si>
  <si>
    <t xml:space="preserve">Saldo personeel </t>
  </si>
  <si>
    <t>lokaal onderwijsbeleid</t>
  </si>
  <si>
    <t>Overige lasten</t>
  </si>
  <si>
    <t>Totaal lasten materieel</t>
  </si>
  <si>
    <t>Saldo materieel</t>
  </si>
  <si>
    <t>Totaal baten materieel</t>
  </si>
  <si>
    <t>Overdrachtsverplichting personeel</t>
  </si>
  <si>
    <t xml:space="preserve">Overdrachtsverplichting materieel </t>
  </si>
  <si>
    <t>College-, cursus-, les- en examengelden</t>
  </si>
  <si>
    <t>Baten werk in opdracht van derden</t>
  </si>
  <si>
    <t>Lasten</t>
  </si>
  <si>
    <t xml:space="preserve">Overige lasten </t>
  </si>
  <si>
    <t>Saldo baten en lasten</t>
  </si>
  <si>
    <t>Saldo fianciële baten en lasten</t>
  </si>
  <si>
    <t>Resultaat</t>
  </si>
  <si>
    <t>omrekening naar kalenderjaar</t>
  </si>
  <si>
    <t xml:space="preserve">Rijksbijdragen  </t>
  </si>
  <si>
    <t>Lasten personeel</t>
  </si>
  <si>
    <t>Personeelslasten</t>
  </si>
  <si>
    <t>Leerlingprognose  op peildatum</t>
  </si>
  <si>
    <t>Leerlingprognose op teldatum</t>
  </si>
  <si>
    <t xml:space="preserve">MEERJARENINVESTERINGSPLAN </t>
  </si>
  <si>
    <t>Inkomsten (te bekostigen door ander swv)</t>
  </si>
  <si>
    <t>Deelnamepercentages 1 oktober T-1</t>
  </si>
  <si>
    <t>Weerstandsvermogen (EV / totale lasten)</t>
  </si>
  <si>
    <t>Kredietinstellingen</t>
  </si>
  <si>
    <t>Overige langlopende schulden</t>
  </si>
  <si>
    <t>Crediteuren</t>
  </si>
  <si>
    <t>Ministerie van OCW</t>
  </si>
  <si>
    <t>Belastingen en premies sociale verzekeringen</t>
  </si>
  <si>
    <t>Schulden terzake pensioenen</t>
  </si>
  <si>
    <t>Overige kortlopende schulden</t>
  </si>
  <si>
    <t>Overlopende passiva</t>
  </si>
  <si>
    <t>KASSTROOMOVERZICHT</t>
  </si>
  <si>
    <t>Beginsaldo liquide middelen</t>
  </si>
  <si>
    <t>Kasstroom uit operationele activiteiten</t>
  </si>
  <si>
    <t>Mutaties werkkapitaal</t>
  </si>
  <si>
    <t>voorraden</t>
  </si>
  <si>
    <t>vorderingen</t>
  </si>
  <si>
    <t>effecten</t>
  </si>
  <si>
    <t>kortlopende schulden</t>
  </si>
  <si>
    <t>Mutaties voorzieningen</t>
  </si>
  <si>
    <t>Kasstroom uit investeringsactiviteiten</t>
  </si>
  <si>
    <t>Kasstroom uit financieringsactiviteiten</t>
  </si>
  <si>
    <t>Mutatie Liquide middelen</t>
  </si>
  <si>
    <t>mutatie Liquide middelen (balans)</t>
  </si>
  <si>
    <t>Eindsaldo liquide middelen</t>
  </si>
  <si>
    <t>liquiditeit (vlottende activa / kortlopende schulden)</t>
  </si>
  <si>
    <t>Overdracht MI aan sbo o.b.v. peildatum</t>
  </si>
  <si>
    <t>Grootboeknr.</t>
  </si>
  <si>
    <t>Passiva</t>
  </si>
  <si>
    <t>Activa totaal</t>
  </si>
  <si>
    <t>Algemene reserve</t>
  </si>
  <si>
    <t>Bestemmingsreserve 1</t>
  </si>
  <si>
    <t>Bestemmingsreserve 2</t>
  </si>
  <si>
    <t>Bestemmingsreserve 3</t>
  </si>
  <si>
    <t>Passiva totaal</t>
  </si>
  <si>
    <t>eigen bijdrage bapo (dir, op en oop &gt;8)</t>
  </si>
  <si>
    <t>eigen bijdrage bapo (oop&lt;=8))</t>
  </si>
  <si>
    <t>Zorgzaam</t>
  </si>
  <si>
    <t>12AZ</t>
  </si>
  <si>
    <t>Normatieve Rijksbijdrage OCW</t>
  </si>
  <si>
    <t>Zo nee: de GGL van de SBO op 1 oktober t-1</t>
  </si>
  <si>
    <t>ja</t>
  </si>
  <si>
    <t>basisformatie (fte)</t>
  </si>
  <si>
    <t>zorgformatie (fte)</t>
  </si>
  <si>
    <t>formatie BOA (cumi) (fte)</t>
  </si>
  <si>
    <t>basis- plus zorgformatie (fte)</t>
  </si>
  <si>
    <t xml:space="preserve">met de staat van baten en lasten en de balans zoals die in het betreffende jaar gerealiseerd wordt voldaan worden aan de vereiste </t>
  </si>
  <si>
    <t xml:space="preserve">jaarrekening m.b.t. de staat van baten en lasten en de balans. Door ook de (afzonderlijke) boekhouding conform deze indeling te volgen kan tevens </t>
  </si>
  <si>
    <t>Werkblad 'geg'</t>
  </si>
  <si>
    <t xml:space="preserve">van de groepsafhankelijke bekostiging die echter afhankelijk is van de berekening van het aantal groepen op basis van de teldatum resp. </t>
  </si>
  <si>
    <t xml:space="preserve">peildatum. De toerekening van het aantal groepen is echter ook weer afhankelijk van de deelname van de SBO in één of meer verbanden. </t>
  </si>
  <si>
    <t>HULPBLAD: KOSTEN VAN EEN FUNCTIE</t>
  </si>
  <si>
    <t>Regeling Impuls Schoolmaatschappelijk werk</t>
  </si>
  <si>
    <t xml:space="preserve">Personeel Centrale Dienst </t>
  </si>
  <si>
    <t xml:space="preserve">Globale (= normale) benadering </t>
  </si>
  <si>
    <t>Leeftijd 1 okt. T-1</t>
  </si>
  <si>
    <t xml:space="preserve">Salarisgegevens per 1 augustus (na toekenning reguliere periodieke verhoging) </t>
  </si>
  <si>
    <t>basisbedrag sbo (kalenderjaar T)</t>
  </si>
  <si>
    <t>zorgbedrag sbo (kalenderjaar T)</t>
  </si>
  <si>
    <t>In dit instrument zijn enkele belangrijke vereenvoudigingen doorgevoerd. Het beperkt zich tot alleen de begroting</t>
  </si>
  <si>
    <t>Opzet van dit instrument</t>
  </si>
  <si>
    <t>2014/15</t>
  </si>
  <si>
    <t>Voorziening Jubilea</t>
  </si>
  <si>
    <t>Rentabiliteit</t>
  </si>
  <si>
    <t xml:space="preserve">De kalenderjaarweergave van baten en lasten is ook omgerekend naar een schooljaarweergave. </t>
  </si>
  <si>
    <t xml:space="preserve">Tegelijkertijd is de begroting ook omgerekend naar schooljaar als periode door middel van de omrekening van de materiele </t>
  </si>
  <si>
    <t>middelen met 7/12e en 5/12e.</t>
  </si>
  <si>
    <t xml:space="preserve">Werkblad 'loonkosten CD' </t>
  </si>
  <si>
    <r>
      <t xml:space="preserve">Afschrijvingen (vanuit </t>
    </r>
    <r>
      <rPr>
        <b/>
        <u/>
        <sz val="10"/>
        <rFont val="Calibri"/>
        <family val="2"/>
      </rPr>
      <t>eerste waardering</t>
    </r>
    <r>
      <rPr>
        <b/>
        <sz val="10"/>
        <rFont val="Calibri"/>
        <family val="2"/>
      </rPr>
      <t>)</t>
    </r>
  </si>
  <si>
    <r>
      <t>Som schoolgewichten in SWV per 1 oktober</t>
    </r>
    <r>
      <rPr>
        <b/>
        <sz val="10"/>
        <rFont val="Calibri"/>
        <family val="2"/>
      </rPr>
      <t xml:space="preserve"> </t>
    </r>
  </si>
  <si>
    <t>2015/16</t>
  </si>
  <si>
    <t>teldatum leerlingen (t-1) per 1 oktober</t>
  </si>
  <si>
    <t xml:space="preserve">Totale loonkosten (incl. werkg. lasten) </t>
  </si>
  <si>
    <t xml:space="preserve">Baten  </t>
  </si>
  <si>
    <t>Baten</t>
  </si>
  <si>
    <t>Voorziening Groot Onderhoud</t>
  </si>
  <si>
    <t>Investeringen materiële vaste activa</t>
  </si>
  <si>
    <t>Investeringen immateriële vaste activa</t>
  </si>
  <si>
    <t>Investeringen financiële vaste activa</t>
  </si>
  <si>
    <t xml:space="preserve">Berekening kosten (afgerond) op basis van GPL als werktijdfactor kleiner is dan </t>
  </si>
  <si>
    <t>signalering</t>
  </si>
  <si>
    <t>&gt; 20%</t>
  </si>
  <si>
    <t>0,5 tot 1,5</t>
  </si>
  <si>
    <t>0% - 5%</t>
  </si>
  <si>
    <t>muiscursor op die cel te plaatsen. De programma's zijn beveiligd zodat invoer alleen mogelijk is op de witte velden.</t>
  </si>
  <si>
    <t>Daarbij zijn de gele velden voorzien van een formule die niet overschreven kan worden.</t>
  </si>
  <si>
    <t>Alleen in het werkblad tab zijn het daarentegen de gele cellen die toegankelijk zijn en niet de witte.</t>
  </si>
  <si>
    <t>worden alle inkomende resp. uitgaande grensverkeerleerlingen per categorie gesommeerd.</t>
  </si>
  <si>
    <t>De informatie van de SBO is voor iedereen beschikbaar via de website van Cfi onder instellingsinformatie.</t>
  </si>
  <si>
    <t>Die kan in veel gevallen geleverd worden door de SBO zelf.</t>
  </si>
  <si>
    <t xml:space="preserve">Een SBO die in meerdere verbanden functioneert, moet eerst naar rato verdeeld worden. </t>
  </si>
  <si>
    <t xml:space="preserve">De opgegeven leerlingen betreffen alleen de leerlingen van een SBO - die in meerdere verbanden functioneert - voor dat aantal (naar rato) </t>
  </si>
  <si>
    <t xml:space="preserve">de leerlingen die in het eerste jaar na 1 oktober op de SBO zijn ingeschreven, afzonderlijk opgegeven worden in verband met </t>
  </si>
  <si>
    <t>aantal leerlingen op de SBO, het totaal aantal minus de leerlingen die als grensverkeerleerling afkomstig zijn uit een ander verband,</t>
  </si>
  <si>
    <t>Overdracht MI aan SBO o.b.v. peildatum:</t>
  </si>
  <si>
    <t xml:space="preserve">Werkblad 'overdracht aan SBO' </t>
  </si>
  <si>
    <t>van het samenwerkingsverband als zodanig. Daardoor blijft de bekostiging van de SBO als zodanig buiten beeld.</t>
  </si>
  <si>
    <t>De inkomsten en uitgaven van de SBO('s) worden bijvoorbeeld alleen berekend voorzover het gaat om de overdrachtsverplichting</t>
  </si>
  <si>
    <t>a. De overdrachtsverplichting aan de SBO in verband met het inkomende grensverkeer wordt anders verwerkt.</t>
  </si>
  <si>
    <t xml:space="preserve">In plaats van de overdrachtsverplichting van dit grensverkeer direct aan de SBO te bekostigen, wordt dit verrekend </t>
  </si>
  <si>
    <t xml:space="preserve">complexe berekening in verband met de overdracht aan de SBO meer nodig is. Uiteraard blijft het wel strikt noodzakelijk om </t>
  </si>
  <si>
    <t xml:space="preserve">het inkomend en uitgaand grensverkeer nauwkeurig te administreren. De bekostiging van de SBO beperkt zich voor het </t>
  </si>
  <si>
    <t>kan men nog nadere afspraken maken omtrent het grensverkeer dat na de peildatum nog op de SBO wordt ingeschreven.</t>
  </si>
  <si>
    <t xml:space="preserve">Een goed inzicht in de prognose van de leerlingen en in de meerjarenbegroting van de SBO blijft nodig. </t>
  </si>
  <si>
    <t xml:space="preserve">De dotaties en kosten Jubilea lopen via de betreffende voorziening van de balans. </t>
  </si>
  <si>
    <t xml:space="preserve">Ook daarom is de bijdrage van de groepsafhankelijke bekostiging omgerekend in een gemiddeld bedrag per leerling en die uitkomst wordt </t>
  </si>
  <si>
    <t>ingevoerd. De invoer is mogelijk op de witte velden.</t>
  </si>
  <si>
    <t xml:space="preserve">In dit werkblad MeerjarenInvesteringsPlan worden de afschrijvingen bepaald die ten laste van de (materiële) exploitatie van het SWV </t>
  </si>
  <si>
    <t>In dit werkblad wordt het kasstroomoverzicht bijgehouden. Het geeft de informatie omtrent de ontwikkeling van de liquiditeit door de jaren heen.</t>
  </si>
  <si>
    <t>Daarnaast is het nodig om een liquiditeitenplanning te maken van maand tot maand zodat duidelijk is dat er altijd voldoende geld in kas is.</t>
  </si>
  <si>
    <t>Werkblad 'liq'</t>
  </si>
  <si>
    <t>r.goedhart@poraad.nl</t>
  </si>
  <si>
    <t>www. poraad.nl</t>
  </si>
  <si>
    <t>Of berekening kosten op basis van leeftijdsafhankelijke berekening</t>
  </si>
  <si>
    <t xml:space="preserve">Baten en lasten </t>
  </si>
  <si>
    <t>2016/17</t>
  </si>
  <si>
    <t>Aantal leerlingen PO (bas en SBO)  op 1 oktober T-1</t>
  </si>
  <si>
    <t>Salarisgegevens</t>
  </si>
  <si>
    <t xml:space="preserve">bruto </t>
  </si>
  <si>
    <t>salaris</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</si>
  <si>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</si>
  <si>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</si>
  <si>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</si>
  <si>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</si>
  <si>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</si>
  <si>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</si>
  <si>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</si>
  <si>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</si>
  <si>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</si>
  <si>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Overige voorzieningen</t>
  </si>
  <si>
    <t>2.3 Langlopende schulden</t>
  </si>
  <si>
    <t>2.4 Kortlopende schulden</t>
  </si>
  <si>
    <t>LOONKOSTEN PERSONEEL CD</t>
  </si>
  <si>
    <t xml:space="preserve">verantwoording. Uiteraard voorzien van een accountantsverklaring. Maar op die wijze is het niet nodig het complexe programma </t>
  </si>
  <si>
    <t>jubilea</t>
  </si>
  <si>
    <t>euro's</t>
  </si>
  <si>
    <t xml:space="preserve">In de tabellen zijn de gegevens opgenomen die betrekking hebben op de onderliggende normeringen voor de bekostiging. </t>
  </si>
  <si>
    <t>Drempel voor toekenning</t>
  </si>
  <si>
    <t>SPECIFICATIE GEGEVENS BASISSCHOLEN</t>
  </si>
  <si>
    <t>(Dit is een informatiewerkblad; dit blad hoeft dus niet ingevuld te worden)</t>
  </si>
  <si>
    <t xml:space="preserve">naam </t>
  </si>
  <si>
    <t>brinnr.</t>
  </si>
  <si>
    <t xml:space="preserve">Aantal leerlingen </t>
  </si>
  <si>
    <t>Inkomsten personeel</t>
  </si>
  <si>
    <t>Uitgaven personeel</t>
  </si>
  <si>
    <t>Inkomsten materieel</t>
  </si>
  <si>
    <t>Uitgaven materieel</t>
  </si>
  <si>
    <t xml:space="preserve">per 1 oktober T-1 </t>
  </si>
  <si>
    <t>BASISSCHOLEN</t>
  </si>
  <si>
    <t>SCHOLEN VOOR SBO</t>
  </si>
  <si>
    <t>subtotaal</t>
  </si>
  <si>
    <t>Totaal aantal leerlingen SWV</t>
  </si>
  <si>
    <t>Te verdelen budget:</t>
  </si>
  <si>
    <t>school 1</t>
  </si>
  <si>
    <t>11AA</t>
  </si>
  <si>
    <t>school 2</t>
  </si>
  <si>
    <t>school 3</t>
  </si>
  <si>
    <t>school 4</t>
  </si>
  <si>
    <t>school 5</t>
  </si>
  <si>
    <t>school 6</t>
  </si>
  <si>
    <t>school 7</t>
  </si>
  <si>
    <t>school 8</t>
  </si>
  <si>
    <t>school 9</t>
  </si>
  <si>
    <t>school 10</t>
  </si>
  <si>
    <t>school 11</t>
  </si>
  <si>
    <t>school 12</t>
  </si>
  <si>
    <t>school 13</t>
  </si>
  <si>
    <t>school 14</t>
  </si>
  <si>
    <t>school 15</t>
  </si>
  <si>
    <t>school 16</t>
  </si>
  <si>
    <t>school 17</t>
  </si>
  <si>
    <t>school 18</t>
  </si>
  <si>
    <t>school 19</t>
  </si>
  <si>
    <t>school 20</t>
  </si>
  <si>
    <t>school 21</t>
  </si>
  <si>
    <t>school 22</t>
  </si>
  <si>
    <t>school 23</t>
  </si>
  <si>
    <t>school 24</t>
  </si>
  <si>
    <t>school 25</t>
  </si>
  <si>
    <t>school 26</t>
  </si>
  <si>
    <t>school 27</t>
  </si>
  <si>
    <t>school 28</t>
  </si>
  <si>
    <t>school 29</t>
  </si>
  <si>
    <t>school 30</t>
  </si>
  <si>
    <t>school 31</t>
  </si>
  <si>
    <t>school 32</t>
  </si>
  <si>
    <t>school 33</t>
  </si>
  <si>
    <t>school 34</t>
  </si>
  <si>
    <t>school 35</t>
  </si>
  <si>
    <t>school 36</t>
  </si>
  <si>
    <t>school 37</t>
  </si>
  <si>
    <t>school 38</t>
  </si>
  <si>
    <t>school 39</t>
  </si>
  <si>
    <t>school 40</t>
  </si>
  <si>
    <t>31 juli</t>
  </si>
  <si>
    <t>Naam SWV WSNS</t>
  </si>
  <si>
    <t xml:space="preserve">In de werkbladen kunnen de witte cellen binnen de grijze omlijsting ingevuld worden. </t>
  </si>
  <si>
    <t xml:space="preserve">Er is nu ook het werkblad 'bas' waarin de afzonderlijke basisscholen kunnen worden gespecificeerd naar o.a. leerlingaantallen. </t>
  </si>
  <si>
    <t>Dat is nodig voor het nieuwe werkblad Verdeling Saldo van het SWV.</t>
  </si>
  <si>
    <t xml:space="preserve">Het instrument SWV WSNS is ingrijpend bijgesteld als gevolg van de komende invoering van passend onderwijs. Daardoor wordt bij wet het verband opgeheven </t>
  </si>
  <si>
    <t>waarin de verdeling van het batig saldo wordt berekend.</t>
  </si>
  <si>
    <t xml:space="preserve">dat tot dit verband moet worden gerekend. </t>
  </si>
  <si>
    <t>Het advies is de peildatum op 1 februari te stellen als er sprake is van een redelijk stabiele ontwikkeling. Dat is overwegend het geval.</t>
  </si>
  <si>
    <t>Op grond van de opgegeven diensttijd wordt ook de omvang van de jubileumuitkering berekend.</t>
  </si>
  <si>
    <t xml:space="preserve">Daartoe moet de werktijdfactor van de BAPO worden ingevuld in de betreffende kolom. </t>
  </si>
  <si>
    <t xml:space="preserve">Werkblad 'bas' </t>
  </si>
  <si>
    <t>geeft de berekening van het lumpsumbedrag dat - per school berekend - naar het samenwerkingsverband gaat.</t>
  </si>
  <si>
    <t>Werkblad 'verdeling batig saldo'</t>
  </si>
  <si>
    <t xml:space="preserve">In dit nieuwe werkblad wordt berekend hoe het batig saldo verdeeld wordt. Conform (vrijwel) alle reglementen dient dit te gebeuren naar rato van het </t>
  </si>
  <si>
    <t xml:space="preserve">aantal leerlingen. Dat betreft dan de leerlingen van de basisscholen en de SBO's. </t>
  </si>
  <si>
    <t xml:space="preserve">Op basis van deze gegevens wordt de toedeling van het batig saldo per school berekend waarna een bestuur recht heeft op het batig saldo van </t>
  </si>
  <si>
    <t>de betreffende scholen.</t>
  </si>
  <si>
    <t>naar rato aantal lln</t>
  </si>
  <si>
    <t>Verdeling  saldo SWV</t>
  </si>
  <si>
    <t>VERDELING SALDO</t>
  </si>
  <si>
    <t>Werkblad 'hulpblad kosten functies'</t>
  </si>
  <si>
    <t xml:space="preserve">vermogen ook andere dan financiële activa voor kunnen komen, met name materiële vaste activa (bijv. meubilair en inventaris), </t>
  </si>
  <si>
    <t xml:space="preserve">die een balansomvang kunnen hebben die bij verkoop van deze materiële vaste activa lager uitvallen. De boekwaarde kan dus hoger zijn dan de </t>
  </si>
  <si>
    <r>
      <t xml:space="preserve">Het </t>
    </r>
    <r>
      <rPr>
        <b/>
        <sz val="10"/>
        <color indexed="10"/>
        <rFont val="Calibri"/>
        <family val="2"/>
        <scheme val="minor"/>
      </rPr>
      <t>wachtwoord</t>
    </r>
    <r>
      <rPr>
        <sz val="10"/>
        <rFont val="Calibri"/>
        <family val="2"/>
        <scheme val="minor"/>
      </rPr>
      <t xml:space="preserve"> dat voor elk werkblad van toepassing is, luidt:  </t>
    </r>
    <r>
      <rPr>
        <b/>
        <sz val="10"/>
        <rFont val="Calibri"/>
        <family val="2"/>
        <scheme val="minor"/>
      </rPr>
      <t xml:space="preserve"> poraad</t>
    </r>
  </si>
  <si>
    <r>
      <t xml:space="preserve">Dan is het wel een essentiele voorwaarde dat de gegevens ingevuld worden die </t>
    </r>
    <r>
      <rPr>
        <b/>
        <sz val="10"/>
        <rFont val="Calibri"/>
        <family val="2"/>
        <scheme val="minor"/>
      </rPr>
      <t>alleen</t>
    </r>
    <r>
      <rPr>
        <sz val="10"/>
        <rFont val="Calibri"/>
        <family val="2"/>
        <scheme val="minor"/>
      </rPr>
      <t xml:space="preserve"> voor dit verband van toepassing zijn.</t>
    </r>
  </si>
  <si>
    <r>
      <t>Aantal leerlingen basisschool:</t>
    </r>
    <r>
      <rPr>
        <sz val="10"/>
        <rFont val="Calibri"/>
        <family val="2"/>
        <scheme val="minor"/>
      </rPr>
      <t xml:space="preserve"> Het feitelijk aantal leerlingen op 1 oktober T-1. </t>
    </r>
  </si>
  <si>
    <r>
      <t xml:space="preserve">Aantal leerlingen SBO: </t>
    </r>
    <r>
      <rPr>
        <sz val="10"/>
        <rFont val="Calibri"/>
        <family val="2"/>
        <scheme val="minor"/>
      </rPr>
      <t>Er is ruimte voor 4 SBO's.</t>
    </r>
  </si>
  <si>
    <r>
      <t>Grensverkeer:</t>
    </r>
    <r>
      <rPr>
        <sz val="10"/>
        <rFont val="Calibri"/>
        <family val="2"/>
        <scheme val="minor"/>
      </rPr>
      <t xml:space="preserve"> Opgave van alle leerlingen die in het verband als grensverkeerleerling op de SBO zijn ingeschreven. Daarbij moeten </t>
    </r>
  </si>
  <si>
    <r>
      <t xml:space="preserve">het hogere tarief (middelen voor basis- </t>
    </r>
    <r>
      <rPr>
        <u/>
        <sz val="10"/>
        <rFont val="Calibri"/>
        <family val="2"/>
        <scheme val="minor"/>
      </rPr>
      <t>en</t>
    </r>
    <r>
      <rPr>
        <sz val="10"/>
        <rFont val="Calibri"/>
        <family val="2"/>
        <scheme val="minor"/>
      </rPr>
      <t xml:space="preserve"> zorgformatie resp. basis- </t>
    </r>
    <r>
      <rPr>
        <u/>
        <sz val="10"/>
        <rFont val="Calibri"/>
        <family val="2"/>
        <scheme val="minor"/>
      </rPr>
      <t>en</t>
    </r>
    <r>
      <rPr>
        <sz val="10"/>
        <rFont val="Calibri"/>
        <family val="2"/>
        <scheme val="minor"/>
      </rPr>
      <t xml:space="preserve"> zorgbedrag).</t>
    </r>
  </si>
  <si>
    <r>
      <t>Percentages 1 oktober T-1:</t>
    </r>
    <r>
      <rPr>
        <sz val="10"/>
        <rFont val="Calibri"/>
        <family val="2"/>
        <scheme val="minor"/>
      </rPr>
      <t xml:space="preserve"> Het verwijzingspercentage wordt hier berekend waarbij onderscheid wordt gemaakt in het totaal </t>
    </r>
  </si>
  <si>
    <r>
      <t>op basis van de peildatum wilt laten plaats vinden door '</t>
    </r>
    <r>
      <rPr>
        <b/>
        <sz val="10"/>
        <rFont val="Calibri"/>
        <family val="2"/>
        <scheme val="minor"/>
      </rPr>
      <t>ja'</t>
    </r>
    <r>
      <rPr>
        <sz val="10"/>
        <rFont val="Calibri"/>
        <family val="2"/>
        <scheme val="minor"/>
      </rPr>
      <t xml:space="preserve"> of '</t>
    </r>
    <r>
      <rPr>
        <b/>
        <sz val="10"/>
        <rFont val="Calibri"/>
        <family val="2"/>
        <scheme val="minor"/>
      </rPr>
      <t>nee'</t>
    </r>
    <r>
      <rPr>
        <sz val="10"/>
        <rFont val="Calibri"/>
        <family val="2"/>
        <scheme val="minor"/>
      </rPr>
      <t xml:space="preserve"> in te vullen. Het advies is om 'ja' in te vullen.</t>
    </r>
  </si>
  <si>
    <r>
      <t xml:space="preserve">De gegevens van het personeel worden voor de jaren daarna </t>
    </r>
    <r>
      <rPr>
        <b/>
        <sz val="10"/>
        <rFont val="Calibri"/>
        <family val="2"/>
        <scheme val="minor"/>
      </rPr>
      <t>automatisch</t>
    </r>
    <r>
      <rPr>
        <sz val="10"/>
        <rFont val="Calibri"/>
        <family val="2"/>
        <scheme val="minor"/>
      </rPr>
      <t xml:space="preserve"> aangepast. Dat impliceert ook dat wanneer volgend jaar een nieuw </t>
    </r>
  </si>
  <si>
    <t xml:space="preserve">verkoopwaarde. </t>
  </si>
  <si>
    <t xml:space="preserve">Reinier Goedhart, e-mail: </t>
  </si>
  <si>
    <t>Infodesk PO-Raad</t>
  </si>
  <si>
    <t>infodesk@poraad.nl</t>
  </si>
  <si>
    <t xml:space="preserve">terwijl er nieuwe samenwerkingsverbanden passend onderwijs worden opgericht. Daarom 'stopt' het instrument bij 31 juli 2014 en is een werkblad toegevoegd </t>
  </si>
  <si>
    <r>
      <t xml:space="preserve">Uitgangspunt voor de verdeling is het eigen vermogen op </t>
    </r>
    <r>
      <rPr>
        <b/>
        <sz val="10"/>
        <rFont val="Calibri"/>
        <family val="2"/>
        <scheme val="minor"/>
      </rPr>
      <t>31 juli 2014</t>
    </r>
    <r>
      <rPr>
        <sz val="10"/>
        <rFont val="Calibri"/>
        <family val="2"/>
        <scheme val="minor"/>
      </rPr>
      <t xml:space="preserve">. Daarbij moet wel rekening worden gehouden met het feit dat in dat eigen </t>
    </r>
  </si>
  <si>
    <t>31-7-2014</t>
  </si>
  <si>
    <r>
      <t xml:space="preserve">Dat hangt samen met het beeindigen van het SWV per </t>
    </r>
    <r>
      <rPr>
        <b/>
        <sz val="10"/>
        <rFont val="Calibri"/>
        <family val="2"/>
        <scheme val="minor"/>
      </rPr>
      <t>1 augustus 2014</t>
    </r>
    <r>
      <rPr>
        <sz val="10"/>
        <rFont val="Calibri"/>
        <family val="2"/>
        <scheme val="minor"/>
      </rPr>
      <t xml:space="preserve"> wanneer het samenwerkingsverband Passend Onderwijs wordt opgericht en als</t>
    </r>
  </si>
  <si>
    <t xml:space="preserve">Onderdeel van de berekening is ook de afzonderlijk berekende en zichtbare BAPO-kosten als daar sprake van is. </t>
  </si>
  <si>
    <r>
      <t xml:space="preserve">2013 zijn vastgesteld. Voor de materiële instandhouding (Londo) betreft het de bedragen voor </t>
    </r>
    <r>
      <rPr>
        <b/>
        <sz val="10"/>
        <rFont val="Calibri"/>
        <family val="2"/>
        <scheme val="minor"/>
      </rPr>
      <t>2013 en 2014.</t>
    </r>
  </si>
  <si>
    <r>
      <t xml:space="preserve">De bedragen betreffen de bedragen zoals die voor het schooljaar </t>
    </r>
    <r>
      <rPr>
        <b/>
        <sz val="10"/>
        <rFont val="Calibri"/>
        <family val="2"/>
        <scheme val="minor"/>
      </rPr>
      <t>2012-2013</t>
    </r>
    <r>
      <rPr>
        <sz val="10"/>
        <rFont val="Calibri"/>
        <family val="2"/>
        <scheme val="minor"/>
      </rPr>
      <t xml:space="preserve"> per </t>
    </r>
    <r>
      <rPr>
        <b/>
        <sz val="10"/>
        <rFont val="Calibri"/>
        <family val="2"/>
        <scheme val="minor"/>
      </rPr>
      <t>21 oktober 2012</t>
    </r>
    <r>
      <rPr>
        <sz val="10"/>
        <rFont val="Calibri"/>
        <family val="2"/>
        <scheme val="minor"/>
      </rPr>
      <t xml:space="preserve"> en voor het schooljaar </t>
    </r>
    <r>
      <rPr>
        <b/>
        <sz val="10"/>
        <rFont val="Calibri"/>
        <family val="2"/>
        <scheme val="minor"/>
      </rPr>
      <t xml:space="preserve">2013-2014 </t>
    </r>
    <r>
      <rPr>
        <sz val="10"/>
        <rFont val="Calibri"/>
        <family val="2"/>
        <scheme val="minor"/>
      </rPr>
      <t>per</t>
    </r>
    <r>
      <rPr>
        <b/>
        <sz val="10"/>
        <rFont val="Calibri"/>
        <family val="2"/>
        <scheme val="minor"/>
      </rPr>
      <t xml:space="preserve"> 2 september </t>
    </r>
  </si>
  <si>
    <t>Meerjarenbegroting Samenwerkingsverband WSNS 2014</t>
  </si>
  <si>
    <t xml:space="preserve">De toekenning van € 10 per leerling voor de implementatie van passend onderwijs gaat naar het nieuwe samenweringsverband passend onderwijs en </t>
  </si>
  <si>
    <t>zolang die nog niet is opgericht naar een contactschool voor het samenwerkingsverband passend onderwijs.</t>
  </si>
  <si>
    <r>
      <t xml:space="preserve">gevolg daarvan het SWV WSNS wettelijk wordt beeindigd. Het batig saldo op </t>
    </r>
    <r>
      <rPr>
        <b/>
        <sz val="10"/>
        <rFont val="Calibri"/>
        <family val="2"/>
        <scheme val="minor"/>
      </rPr>
      <t>31 juli 2014</t>
    </r>
    <r>
      <rPr>
        <sz val="10"/>
        <rFont val="Calibri"/>
        <family val="2"/>
        <scheme val="minor"/>
      </rPr>
      <t xml:space="preserve"> dient cf. de wet en het reglement van het SWV verdeeld te </t>
    </r>
  </si>
  <si>
    <t xml:space="preserve">worden naar rato van het aantal leerlingen. </t>
  </si>
  <si>
    <t xml:space="preserve">de raming van 61% aan werkgeverslasten. Het verdient de voorkeur om goed te kijken naar deze aanname voor het percentage werkgeverslasten. </t>
  </si>
  <si>
    <t>Aanpassing t.o.v. versie oktober 2013:</t>
  </si>
  <si>
    <t xml:space="preserve"> - in werkblad Overdracht aan sbo was voor 2014 gerekend met de bedragen van 2013. Klein verschil, maar is nu verbeterd. </t>
  </si>
  <si>
    <t xml:space="preserve"> - hulpblad kosten functie is nu zichtbaar i.p.v. verborgen.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</si>
</sst>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_-&quot;€&quot;\ * #,##0_-;_-&quot;€&quot;\ * #,##0\-;_-&quot;€&quot;\ * &quot;-&quot;_-;_-@_-"/>
    <numFmt numFmtId="165" formatCode="_-&quot;€&quot;\ * #,##0.00_-;_-&quot;€&quot;\ * #,##0.00\-;_-&quot;€&quot;\ * &quot;-&quot;??_-;_-@_-"/>
    <numFmt numFmtId="166" formatCode="_(&quot;€&quot;\ * #,##0_);_(&quot;€&quot;\ * \(#,##0\);_(&quot;€&quot;\ * &quot;-&quot;_);_(@_)"/>
    <numFmt numFmtId="167" formatCode="_(&quot;€&quot;\ * #,##0.00_);_(&quot;€&quot;\ * \(#,##0.00\);_(&quot;€&quot;\ * &quot;-&quot;??_);_(@_)"/>
    <numFmt numFmtId="168" formatCode="_-&quot;fl&quot;\ * #,##0.00_-;_-&quot;fl&quot;\ * #,##0.00\-;_-&quot;fl&quot;\ * &quot;-&quot;??_-;_-@_-"/>
    <numFmt numFmtId="169" formatCode="0.0000"/>
    <numFmt numFmtId="170" formatCode="0.00000"/>
    <numFmt numFmtId="171" formatCode="_-&quot;€&quot;\ * #,##0_-;_-&quot;€&quot;\ * #,##0\-;_-&quot;€&quot;\ * &quot;-&quot;??_-;_-@_-"/>
    <numFmt numFmtId="172" formatCode="&quot;€&quot;\ #,##0_-"/>
    <numFmt numFmtId="173" formatCode="#,##0_ ;\-#,##0\ "/>
    <numFmt numFmtId="174" formatCode="0.0%"/>
    <numFmt numFmtId="175" formatCode="dd/mm/yy"/>
    <numFmt numFmtId="176" formatCode="d\ mmmm\ yyyy"/>
    <numFmt numFmtId="177" formatCode="[$-413]d/mmm/yy;@"/>
    <numFmt numFmtId="178" formatCode="#,##0.0_ ;\-#,##0.0\ "/>
    <numFmt numFmtId="179" formatCode="#,##0.00_ ;\-#,##0.00\ "/>
    <numFmt numFmtId="180" formatCode="[$-413]d/mmm;@"/>
    <numFmt numFmtId="181" formatCode="_(&quot;€&quot;\ * #,##0.0000_);_(&quot;€&quot;\ * \(#,##0.0000\);_(&quot;€&quot;\ * &quot;-&quot;??_);_(@_)"/>
  </numFmts>
  <fonts count="87" x14ac:knownFonts="1">
    <font>
      <sz val="10"/>
      <name val="Arial"/>
    </font>
    <font>
      <sz val="10"/>
      <name val="Arial"/>
      <family val="2"/>
    </font>
    <font>
      <sz val="8"/>
      <color indexed="81"/>
      <name val="Tahoma"/>
      <family val="2"/>
    </font>
    <font>
      <sz val="9"/>
      <color indexed="81"/>
      <name val="Tahoma"/>
      <family val="2"/>
    </font>
    <font>
      <u/>
      <sz val="10"/>
      <color indexed="12"/>
      <name val="Arial"/>
      <family val="2"/>
    </font>
    <font>
      <sz val="8"/>
      <name val="Arial"/>
      <family val="2"/>
    </font>
    <font>
      <sz val="10"/>
      <name val="Calibri"/>
      <family val="2"/>
    </font>
    <font>
      <b/>
      <sz val="10"/>
      <name val="Calibri"/>
      <family val="2"/>
    </font>
    <font>
      <b/>
      <sz val="10"/>
      <color indexed="10"/>
      <name val="Calibri"/>
      <family val="2"/>
    </font>
    <font>
      <b/>
      <u/>
      <sz val="10"/>
      <name val="Calibri"/>
      <family val="2"/>
    </font>
    <font>
      <b/>
      <sz val="12"/>
      <name val="Calibri"/>
      <family val="2"/>
    </font>
    <font>
      <sz val="10"/>
      <name val="Calibri"/>
      <family val="2"/>
    </font>
    <font>
      <b/>
      <sz val="10"/>
      <name val="Calibri"/>
      <family val="2"/>
    </font>
    <font>
      <b/>
      <i/>
      <sz val="10"/>
      <name val="Calibri"/>
      <family val="2"/>
    </font>
    <font>
      <b/>
      <sz val="14"/>
      <name val="Calibri"/>
      <family val="2"/>
    </font>
    <font>
      <i/>
      <sz val="10"/>
      <name val="Calibri"/>
      <family val="2"/>
    </font>
    <font>
      <sz val="14"/>
      <name val="Calibri"/>
      <family val="2"/>
    </font>
    <font>
      <sz val="12"/>
      <name val="Calibri"/>
      <family val="2"/>
    </font>
    <font>
      <sz val="11"/>
      <name val="Calibri"/>
      <family val="2"/>
    </font>
    <font>
      <b/>
      <sz val="11"/>
      <name val="Calibri"/>
      <family val="2"/>
    </font>
    <font>
      <b/>
      <i/>
      <sz val="12"/>
      <name val="Calibri"/>
      <family val="2"/>
    </font>
    <font>
      <i/>
      <sz val="10"/>
      <color indexed="10"/>
      <name val="Calibri"/>
      <family val="2"/>
    </font>
    <font>
      <b/>
      <i/>
      <sz val="10"/>
      <color indexed="10"/>
      <name val="Calibri"/>
      <family val="2"/>
    </font>
    <font>
      <b/>
      <sz val="14"/>
      <color indexed="10"/>
      <name val="Calibri"/>
      <family val="2"/>
    </font>
    <font>
      <b/>
      <sz val="10"/>
      <color indexed="10"/>
      <name val="Calibri"/>
      <family val="2"/>
    </font>
    <font>
      <sz val="10"/>
      <color indexed="10"/>
      <name val="Calibri"/>
      <family val="2"/>
    </font>
    <font>
      <sz val="14"/>
      <color indexed="10"/>
      <name val="Calibri"/>
      <family val="2"/>
    </font>
    <font>
      <b/>
      <i/>
      <sz val="14"/>
      <color indexed="10"/>
      <name val="Calibri"/>
      <family val="2"/>
    </font>
    <font>
      <i/>
      <sz val="14"/>
      <color indexed="10"/>
      <name val="Calibri"/>
      <family val="2"/>
    </font>
    <font>
      <sz val="8"/>
      <name val="Calibri"/>
      <family val="2"/>
    </font>
    <font>
      <b/>
      <sz val="10"/>
      <color indexed="18"/>
      <name val="Calibri"/>
      <family val="2"/>
    </font>
    <font>
      <i/>
      <sz val="10"/>
      <color indexed="62"/>
      <name val="Calibri"/>
      <family val="2"/>
    </font>
    <font>
      <sz val="10"/>
      <color indexed="62"/>
      <name val="Calibri"/>
      <family val="2"/>
    </font>
    <font>
      <b/>
      <i/>
      <sz val="14"/>
      <name val="Calibri"/>
      <family val="2"/>
    </font>
    <font>
      <b/>
      <sz val="10"/>
      <color indexed="62"/>
      <name val="Calibri"/>
      <family val="2"/>
    </font>
    <font>
      <b/>
      <sz val="10"/>
      <color indexed="9"/>
      <name val="Calibri"/>
      <family val="2"/>
    </font>
    <font>
      <sz val="10"/>
      <color indexed="10"/>
      <name val="Calibri"/>
      <family val="2"/>
    </font>
    <font>
      <sz val="10"/>
      <color indexed="8"/>
      <name val="Calibri"/>
      <family val="2"/>
    </font>
    <font>
      <b/>
      <sz val="11"/>
      <color indexed="9"/>
      <name val="Calibri"/>
      <family val="2"/>
    </font>
    <font>
      <b/>
      <sz val="14"/>
      <color indexed="60"/>
      <name val="Calibri"/>
      <family val="2"/>
    </font>
    <font>
      <i/>
      <sz val="10"/>
      <color indexed="60"/>
      <name val="Calibri"/>
      <family val="2"/>
    </font>
    <font>
      <sz val="10"/>
      <color indexed="60"/>
      <name val="Calibri"/>
      <family val="2"/>
    </font>
    <font>
      <b/>
      <i/>
      <sz val="10"/>
      <color indexed="60"/>
      <name val="Calibri"/>
      <family val="2"/>
    </font>
    <font>
      <b/>
      <sz val="10"/>
      <color indexed="60"/>
      <name val="Calibri"/>
      <family val="2"/>
    </font>
    <font>
      <b/>
      <i/>
      <sz val="10"/>
      <color indexed="9"/>
      <name val="Calibri"/>
      <family val="2"/>
    </font>
    <font>
      <sz val="10"/>
      <color indexed="9"/>
      <name val="Calibri"/>
      <family val="2"/>
    </font>
    <font>
      <b/>
      <sz val="10"/>
      <color indexed="9"/>
      <name val="Calibri"/>
      <family val="2"/>
    </font>
    <font>
      <sz val="14"/>
      <color indexed="60"/>
      <name val="Calibri"/>
      <family val="2"/>
    </font>
    <font>
      <sz val="10"/>
      <color indexed="60"/>
      <name val="Arial"/>
      <family val="2"/>
    </font>
    <font>
      <b/>
      <u/>
      <sz val="10"/>
      <color indexed="60"/>
      <name val="Calibri"/>
      <family val="2"/>
    </font>
    <font>
      <i/>
      <sz val="10"/>
      <color indexed="9"/>
      <name val="Calibri"/>
      <family val="2"/>
    </font>
    <font>
      <sz val="10"/>
      <color indexed="81"/>
      <name val="Tahoma"/>
      <family val="2"/>
    </font>
    <font>
      <b/>
      <i/>
      <sz val="10"/>
      <color indexed="30"/>
      <name val="Calibri"/>
      <family val="2"/>
    </font>
    <font>
      <i/>
      <sz val="10"/>
      <color indexed="30"/>
      <name val="Calibri"/>
      <family val="2"/>
    </font>
    <font>
      <sz val="10"/>
      <color indexed="30"/>
      <name val="Calibri"/>
      <family val="2"/>
    </font>
    <font>
      <i/>
      <sz val="10"/>
      <color indexed="8"/>
      <name val="Calibri"/>
      <family val="2"/>
    </font>
    <font>
      <b/>
      <sz val="10"/>
      <color indexed="30"/>
      <name val="Calibri"/>
      <family val="2"/>
    </font>
    <font>
      <b/>
      <sz val="10"/>
      <color indexed="10"/>
      <name val="Calibri"/>
      <family val="2"/>
    </font>
    <font>
      <sz val="10"/>
      <color indexed="10"/>
      <name val="Calibri"/>
      <family val="2"/>
    </font>
    <font>
      <b/>
      <i/>
      <sz val="14"/>
      <color indexed="60"/>
      <name val="Calibri"/>
      <family val="2"/>
    </font>
    <font>
      <i/>
      <sz val="12"/>
      <name val="Calibri"/>
      <family val="2"/>
    </font>
    <font>
      <sz val="8"/>
      <name val="Arial"/>
      <family val="2"/>
    </font>
    <font>
      <b/>
      <i/>
      <sz val="10"/>
      <color indexed="22"/>
      <name val="Calibri"/>
      <family val="2"/>
    </font>
    <font>
      <sz val="10"/>
      <color indexed="22"/>
      <name val="Calibri"/>
      <family val="2"/>
    </font>
    <font>
      <b/>
      <sz val="10"/>
      <color indexed="22"/>
      <name val="Calibri"/>
      <family val="2"/>
    </font>
    <font>
      <b/>
      <sz val="10"/>
      <color rgb="FFC00000"/>
      <name val="Calibri"/>
      <family val="2"/>
    </font>
    <font>
      <b/>
      <sz val="14"/>
      <color rgb="FFC00000"/>
      <name val="Calibri"/>
      <family val="2"/>
    </font>
    <font>
      <sz val="10"/>
      <color theme="0"/>
      <name val="Calibri"/>
      <family val="2"/>
    </font>
    <font>
      <b/>
      <sz val="10"/>
      <color theme="0"/>
      <name val="Calibri"/>
      <family val="2"/>
    </font>
    <font>
      <b/>
      <i/>
      <sz val="10"/>
      <color theme="0"/>
      <name val="Calibri"/>
      <family val="2"/>
    </font>
    <font>
      <sz val="10"/>
      <color rgb="FFC00000"/>
      <name val="Calibri"/>
      <family val="2"/>
    </font>
    <font>
      <i/>
      <sz val="10"/>
      <color rgb="FFC00000"/>
      <name val="Calibri"/>
      <family val="2"/>
    </font>
    <font>
      <b/>
      <i/>
      <sz val="10"/>
      <color rgb="FFC00000"/>
      <name val="Calibri"/>
      <family val="2"/>
    </font>
    <font>
      <sz val="10"/>
      <name val="Calibri"/>
      <family val="2"/>
      <scheme val="minor"/>
    </font>
    <font>
      <b/>
      <sz val="10"/>
      <name val="Calibri"/>
      <family val="2"/>
      <scheme val="minor"/>
    </font>
    <font>
      <b/>
      <sz val="10"/>
      <color indexed="10"/>
      <name val="Calibri"/>
      <family val="2"/>
      <scheme val="minor"/>
    </font>
    <font>
      <b/>
      <i/>
      <sz val="10"/>
      <name val="Calibri"/>
      <family val="2"/>
      <scheme val="minor"/>
    </font>
    <font>
      <u/>
      <sz val="10"/>
      <name val="Calibri"/>
      <family val="2"/>
      <scheme val="minor"/>
    </font>
    <font>
      <sz val="10"/>
      <color indexed="12"/>
      <name val="Calibri"/>
      <family val="2"/>
      <scheme val="minor"/>
    </font>
    <font>
      <u/>
      <sz val="10"/>
      <color indexed="12"/>
      <name val="Calibri"/>
      <family val="2"/>
      <scheme val="minor"/>
    </font>
    <font>
      <b/>
      <sz val="10"/>
      <color indexed="8"/>
      <name val="Calibri"/>
      <family val="2"/>
    </font>
    <font>
      <sz val="10"/>
      <color theme="0" tint="-4.9989318521683403E-2"/>
      <name val="Calibri"/>
      <family val="2"/>
    </font>
    <font>
      <b/>
      <sz val="10"/>
      <color theme="0" tint="-4.9989318521683403E-2"/>
      <name val="Calibri"/>
      <family val="2"/>
    </font>
    <font>
      <b/>
      <sz val="12"/>
      <color rgb="FFC00000"/>
      <name val="Calibri"/>
      <family val="2"/>
      <scheme val="minor"/>
    </font>
    <font>
      <sz val="10"/>
      <color rgb="FFC00000"/>
      <name val="Calibri"/>
      <family val="2"/>
      <scheme val="minor"/>
    </font>
    <font>
      <i/>
      <sz val="10"/>
      <color rgb="FF0070C0"/>
      <name val="Calibri"/>
      <family val="2"/>
    </font>
    <font>
      <sz val="10"/>
      <color indexed="8"/>
      <name val="Calibri"/>
      <family val="2"/>
      <scheme val="minor"/>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3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theme="0" tint="-0.249977111117893"/>
        <bgColor indexed="64"/>
      </patternFill>
    </fill>
    <fill>
      <patternFill patternType="solid">
        <fgColor rgb="FFFFFF99"/>
        <bgColor indexed="64"/>
      </patternFill>
    </fill>
  </fills>
  <borders count="29">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style="thin">
        <color theme="0" tint="-4.9989318521683403E-2"/>
      </left>
      <right style="thin">
        <color theme="0" tint="-4.9989318521683403E-2"/>
      </right>
      <top style="thin">
        <color theme="0" tint="-4.9989318521683403E-2"/>
      </top>
      <bottom style="thin">
        <color theme="0"/>
      </bottom>
      <diagonal/>
    </border>
    <border>
      <left/>
      <right/>
      <top style="thin">
        <color indexed="22"/>
      </top>
      <bottom style="thin">
        <color indexed="22"/>
      </bottom>
      <diagonal/>
    </border>
  </borders>
  <cellStyleXfs count="4">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xf numFmtId="168" fontId="1" fillId="0" borderId="0" applyFont="0" applyFill="0" applyBorder="0" applyAlignment="0" applyProtection="0"/>
  </cellStyleXfs>
  <cellXfs count="871">
    <xf numFmtId="0" fontId="0" fillId="0" borderId="0" xfId="0"/>
    <xf numFmtId="0" fontId="11" fillId="0" borderId="0" xfId="0" applyFont="1" applyFill="1" applyBorder="1" applyAlignment="1" applyProtection="1">
      <alignment horizontal="left"/>
    </xf>
    <xf numFmtId="0" fontId="12" fillId="0" borderId="0" xfId="0" applyFont="1" applyFill="1" applyBorder="1" applyAlignment="1" applyProtection="1">
      <alignment horizontal="left"/>
    </xf>
    <xf numFmtId="49" fontId="11" fillId="2" borderId="0" xfId="0" applyNumberFormat="1"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11" fillId="0" borderId="0" xfId="0" applyFont="1" applyAlignment="1" applyProtection="1">
      <alignment horizontal="left"/>
    </xf>
    <xf numFmtId="177" fontId="11" fillId="2" borderId="0" xfId="0" applyNumberFormat="1" applyFont="1" applyFill="1" applyBorder="1" applyAlignment="1" applyProtection="1">
      <alignment horizontal="left"/>
      <protection locked="0"/>
    </xf>
    <xf numFmtId="0" fontId="11" fillId="0" borderId="0" xfId="0" applyFont="1" applyFill="1" applyAlignment="1" applyProtection="1">
      <alignment horizontal="left"/>
    </xf>
    <xf numFmtId="0" fontId="12" fillId="0" borderId="0" xfId="0" applyFont="1" applyFill="1" applyBorder="1" applyProtection="1"/>
    <xf numFmtId="165" fontId="11" fillId="0" borderId="0" xfId="0" applyNumberFormat="1" applyFont="1" applyFill="1" applyBorder="1" applyAlignment="1" applyProtection="1">
      <alignment horizontal="left"/>
    </xf>
    <xf numFmtId="174" fontId="11" fillId="2" borderId="0" xfId="0" applyNumberFormat="1" applyFont="1" applyFill="1" applyBorder="1" applyAlignment="1" applyProtection="1">
      <alignment horizontal="left"/>
      <protection locked="0"/>
    </xf>
    <xf numFmtId="174" fontId="11" fillId="0" borderId="0" xfId="0" applyNumberFormat="1" applyFont="1" applyFill="1" applyBorder="1" applyAlignment="1" applyProtection="1">
      <alignment horizontal="left"/>
    </xf>
    <xf numFmtId="176" fontId="11" fillId="2" borderId="0" xfId="0" applyNumberFormat="1" applyFont="1" applyFill="1" applyBorder="1" applyAlignment="1" applyProtection="1">
      <alignment horizontal="left"/>
      <protection locked="0"/>
    </xf>
    <xf numFmtId="1" fontId="12" fillId="0" borderId="0" xfId="0" applyNumberFormat="1" applyFont="1" applyFill="1" applyBorder="1" applyAlignment="1" applyProtection="1">
      <alignment horizontal="left"/>
    </xf>
    <xf numFmtId="1" fontId="12" fillId="0" borderId="0" xfId="0" applyNumberFormat="1" applyFont="1" applyFill="1" applyBorder="1" applyAlignment="1" applyProtection="1">
      <alignment horizontal="center"/>
    </xf>
    <xf numFmtId="0" fontId="11" fillId="0" borderId="0" xfId="0" applyFont="1" applyProtection="1"/>
    <xf numFmtId="3" fontId="11" fillId="0" borderId="0" xfId="0" applyNumberFormat="1" applyFont="1" applyFill="1" applyBorder="1" applyAlignment="1" applyProtection="1">
      <alignment horizontal="center"/>
    </xf>
    <xf numFmtId="0" fontId="11" fillId="0" borderId="0" xfId="0" applyFont="1" applyFill="1" applyProtection="1"/>
    <xf numFmtId="0" fontId="11" fillId="0" borderId="0" xfId="0" applyFont="1" applyFill="1" applyBorder="1" applyAlignment="1" applyProtection="1">
      <alignment horizontal="right"/>
    </xf>
    <xf numFmtId="2" fontId="11" fillId="0" borderId="0" xfId="0" applyNumberFormat="1" applyFont="1" applyAlignment="1" applyProtection="1">
      <alignment horizontal="center"/>
    </xf>
    <xf numFmtId="0" fontId="4" fillId="0" borderId="0" xfId="1" applyAlignment="1" applyProtection="1"/>
    <xf numFmtId="0" fontId="7" fillId="0" borderId="0" xfId="0" applyFont="1" applyFill="1" applyBorder="1" applyAlignment="1" applyProtection="1">
      <alignment horizontal="left"/>
    </xf>
    <xf numFmtId="49" fontId="6" fillId="0" borderId="0" xfId="0" applyNumberFormat="1" applyFont="1" applyFill="1" applyBorder="1" applyAlignment="1" applyProtection="1">
      <alignment horizontal="left"/>
    </xf>
    <xf numFmtId="49" fontId="15" fillId="0" borderId="0" xfId="0" applyNumberFormat="1" applyFont="1" applyFill="1" applyBorder="1" applyAlignment="1" applyProtection="1">
      <alignment horizontal="left" indent="1"/>
    </xf>
    <xf numFmtId="0" fontId="6" fillId="0" borderId="0" xfId="0" applyFont="1" applyFill="1" applyBorder="1" applyAlignment="1" applyProtection="1">
      <alignment horizontal="left"/>
    </xf>
    <xf numFmtId="0" fontId="15" fillId="0" borderId="0" xfId="0" applyFont="1" applyFill="1" applyBorder="1" applyAlignment="1" applyProtection="1">
      <alignment horizontal="left" indent="1"/>
    </xf>
    <xf numFmtId="0" fontId="6" fillId="0" borderId="0" xfId="0" applyFont="1" applyFill="1" applyAlignment="1" applyProtection="1">
      <alignment horizontal="left"/>
    </xf>
    <xf numFmtId="0" fontId="13" fillId="0" borderId="0" xfId="0" applyFont="1" applyFill="1" applyBorder="1" applyAlignment="1" applyProtection="1">
      <alignment horizontal="left" indent="1"/>
    </xf>
    <xf numFmtId="2" fontId="6" fillId="0" borderId="0" xfId="0" applyNumberFormat="1" applyFont="1" applyFill="1" applyBorder="1" applyAlignment="1" applyProtection="1">
      <alignment horizontal="left" wrapText="1"/>
    </xf>
    <xf numFmtId="2" fontId="7" fillId="0" borderId="0" xfId="0" applyNumberFormat="1" applyFont="1" applyFill="1" applyBorder="1" applyAlignment="1" applyProtection="1">
      <alignment horizontal="left" wrapText="1"/>
    </xf>
    <xf numFmtId="2" fontId="6" fillId="0" borderId="0" xfId="0" applyNumberFormat="1" applyFont="1" applyFill="1" applyBorder="1" applyAlignment="1" applyProtection="1">
      <alignment horizontal="center" wrapText="1"/>
    </xf>
    <xf numFmtId="2" fontId="0" fillId="0" borderId="0" xfId="0" applyNumberFormat="1" applyAlignment="1">
      <alignment horizontal="center"/>
    </xf>
    <xf numFmtId="0" fontId="0" fillId="0" borderId="0" xfId="0" applyAlignment="1">
      <alignment horizontal="right"/>
    </xf>
    <xf numFmtId="0" fontId="11" fillId="4" borderId="0" xfId="0" applyFont="1" applyFill="1" applyProtection="1"/>
    <xf numFmtId="0" fontId="11" fillId="4" borderId="0" xfId="0" applyFont="1" applyFill="1" applyBorder="1" applyProtection="1"/>
    <xf numFmtId="0" fontId="12" fillId="4" borderId="0" xfId="0" applyFont="1" applyFill="1" applyBorder="1" applyProtection="1"/>
    <xf numFmtId="0" fontId="11" fillId="4" borderId="0" xfId="0" applyFont="1" applyFill="1" applyBorder="1" applyAlignment="1" applyProtection="1">
      <alignment horizontal="center"/>
    </xf>
    <xf numFmtId="0" fontId="16" fillId="4" borderId="0" xfId="0" applyFont="1" applyFill="1" applyBorder="1" applyProtection="1"/>
    <xf numFmtId="0" fontId="16" fillId="4" borderId="0" xfId="0" applyFont="1" applyFill="1" applyProtection="1"/>
    <xf numFmtId="0" fontId="11" fillId="4" borderId="0" xfId="0" applyFont="1" applyFill="1" applyBorder="1" applyAlignment="1" applyProtection="1">
      <alignment horizontal="left"/>
    </xf>
    <xf numFmtId="0" fontId="13" fillId="4" borderId="0" xfId="0" applyFont="1" applyFill="1" applyProtection="1"/>
    <xf numFmtId="0" fontId="12" fillId="4" borderId="0" xfId="0" applyFont="1" applyFill="1" applyProtection="1"/>
    <xf numFmtId="0" fontId="11" fillId="4" borderId="0" xfId="0" applyFont="1" applyFill="1" applyAlignment="1" applyProtection="1">
      <alignment horizontal="center"/>
    </xf>
    <xf numFmtId="164" fontId="11" fillId="4" borderId="0" xfId="0" applyNumberFormat="1" applyFont="1" applyFill="1" applyBorder="1" applyProtection="1"/>
    <xf numFmtId="164" fontId="24" fillId="4" borderId="0" xfId="0" applyNumberFormat="1" applyFont="1" applyFill="1" applyBorder="1" applyProtection="1"/>
    <xf numFmtId="0" fontId="24" fillId="4" borderId="0" xfId="0" applyFont="1" applyFill="1" applyBorder="1" applyProtection="1"/>
    <xf numFmtId="0" fontId="14" fillId="4" borderId="0" xfId="0" applyFont="1" applyFill="1" applyBorder="1" applyProtection="1"/>
    <xf numFmtId="164" fontId="12" fillId="4" borderId="0" xfId="0" applyNumberFormat="1" applyFont="1" applyFill="1" applyBorder="1" applyProtection="1"/>
    <xf numFmtId="0" fontId="25" fillId="4" borderId="0" xfId="0" applyFont="1" applyFill="1" applyBorder="1" applyProtection="1"/>
    <xf numFmtId="164" fontId="25" fillId="4" borderId="0" xfId="0" applyNumberFormat="1" applyFont="1" applyFill="1" applyBorder="1" applyProtection="1"/>
    <xf numFmtId="164" fontId="11" fillId="4" borderId="0" xfId="0" applyNumberFormat="1" applyFont="1" applyFill="1" applyBorder="1" applyAlignment="1" applyProtection="1">
      <alignment horizontal="center"/>
    </xf>
    <xf numFmtId="0" fontId="12" fillId="4" borderId="0" xfId="0" applyFont="1" applyFill="1" applyBorder="1" applyAlignment="1" applyProtection="1">
      <alignment horizontal="center"/>
    </xf>
    <xf numFmtId="0" fontId="21" fillId="4" borderId="0" xfId="0" applyFont="1" applyFill="1" applyBorder="1" applyProtection="1"/>
    <xf numFmtId="0" fontId="15" fillId="4" borderId="0" xfId="0" applyFont="1" applyFill="1" applyBorder="1" applyProtection="1"/>
    <xf numFmtId="0" fontId="13" fillId="4" borderId="0" xfId="0" applyFont="1" applyFill="1" applyBorder="1" applyAlignment="1" applyProtection="1">
      <alignment horizontal="center"/>
    </xf>
    <xf numFmtId="0" fontId="12" fillId="4" borderId="0" xfId="0" applyFont="1" applyFill="1" applyBorder="1" applyAlignment="1" applyProtection="1">
      <alignment horizontal="left"/>
    </xf>
    <xf numFmtId="0" fontId="12" fillId="4" borderId="0" xfId="0" applyFont="1" applyFill="1" applyBorder="1" applyAlignment="1" applyProtection="1">
      <alignment horizontal="right"/>
    </xf>
    <xf numFmtId="0" fontId="35" fillId="4" borderId="0" xfId="0" applyFont="1" applyFill="1" applyBorder="1" applyAlignment="1" applyProtection="1">
      <alignment horizontal="center"/>
    </xf>
    <xf numFmtId="164" fontId="36" fillId="4" borderId="0" xfId="0" applyNumberFormat="1" applyFont="1" applyFill="1" applyBorder="1" applyProtection="1"/>
    <xf numFmtId="0" fontId="36" fillId="4" borderId="0" xfId="0" applyFont="1" applyFill="1" applyBorder="1" applyProtection="1"/>
    <xf numFmtId="164" fontId="16" fillId="4" borderId="0" xfId="0" applyNumberFormat="1" applyFont="1" applyFill="1" applyBorder="1" applyProtection="1"/>
    <xf numFmtId="165" fontId="15" fillId="4" borderId="0" xfId="3" applyNumberFormat="1" applyFont="1" applyFill="1" applyBorder="1" applyProtection="1"/>
    <xf numFmtId="165" fontId="21" fillId="4" borderId="0" xfId="3" applyNumberFormat="1" applyFont="1" applyFill="1" applyBorder="1" applyProtection="1"/>
    <xf numFmtId="0" fontId="15" fillId="4" borderId="0" xfId="0" applyFont="1" applyFill="1" applyBorder="1" applyAlignment="1" applyProtection="1">
      <alignment horizontal="left"/>
    </xf>
    <xf numFmtId="172" fontId="11" fillId="4" borderId="0" xfId="0" applyNumberFormat="1" applyFont="1" applyFill="1" applyBorder="1" applyProtection="1"/>
    <xf numFmtId="0" fontId="31" fillId="4" borderId="0" xfId="0" applyFont="1" applyFill="1" applyBorder="1" applyProtection="1"/>
    <xf numFmtId="0" fontId="32" fillId="4" borderId="0" xfId="0" applyFont="1" applyFill="1" applyBorder="1" applyProtection="1"/>
    <xf numFmtId="0" fontId="26" fillId="4" borderId="0" xfId="0" applyFont="1" applyFill="1" applyBorder="1" applyProtection="1"/>
    <xf numFmtId="0" fontId="26" fillId="4" borderId="0" xfId="0" applyFont="1" applyFill="1" applyProtection="1"/>
    <xf numFmtId="0" fontId="13" fillId="4" borderId="0" xfId="0" applyFont="1" applyFill="1" applyBorder="1" applyAlignment="1" applyProtection="1">
      <alignment horizontal="left"/>
    </xf>
    <xf numFmtId="0" fontId="34" fillId="4" borderId="0" xfId="0" applyFont="1" applyFill="1" applyBorder="1" applyProtection="1"/>
    <xf numFmtId="0" fontId="15" fillId="4" borderId="0" xfId="0" applyFont="1" applyFill="1" applyBorder="1" applyAlignment="1" applyProtection="1">
      <alignment horizontal="center"/>
    </xf>
    <xf numFmtId="0" fontId="21" fillId="4" borderId="0" xfId="0" applyNumberFormat="1" applyFont="1" applyFill="1" applyBorder="1" applyAlignment="1" applyProtection="1">
      <alignment horizontal="center"/>
    </xf>
    <xf numFmtId="1" fontId="21" fillId="4" borderId="0" xfId="0" applyNumberFormat="1" applyFont="1" applyFill="1" applyBorder="1" applyAlignment="1" applyProtection="1">
      <alignment horizontal="center"/>
    </xf>
    <xf numFmtId="0" fontId="15" fillId="4" borderId="0" xfId="0" applyNumberFormat="1" applyFont="1" applyFill="1" applyBorder="1" applyAlignment="1" applyProtection="1">
      <alignment horizontal="center"/>
    </xf>
    <xf numFmtId="0" fontId="25" fillId="4" borderId="0" xfId="0" applyFont="1" applyFill="1" applyProtection="1"/>
    <xf numFmtId="49" fontId="13" fillId="4" borderId="0" xfId="0" applyNumberFormat="1" applyFont="1" applyFill="1" applyBorder="1" applyAlignment="1" applyProtection="1">
      <alignment horizontal="center"/>
    </xf>
    <xf numFmtId="171" fontId="11" fillId="4" borderId="0" xfId="0" applyNumberFormat="1" applyFont="1" applyFill="1" applyBorder="1" applyProtection="1"/>
    <xf numFmtId="171" fontId="12" fillId="4" borderId="0" xfId="0" applyNumberFormat="1" applyFont="1" applyFill="1" applyBorder="1" applyProtection="1"/>
    <xf numFmtId="0" fontId="11" fillId="4" borderId="0" xfId="0" applyFont="1" applyFill="1" applyBorder="1" applyAlignment="1" applyProtection="1"/>
    <xf numFmtId="164" fontId="11" fillId="4" borderId="0" xfId="0" applyNumberFormat="1" applyFont="1" applyFill="1" applyBorder="1" applyAlignment="1" applyProtection="1"/>
    <xf numFmtId="0" fontId="11" fillId="4" borderId="0" xfId="0" applyFont="1" applyFill="1" applyAlignment="1" applyProtection="1"/>
    <xf numFmtId="0" fontId="11" fillId="4" borderId="0" xfId="0" applyFont="1" applyFill="1" applyBorder="1"/>
    <xf numFmtId="1" fontId="11" fillId="4" borderId="0" xfId="0" applyNumberFormat="1" applyFont="1" applyFill="1" applyBorder="1" applyProtection="1"/>
    <xf numFmtId="0" fontId="12" fillId="4" borderId="0" xfId="0" applyFont="1" applyFill="1" applyBorder="1"/>
    <xf numFmtId="49" fontId="29" fillId="4" borderId="0" xfId="0" applyNumberFormat="1" applyFont="1" applyFill="1" applyBorder="1" applyAlignment="1" applyProtection="1">
      <alignment horizontal="right"/>
    </xf>
    <xf numFmtId="49" fontId="11" fillId="4" borderId="0" xfId="0" applyNumberFormat="1" applyFont="1" applyFill="1" applyBorder="1" applyAlignment="1" applyProtection="1">
      <alignment horizontal="left"/>
    </xf>
    <xf numFmtId="0" fontId="29" fillId="4" borderId="0" xfId="0" applyFont="1" applyFill="1" applyBorder="1" applyAlignment="1" applyProtection="1">
      <alignment horizontal="right"/>
    </xf>
    <xf numFmtId="0" fontId="11" fillId="4" borderId="0" xfId="0" applyFont="1" applyFill="1" applyAlignment="1" applyProtection="1">
      <alignment horizontal="left"/>
    </xf>
    <xf numFmtId="0" fontId="29" fillId="4" borderId="0" xfId="0" applyFont="1" applyFill="1" applyBorder="1" applyAlignment="1">
      <alignment horizontal="right"/>
    </xf>
    <xf numFmtId="2" fontId="29" fillId="4" borderId="0" xfId="0" applyNumberFormat="1" applyFont="1" applyFill="1" applyBorder="1" applyAlignment="1">
      <alignment horizontal="right" wrapText="1"/>
    </xf>
    <xf numFmtId="175" fontId="11" fillId="4" borderId="0" xfId="0" applyNumberFormat="1" applyFont="1" applyFill="1" applyBorder="1" applyAlignment="1" applyProtection="1">
      <alignment horizontal="center"/>
    </xf>
    <xf numFmtId="0" fontId="11" fillId="4" borderId="0" xfId="0" applyNumberFormat="1" applyFont="1" applyFill="1" applyBorder="1" applyAlignment="1" applyProtection="1">
      <alignment horizontal="center"/>
    </xf>
    <xf numFmtId="169" fontId="11" fillId="4" borderId="0" xfId="0" applyNumberFormat="1" applyFont="1" applyFill="1" applyBorder="1" applyAlignment="1" applyProtection="1">
      <alignment horizontal="center"/>
    </xf>
    <xf numFmtId="169" fontId="11" fillId="4" borderId="0" xfId="0" applyNumberFormat="1" applyFont="1" applyFill="1" applyBorder="1" applyProtection="1"/>
    <xf numFmtId="0" fontId="11" fillId="4" borderId="0" xfId="0" applyNumberFormat="1" applyFont="1" applyFill="1" applyBorder="1" applyAlignment="1" applyProtection="1"/>
    <xf numFmtId="2" fontId="11" fillId="4" borderId="0" xfId="0" applyNumberFormat="1" applyFont="1" applyFill="1" applyBorder="1" applyProtection="1"/>
    <xf numFmtId="0" fontId="28" fillId="4" borderId="0" xfId="0" applyFont="1" applyFill="1" applyBorder="1" applyProtection="1"/>
    <xf numFmtId="0" fontId="28" fillId="4" borderId="0" xfId="0" applyNumberFormat="1" applyFont="1" applyFill="1" applyBorder="1" applyAlignment="1" applyProtection="1">
      <alignment horizontal="center"/>
    </xf>
    <xf numFmtId="169" fontId="28" fillId="4" borderId="0" xfId="0" applyNumberFormat="1" applyFont="1" applyFill="1" applyBorder="1" applyAlignment="1" applyProtection="1">
      <alignment horizontal="center"/>
    </xf>
    <xf numFmtId="169" fontId="28" fillId="4" borderId="0" xfId="0" applyNumberFormat="1" applyFont="1" applyFill="1" applyBorder="1" applyProtection="1"/>
    <xf numFmtId="164" fontId="28" fillId="4" borderId="0" xfId="0" applyNumberFormat="1" applyFont="1" applyFill="1" applyBorder="1" applyProtection="1"/>
    <xf numFmtId="0" fontId="28" fillId="4" borderId="0" xfId="0" applyNumberFormat="1" applyFont="1" applyFill="1" applyBorder="1" applyProtection="1"/>
    <xf numFmtId="1" fontId="28" fillId="4" borderId="0" xfId="0" applyNumberFormat="1" applyFont="1" applyFill="1" applyBorder="1" applyProtection="1"/>
    <xf numFmtId="0" fontId="11" fillId="4" borderId="0" xfId="0" applyNumberFormat="1" applyFont="1" applyFill="1" applyBorder="1" applyProtection="1"/>
    <xf numFmtId="0" fontId="17" fillId="4" borderId="0" xfId="0" applyFont="1" applyFill="1" applyBorder="1" applyProtection="1"/>
    <xf numFmtId="0" fontId="17" fillId="4" borderId="0" xfId="0" applyNumberFormat="1" applyFont="1" applyFill="1" applyBorder="1" applyAlignment="1" applyProtection="1">
      <alignment horizontal="center"/>
    </xf>
    <xf numFmtId="169" fontId="17" fillId="4" borderId="0" xfId="0" applyNumberFormat="1" applyFont="1" applyFill="1" applyBorder="1" applyAlignment="1" applyProtection="1">
      <alignment horizontal="center"/>
    </xf>
    <xf numFmtId="169" fontId="17" fillId="4" borderId="0" xfId="0" applyNumberFormat="1" applyFont="1" applyFill="1" applyBorder="1" applyProtection="1"/>
    <xf numFmtId="164" fontId="17" fillId="4" borderId="0" xfId="0" applyNumberFormat="1" applyFont="1" applyFill="1" applyBorder="1" applyProtection="1"/>
    <xf numFmtId="0" fontId="17" fillId="4" borderId="0" xfId="0" applyNumberFormat="1" applyFont="1" applyFill="1" applyBorder="1" applyProtection="1"/>
    <xf numFmtId="1" fontId="17" fillId="4" borderId="0" xfId="0" applyNumberFormat="1" applyFont="1" applyFill="1" applyBorder="1" applyProtection="1"/>
    <xf numFmtId="176" fontId="12" fillId="4" borderId="0" xfId="0" applyNumberFormat="1" applyFont="1" applyFill="1" applyBorder="1" applyAlignment="1" applyProtection="1">
      <alignment horizontal="left"/>
    </xf>
    <xf numFmtId="0" fontId="11" fillId="4" borderId="0" xfId="0" applyNumberFormat="1" applyFont="1" applyFill="1" applyProtection="1"/>
    <xf numFmtId="164" fontId="11" fillId="4" borderId="0" xfId="0" applyNumberFormat="1" applyFont="1" applyFill="1" applyProtection="1"/>
    <xf numFmtId="169" fontId="11" fillId="4" borderId="0" xfId="0" applyNumberFormat="1" applyFont="1" applyFill="1" applyAlignment="1" applyProtection="1">
      <alignment horizontal="center"/>
    </xf>
    <xf numFmtId="0" fontId="11" fillId="4" borderId="0" xfId="0" applyNumberFormat="1" applyFont="1" applyFill="1" applyAlignment="1" applyProtection="1">
      <alignment horizontal="center"/>
    </xf>
    <xf numFmtId="169" fontId="11" fillId="4" borderId="0" xfId="0" applyNumberFormat="1" applyFont="1" applyFill="1" applyProtection="1"/>
    <xf numFmtId="1" fontId="11" fillId="4" borderId="0" xfId="0" applyNumberFormat="1" applyFont="1" applyFill="1" applyProtection="1"/>
    <xf numFmtId="0" fontId="25" fillId="4" borderId="0" xfId="0" applyNumberFormat="1" applyFont="1" applyFill="1" applyBorder="1" applyAlignment="1" applyProtection="1">
      <alignment horizontal="center"/>
    </xf>
    <xf numFmtId="171" fontId="25" fillId="4" borderId="0" xfId="0" applyNumberFormat="1" applyFont="1" applyFill="1" applyBorder="1" applyAlignment="1" applyProtection="1">
      <alignment horizontal="center"/>
    </xf>
    <xf numFmtId="169" fontId="25" fillId="4" borderId="0" xfId="0" applyNumberFormat="1" applyFont="1" applyFill="1" applyBorder="1" applyAlignment="1" applyProtection="1">
      <alignment horizontal="center"/>
    </xf>
    <xf numFmtId="1" fontId="25" fillId="4" borderId="0" xfId="0" applyNumberFormat="1" applyFont="1" applyFill="1" applyBorder="1" applyAlignment="1" applyProtection="1">
      <alignment horizontal="center"/>
    </xf>
    <xf numFmtId="169" fontId="21" fillId="4" borderId="0" xfId="0" applyNumberFormat="1" applyFont="1" applyFill="1" applyBorder="1" applyAlignment="1" applyProtection="1">
      <alignment horizontal="center"/>
    </xf>
    <xf numFmtId="171" fontId="21" fillId="4" borderId="0" xfId="0" applyNumberFormat="1" applyFont="1" applyFill="1" applyBorder="1" applyAlignment="1" applyProtection="1">
      <alignment horizontal="center"/>
    </xf>
    <xf numFmtId="171" fontId="25" fillId="4" borderId="0" xfId="3" applyNumberFormat="1" applyFont="1" applyFill="1" applyBorder="1" applyProtection="1"/>
    <xf numFmtId="169" fontId="15" fillId="4" borderId="0" xfId="0" applyNumberFormat="1" applyFont="1" applyFill="1" applyBorder="1" applyAlignment="1" applyProtection="1">
      <alignment horizontal="center"/>
    </xf>
    <xf numFmtId="1" fontId="15" fillId="4" borderId="0" xfId="0" applyNumberFormat="1" applyFont="1" applyFill="1" applyBorder="1" applyAlignment="1" applyProtection="1">
      <alignment horizontal="center"/>
    </xf>
    <xf numFmtId="171" fontId="15" fillId="4" borderId="0" xfId="0" applyNumberFormat="1" applyFont="1" applyFill="1" applyBorder="1" applyAlignment="1" applyProtection="1">
      <alignment horizontal="center"/>
    </xf>
    <xf numFmtId="171" fontId="15" fillId="4" borderId="0" xfId="0" applyNumberFormat="1" applyFont="1" applyFill="1" applyBorder="1" applyAlignment="1" applyProtection="1">
      <alignment horizontal="left"/>
    </xf>
    <xf numFmtId="171" fontId="11" fillId="4" borderId="0" xfId="0" applyNumberFormat="1" applyFont="1" applyFill="1" applyBorder="1" applyAlignment="1" applyProtection="1">
      <alignment horizontal="center"/>
    </xf>
    <xf numFmtId="2" fontId="15" fillId="4" borderId="0" xfId="0" applyNumberFormat="1" applyFont="1" applyFill="1" applyBorder="1" applyAlignment="1" applyProtection="1">
      <alignment horizontal="center"/>
    </xf>
    <xf numFmtId="164" fontId="15" fillId="4" borderId="0" xfId="0" applyNumberFormat="1" applyFont="1" applyFill="1" applyBorder="1" applyAlignment="1" applyProtection="1">
      <alignment horizontal="center"/>
    </xf>
    <xf numFmtId="171" fontId="11" fillId="4" borderId="0" xfId="3" applyNumberFormat="1" applyFont="1" applyFill="1" applyBorder="1" applyProtection="1"/>
    <xf numFmtId="49" fontId="29" fillId="4" borderId="0" xfId="0" applyNumberFormat="1" applyFont="1" applyFill="1" applyAlignment="1" applyProtection="1">
      <alignment horizontal="right"/>
    </xf>
    <xf numFmtId="0" fontId="29" fillId="4" borderId="0" xfId="0" applyFont="1" applyFill="1" applyAlignment="1" applyProtection="1">
      <alignment horizontal="right"/>
    </xf>
    <xf numFmtId="169" fontId="11" fillId="4" borderId="0" xfId="3" applyNumberFormat="1" applyFont="1" applyFill="1" applyBorder="1" applyAlignment="1" applyProtection="1">
      <alignment horizontal="center"/>
    </xf>
    <xf numFmtId="171" fontId="11" fillId="4" borderId="0" xfId="3" applyNumberFormat="1" applyFont="1" applyFill="1" applyBorder="1" applyAlignment="1" applyProtection="1"/>
    <xf numFmtId="2" fontId="11" fillId="4" borderId="0" xfId="0" applyNumberFormat="1" applyFont="1" applyFill="1" applyBorder="1" applyAlignment="1" applyProtection="1">
      <alignment horizontal="center"/>
    </xf>
    <xf numFmtId="0" fontId="12" fillId="4" borderId="0" xfId="0" quotePrefix="1" applyFont="1" applyFill="1" applyBorder="1" applyAlignment="1" applyProtection="1">
      <alignment horizontal="right"/>
    </xf>
    <xf numFmtId="1" fontId="11" fillId="4" borderId="0" xfId="0" applyNumberFormat="1" applyFont="1" applyFill="1" applyBorder="1" applyAlignment="1" applyProtection="1">
      <alignment horizontal="center"/>
    </xf>
    <xf numFmtId="175" fontId="12" fillId="4" borderId="0" xfId="0" applyNumberFormat="1" applyFont="1" applyFill="1" applyBorder="1" applyAlignment="1" applyProtection="1">
      <alignment horizontal="center"/>
    </xf>
    <xf numFmtId="0" fontId="12" fillId="4" borderId="0" xfId="0" applyNumberFormat="1" applyFont="1" applyFill="1" applyBorder="1" applyAlignment="1" applyProtection="1">
      <alignment horizontal="center"/>
    </xf>
    <xf numFmtId="169" fontId="12" fillId="4" borderId="0" xfId="3" applyNumberFormat="1" applyFont="1" applyFill="1" applyBorder="1" applyAlignment="1" applyProtection="1">
      <alignment horizontal="center"/>
    </xf>
    <xf numFmtId="169" fontId="12" fillId="4" borderId="0" xfId="0" applyNumberFormat="1" applyFont="1" applyFill="1" applyBorder="1" applyAlignment="1" applyProtection="1">
      <alignment horizontal="center"/>
    </xf>
    <xf numFmtId="171" fontId="12" fillId="4" borderId="0" xfId="3" applyNumberFormat="1" applyFont="1" applyFill="1" applyBorder="1" applyAlignment="1" applyProtection="1"/>
    <xf numFmtId="171" fontId="12" fillId="4" borderId="0" xfId="3" applyNumberFormat="1" applyFont="1" applyFill="1" applyBorder="1" applyProtection="1"/>
    <xf numFmtId="2" fontId="12" fillId="4" borderId="0" xfId="0" applyNumberFormat="1" applyFont="1" applyFill="1" applyBorder="1" applyAlignment="1" applyProtection="1">
      <alignment horizontal="center"/>
    </xf>
    <xf numFmtId="172" fontId="12" fillId="4" borderId="0" xfId="0" applyNumberFormat="1" applyFont="1" applyFill="1" applyBorder="1" applyProtection="1"/>
    <xf numFmtId="169" fontId="12" fillId="4" borderId="0" xfId="0" applyNumberFormat="1" applyFont="1" applyFill="1" applyBorder="1" applyProtection="1"/>
    <xf numFmtId="0" fontId="12" fillId="4" borderId="0" xfId="0" applyNumberFormat="1" applyFont="1" applyFill="1" applyBorder="1" applyAlignment="1" applyProtection="1"/>
    <xf numFmtId="2" fontId="12" fillId="4" borderId="0" xfId="0" applyNumberFormat="1" applyFont="1" applyFill="1" applyBorder="1" applyProtection="1"/>
    <xf numFmtId="0" fontId="0" fillId="4" borderId="0" xfId="0" applyFill="1" applyAlignment="1">
      <alignment horizontal="left"/>
    </xf>
    <xf numFmtId="0" fontId="11" fillId="3" borderId="2" xfId="0" applyFont="1" applyFill="1" applyBorder="1" applyProtection="1"/>
    <xf numFmtId="0" fontId="11" fillId="3" borderId="3" xfId="0" applyFont="1" applyFill="1" applyBorder="1" applyProtection="1"/>
    <xf numFmtId="0" fontId="11" fillId="3" borderId="3" xfId="0" applyFont="1" applyFill="1" applyBorder="1" applyAlignment="1" applyProtection="1">
      <alignment horizontal="center"/>
    </xf>
    <xf numFmtId="0" fontId="11" fillId="3" borderId="4" xfId="0" applyFont="1" applyFill="1" applyBorder="1" applyProtection="1"/>
    <xf numFmtId="0" fontId="11" fillId="3" borderId="5" xfId="0" applyFont="1" applyFill="1" applyBorder="1" applyProtection="1"/>
    <xf numFmtId="0" fontId="11" fillId="3" borderId="0" xfId="0" applyFont="1" applyFill="1" applyBorder="1" applyProtection="1"/>
    <xf numFmtId="0" fontId="12" fillId="3" borderId="0" xfId="0" applyFont="1" applyFill="1" applyBorder="1" applyProtection="1"/>
    <xf numFmtId="0" fontId="11" fillId="3" borderId="0" xfId="0" applyFont="1" applyFill="1" applyBorder="1" applyAlignment="1" applyProtection="1">
      <alignment horizontal="center"/>
    </xf>
    <xf numFmtId="0" fontId="11" fillId="3" borderId="6" xfId="0" applyFont="1" applyFill="1" applyBorder="1" applyProtection="1"/>
    <xf numFmtId="0" fontId="16" fillId="3" borderId="5" xfId="0" applyFont="1" applyFill="1" applyBorder="1" applyProtection="1"/>
    <xf numFmtId="0" fontId="23" fillId="3" borderId="0" xfId="0" applyFont="1" applyFill="1" applyBorder="1" applyProtection="1"/>
    <xf numFmtId="0" fontId="16" fillId="3" borderId="0" xfId="0" applyFont="1" applyFill="1" applyBorder="1" applyProtection="1"/>
    <xf numFmtId="0" fontId="16" fillId="3" borderId="0" xfId="0" applyFont="1" applyFill="1" applyBorder="1" applyAlignment="1" applyProtection="1">
      <alignment horizontal="center"/>
    </xf>
    <xf numFmtId="0" fontId="16" fillId="3" borderId="6" xfId="0" applyFont="1" applyFill="1" applyBorder="1" applyProtection="1"/>
    <xf numFmtId="0" fontId="11" fillId="3" borderId="0" xfId="0" applyFont="1" applyFill="1" applyBorder="1" applyAlignment="1" applyProtection="1">
      <alignment horizontal="left"/>
    </xf>
    <xf numFmtId="0" fontId="13" fillId="3" borderId="5" xfId="0" applyFont="1" applyFill="1" applyBorder="1" applyProtection="1"/>
    <xf numFmtId="0" fontId="13" fillId="3" borderId="6" xfId="0" applyFont="1" applyFill="1" applyBorder="1" applyProtection="1"/>
    <xf numFmtId="0" fontId="12" fillId="3" borderId="5" xfId="0" applyFont="1" applyFill="1" applyBorder="1" applyProtection="1"/>
    <xf numFmtId="0" fontId="12" fillId="3" borderId="6" xfId="0" applyFont="1" applyFill="1" applyBorder="1" applyProtection="1"/>
    <xf numFmtId="0" fontId="11" fillId="3" borderId="8" xfId="0" applyFont="1" applyFill="1" applyBorder="1" applyProtection="1"/>
    <xf numFmtId="0" fontId="11" fillId="3" borderId="7" xfId="0" applyFont="1" applyFill="1" applyBorder="1" applyProtection="1"/>
    <xf numFmtId="0" fontId="11" fillId="3" borderId="7" xfId="0" applyFont="1" applyFill="1" applyBorder="1" applyAlignment="1" applyProtection="1">
      <alignment horizontal="center"/>
    </xf>
    <xf numFmtId="0" fontId="38" fillId="3" borderId="7" xfId="0" applyFont="1" applyFill="1" applyBorder="1" applyAlignment="1" applyProtection="1">
      <alignment horizontal="right"/>
    </xf>
    <xf numFmtId="0" fontId="11" fillId="3" borderId="9" xfId="0" applyFont="1" applyFill="1" applyBorder="1" applyProtection="1"/>
    <xf numFmtId="0" fontId="11" fillId="4" borderId="10" xfId="0" applyFont="1" applyFill="1" applyBorder="1" applyProtection="1"/>
    <xf numFmtId="0" fontId="11" fillId="4" borderId="13" xfId="0" applyFont="1" applyFill="1" applyBorder="1" applyProtection="1"/>
    <xf numFmtId="0" fontId="12" fillId="4" borderId="1" xfId="0" applyFont="1" applyFill="1" applyBorder="1" applyAlignment="1" applyProtection="1">
      <alignment horizontal="center"/>
    </xf>
    <xf numFmtId="0" fontId="11" fillId="4" borderId="15" xfId="0" applyFont="1" applyFill="1" applyBorder="1" applyProtection="1"/>
    <xf numFmtId="0" fontId="11" fillId="4" borderId="16" xfId="0" applyFont="1" applyFill="1" applyBorder="1" applyAlignment="1" applyProtection="1">
      <alignment horizontal="center"/>
    </xf>
    <xf numFmtId="0" fontId="6" fillId="2" borderId="0" xfId="0" applyFont="1" applyFill="1" applyBorder="1" applyAlignment="1" applyProtection="1">
      <alignment horizontal="left"/>
      <protection locked="0"/>
    </xf>
    <xf numFmtId="0" fontId="39" fillId="3" borderId="0" xfId="0" applyFont="1" applyFill="1" applyBorder="1" applyProtection="1"/>
    <xf numFmtId="0" fontId="40" fillId="3" borderId="0" xfId="0" applyFont="1" applyFill="1" applyBorder="1" applyAlignment="1" applyProtection="1">
      <alignment horizontal="right"/>
    </xf>
    <xf numFmtId="0" fontId="41" fillId="3" borderId="0" xfId="0" applyFont="1" applyFill="1" applyBorder="1" applyProtection="1"/>
    <xf numFmtId="49" fontId="42" fillId="3" borderId="0" xfId="0" applyNumberFormat="1" applyFont="1" applyFill="1" applyBorder="1" applyAlignment="1" applyProtection="1">
      <alignment horizontal="center"/>
    </xf>
    <xf numFmtId="0" fontId="42" fillId="3" borderId="0" xfId="0" applyNumberFormat="1" applyFont="1" applyFill="1" applyBorder="1" applyAlignment="1" applyProtection="1">
      <alignment horizontal="center"/>
    </xf>
    <xf numFmtId="0" fontId="45" fillId="3" borderId="0" xfId="0" applyFont="1" applyFill="1" applyBorder="1" applyProtection="1"/>
    <xf numFmtId="0" fontId="45" fillId="3" borderId="0" xfId="0" applyFont="1" applyFill="1" applyBorder="1" applyAlignment="1" applyProtection="1">
      <alignment horizontal="center"/>
    </xf>
    <xf numFmtId="0" fontId="26" fillId="3" borderId="5" xfId="0" applyFont="1" applyFill="1" applyBorder="1" applyProtection="1"/>
    <xf numFmtId="0" fontId="26" fillId="3" borderId="0" xfId="0" applyFont="1" applyFill="1" applyBorder="1" applyProtection="1"/>
    <xf numFmtId="0" fontId="26" fillId="3" borderId="0" xfId="0" applyFont="1" applyFill="1" applyBorder="1" applyAlignment="1" applyProtection="1">
      <alignment horizontal="center"/>
    </xf>
    <xf numFmtId="0" fontId="26" fillId="3" borderId="6" xfId="0" applyFont="1" applyFill="1" applyBorder="1" applyProtection="1"/>
    <xf numFmtId="49" fontId="16" fillId="3" borderId="0" xfId="0" applyNumberFormat="1" applyFont="1" applyFill="1" applyBorder="1" applyProtection="1"/>
    <xf numFmtId="0" fontId="25" fillId="3" borderId="5" xfId="0" applyFont="1" applyFill="1" applyBorder="1" applyProtection="1"/>
    <xf numFmtId="0" fontId="25" fillId="3" borderId="0" xfId="0" applyFont="1" applyFill="1" applyBorder="1" applyProtection="1"/>
    <xf numFmtId="0" fontId="25" fillId="3" borderId="6" xfId="0" applyFont="1" applyFill="1" applyBorder="1" applyProtection="1"/>
    <xf numFmtId="164" fontId="11" fillId="3" borderId="7" xfId="0" applyNumberFormat="1" applyFont="1" applyFill="1" applyBorder="1" applyAlignment="1" applyProtection="1">
      <alignment horizontal="center"/>
    </xf>
    <xf numFmtId="0" fontId="46" fillId="3" borderId="0" xfId="0" applyFont="1" applyFill="1" applyBorder="1" applyProtection="1"/>
    <xf numFmtId="0" fontId="47" fillId="3" borderId="0" xfId="0" applyFont="1" applyFill="1" applyBorder="1" applyProtection="1"/>
    <xf numFmtId="0" fontId="11" fillId="3" borderId="3" xfId="0" applyFont="1" applyFill="1" applyBorder="1" applyAlignment="1" applyProtection="1">
      <alignment horizontal="left"/>
    </xf>
    <xf numFmtId="175" fontId="11" fillId="3" borderId="3" xfId="0" applyNumberFormat="1" applyFont="1" applyFill="1" applyBorder="1" applyAlignment="1" applyProtection="1">
      <alignment horizontal="center"/>
    </xf>
    <xf numFmtId="0" fontId="11" fillId="3" borderId="3" xfId="0" applyNumberFormat="1" applyFont="1" applyFill="1" applyBorder="1" applyAlignment="1" applyProtection="1">
      <alignment horizontal="center"/>
    </xf>
    <xf numFmtId="169" fontId="11" fillId="3" borderId="3" xfId="0" applyNumberFormat="1" applyFont="1" applyFill="1" applyBorder="1" applyAlignment="1" applyProtection="1">
      <alignment horizontal="center"/>
    </xf>
    <xf numFmtId="169" fontId="11" fillId="3" borderId="3" xfId="0" applyNumberFormat="1" applyFont="1" applyFill="1" applyBorder="1" applyProtection="1"/>
    <xf numFmtId="0" fontId="11" fillId="3" borderId="3" xfId="0" applyNumberFormat="1" applyFont="1" applyFill="1" applyBorder="1" applyAlignment="1" applyProtection="1"/>
    <xf numFmtId="2" fontId="11" fillId="3" borderId="3" xfId="0" applyNumberFormat="1" applyFont="1" applyFill="1" applyBorder="1" applyProtection="1"/>
    <xf numFmtId="175" fontId="11" fillId="3" borderId="0" xfId="0" applyNumberFormat="1" applyFont="1" applyFill="1" applyBorder="1" applyAlignment="1" applyProtection="1">
      <alignment horizontal="center"/>
    </xf>
    <xf numFmtId="0" fontId="11" fillId="3" borderId="0" xfId="0" applyNumberFormat="1" applyFont="1" applyFill="1" applyBorder="1" applyAlignment="1" applyProtection="1">
      <alignment horizontal="center"/>
    </xf>
    <xf numFmtId="169" fontId="11" fillId="3" borderId="0" xfId="0" applyNumberFormat="1" applyFont="1" applyFill="1" applyBorder="1" applyAlignment="1" applyProtection="1">
      <alignment horizontal="center"/>
    </xf>
    <xf numFmtId="169" fontId="11" fillId="3" borderId="0" xfId="0" applyNumberFormat="1" applyFont="1" applyFill="1" applyBorder="1" applyProtection="1"/>
    <xf numFmtId="0" fontId="11" fillId="3" borderId="0" xfId="0" applyNumberFormat="1" applyFont="1" applyFill="1" applyBorder="1" applyAlignment="1" applyProtection="1"/>
    <xf numFmtId="2" fontId="11" fillId="3" borderId="0" xfId="0" applyNumberFormat="1" applyFont="1" applyFill="1" applyBorder="1" applyProtection="1"/>
    <xf numFmtId="164" fontId="11" fillId="3" borderId="0" xfId="0" applyNumberFormat="1" applyFont="1" applyFill="1" applyBorder="1" applyProtection="1"/>
    <xf numFmtId="0" fontId="27" fillId="3" borderId="5" xfId="0" applyFont="1" applyFill="1" applyBorder="1" applyAlignment="1" applyProtection="1">
      <alignment horizontal="left"/>
    </xf>
    <xf numFmtId="0" fontId="28" fillId="3" borderId="0" xfId="0" applyFont="1" applyFill="1" applyBorder="1" applyProtection="1"/>
    <xf numFmtId="0" fontId="28" fillId="3" borderId="0" xfId="0" applyFont="1" applyFill="1" applyBorder="1" applyAlignment="1" applyProtection="1">
      <alignment horizontal="left"/>
    </xf>
    <xf numFmtId="0" fontId="28" fillId="3" borderId="0" xfId="0" applyFont="1" applyFill="1" applyBorder="1" applyAlignment="1" applyProtection="1">
      <alignment horizontal="center"/>
    </xf>
    <xf numFmtId="175" fontId="28" fillId="3" borderId="0" xfId="0" applyNumberFormat="1" applyFont="1" applyFill="1" applyBorder="1" applyAlignment="1" applyProtection="1">
      <alignment horizontal="center"/>
    </xf>
    <xf numFmtId="0" fontId="28" fillId="3" borderId="0" xfId="0" applyNumberFormat="1" applyFont="1" applyFill="1" applyBorder="1" applyAlignment="1" applyProtection="1">
      <alignment horizontal="center"/>
    </xf>
    <xf numFmtId="169" fontId="28" fillId="3" borderId="0" xfId="0" applyNumberFormat="1" applyFont="1" applyFill="1" applyBorder="1" applyAlignment="1" applyProtection="1">
      <alignment horizontal="center"/>
    </xf>
    <xf numFmtId="169" fontId="28" fillId="3" borderId="0" xfId="0" applyNumberFormat="1" applyFont="1" applyFill="1" applyBorder="1" applyProtection="1"/>
    <xf numFmtId="0" fontId="28" fillId="3" borderId="0" xfId="0" applyNumberFormat="1" applyFont="1" applyFill="1" applyBorder="1" applyAlignment="1" applyProtection="1"/>
    <xf numFmtId="2" fontId="28" fillId="3" borderId="0" xfId="0" applyNumberFormat="1" applyFont="1" applyFill="1" applyBorder="1" applyProtection="1"/>
    <xf numFmtId="164" fontId="28" fillId="3" borderId="0" xfId="0" applyNumberFormat="1" applyFont="1" applyFill="1" applyBorder="1" applyProtection="1"/>
    <xf numFmtId="0" fontId="28" fillId="3" borderId="6" xfId="0" applyFont="1" applyFill="1" applyBorder="1" applyProtection="1"/>
    <xf numFmtId="49" fontId="16" fillId="3" borderId="0" xfId="0" applyNumberFormat="1" applyFont="1" applyFill="1" applyBorder="1" applyAlignment="1" applyProtection="1">
      <alignment horizontal="left"/>
    </xf>
    <xf numFmtId="0" fontId="17" fillId="3" borderId="5" xfId="0" applyFont="1" applyFill="1" applyBorder="1" applyProtection="1"/>
    <xf numFmtId="0" fontId="17" fillId="3" borderId="0" xfId="0" applyFont="1" applyFill="1" applyBorder="1" applyProtection="1"/>
    <xf numFmtId="0" fontId="18" fillId="3" borderId="0" xfId="0" applyFont="1" applyFill="1" applyBorder="1" applyAlignment="1" applyProtection="1">
      <alignment horizontal="left"/>
    </xf>
    <xf numFmtId="176" fontId="19" fillId="3" borderId="0" xfId="0" applyNumberFormat="1" applyFont="1" applyFill="1" applyBorder="1" applyAlignment="1" applyProtection="1">
      <alignment horizontal="left"/>
    </xf>
    <xf numFmtId="0" fontId="20" fillId="3" borderId="0" xfId="0" applyFont="1" applyFill="1" applyBorder="1" applyAlignment="1" applyProtection="1">
      <alignment horizontal="left"/>
    </xf>
    <xf numFmtId="0" fontId="20" fillId="3" borderId="0" xfId="0" applyFont="1" applyFill="1" applyBorder="1" applyAlignment="1" applyProtection="1">
      <alignment horizontal="center"/>
    </xf>
    <xf numFmtId="175" fontId="20" fillId="3" borderId="0" xfId="0" applyNumberFormat="1" applyFont="1" applyFill="1" applyBorder="1" applyAlignment="1" applyProtection="1">
      <alignment horizontal="center"/>
    </xf>
    <xf numFmtId="0" fontId="17" fillId="3" borderId="0" xfId="0" applyNumberFormat="1" applyFont="1" applyFill="1" applyBorder="1" applyAlignment="1" applyProtection="1">
      <alignment horizontal="center"/>
    </xf>
    <xf numFmtId="169" fontId="17" fillId="3" borderId="0" xfId="0" applyNumberFormat="1" applyFont="1" applyFill="1" applyBorder="1" applyAlignment="1" applyProtection="1">
      <alignment horizontal="center"/>
    </xf>
    <xf numFmtId="169" fontId="17" fillId="3" borderId="0" xfId="0" applyNumberFormat="1" applyFont="1" applyFill="1" applyBorder="1" applyProtection="1"/>
    <xf numFmtId="0" fontId="17" fillId="3" borderId="0" xfId="0" applyNumberFormat="1" applyFont="1" applyFill="1" applyBorder="1" applyAlignment="1" applyProtection="1"/>
    <xf numFmtId="2" fontId="17" fillId="3" borderId="0" xfId="0" applyNumberFormat="1" applyFont="1" applyFill="1" applyBorder="1" applyProtection="1"/>
    <xf numFmtId="0" fontId="17" fillId="3" borderId="6" xfId="0" applyFont="1" applyFill="1" applyBorder="1" applyProtection="1"/>
    <xf numFmtId="176" fontId="12" fillId="3"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center"/>
    </xf>
    <xf numFmtId="175" fontId="13" fillId="3" borderId="0" xfId="0" applyNumberFormat="1" applyFont="1" applyFill="1" applyBorder="1" applyAlignment="1" applyProtection="1">
      <alignment horizontal="center"/>
    </xf>
    <xf numFmtId="0" fontId="19" fillId="3" borderId="0" xfId="0" applyFont="1" applyFill="1" applyBorder="1" applyAlignment="1" applyProtection="1">
      <alignment horizontal="left"/>
    </xf>
    <xf numFmtId="171" fontId="25" fillId="3" borderId="6" xfId="0" applyNumberFormat="1" applyFont="1" applyFill="1" applyBorder="1" applyAlignment="1" applyProtection="1">
      <alignment horizontal="center"/>
    </xf>
    <xf numFmtId="171" fontId="21" fillId="3" borderId="6" xfId="0" applyNumberFormat="1" applyFont="1" applyFill="1" applyBorder="1" applyAlignment="1" applyProtection="1">
      <alignment horizontal="center"/>
    </xf>
    <xf numFmtId="169" fontId="11" fillId="3" borderId="0" xfId="3" applyNumberFormat="1" applyFont="1" applyFill="1" applyBorder="1" applyAlignment="1" applyProtection="1">
      <alignment horizontal="center"/>
    </xf>
    <xf numFmtId="171" fontId="11" fillId="3" borderId="0" xfId="3" applyNumberFormat="1" applyFont="1" applyFill="1" applyBorder="1" applyAlignment="1" applyProtection="1"/>
    <xf numFmtId="171" fontId="11" fillId="3" borderId="0" xfId="3" applyNumberFormat="1" applyFont="1" applyFill="1" applyBorder="1" applyProtection="1"/>
    <xf numFmtId="2" fontId="11" fillId="3" borderId="0" xfId="0" applyNumberFormat="1" applyFont="1" applyFill="1" applyBorder="1" applyAlignment="1" applyProtection="1">
      <alignment horizontal="center"/>
    </xf>
    <xf numFmtId="0" fontId="11" fillId="3" borderId="7" xfId="0" applyFont="1" applyFill="1" applyBorder="1" applyAlignment="1" applyProtection="1">
      <alignment horizontal="left"/>
    </xf>
    <xf numFmtId="175" fontId="11" fillId="3" borderId="7" xfId="0" applyNumberFormat="1" applyFont="1" applyFill="1" applyBorder="1" applyAlignment="1" applyProtection="1">
      <alignment horizontal="center"/>
    </xf>
    <xf numFmtId="0" fontId="11" fillId="3" borderId="7" xfId="0" applyNumberFormat="1" applyFont="1" applyFill="1" applyBorder="1" applyAlignment="1" applyProtection="1">
      <alignment horizontal="center"/>
    </xf>
    <xf numFmtId="169" fontId="11" fillId="3" borderId="7" xfId="3" applyNumberFormat="1" applyFont="1" applyFill="1" applyBorder="1" applyAlignment="1" applyProtection="1">
      <alignment horizontal="center"/>
    </xf>
    <xf numFmtId="169" fontId="11" fillId="3" borderId="7" xfId="0" applyNumberFormat="1" applyFont="1" applyFill="1" applyBorder="1" applyAlignment="1" applyProtection="1">
      <alignment horizontal="center"/>
    </xf>
    <xf numFmtId="171" fontId="11" fillId="3" borderId="7" xfId="3" applyNumberFormat="1" applyFont="1" applyFill="1" applyBorder="1" applyAlignment="1" applyProtection="1"/>
    <xf numFmtId="171" fontId="11" fillId="3" borderId="7" xfId="3" applyNumberFormat="1" applyFont="1" applyFill="1" applyBorder="1" applyProtection="1"/>
    <xf numFmtId="2" fontId="11" fillId="3" borderId="7" xfId="0" applyNumberFormat="1" applyFont="1" applyFill="1" applyBorder="1" applyAlignment="1" applyProtection="1">
      <alignment horizontal="center"/>
    </xf>
    <xf numFmtId="171" fontId="11" fillId="4" borderId="11" xfId="3" applyNumberFormat="1" applyFont="1" applyFill="1" applyBorder="1" applyProtection="1"/>
    <xf numFmtId="171" fontId="11" fillId="4" borderId="12" xfId="3" applyNumberFormat="1" applyFont="1" applyFill="1" applyBorder="1" applyProtection="1"/>
    <xf numFmtId="171" fontId="11" fillId="4" borderId="1" xfId="3" applyNumberFormat="1" applyFont="1" applyFill="1" applyBorder="1" applyProtection="1"/>
    <xf numFmtId="171" fontId="11" fillId="4" borderId="14" xfId="3" applyNumberFormat="1" applyFont="1" applyFill="1" applyBorder="1" applyProtection="1"/>
    <xf numFmtId="0" fontId="12" fillId="4" borderId="1" xfId="0" applyFont="1" applyFill="1" applyBorder="1" applyAlignment="1" applyProtection="1">
      <alignment horizontal="left"/>
    </xf>
    <xf numFmtId="175" fontId="12" fillId="4" borderId="1" xfId="0" applyNumberFormat="1" applyFont="1" applyFill="1" applyBorder="1" applyAlignment="1" applyProtection="1">
      <alignment horizontal="center"/>
    </xf>
    <xf numFmtId="0" fontId="12" fillId="4" borderId="1" xfId="0" applyNumberFormat="1" applyFont="1" applyFill="1" applyBorder="1" applyAlignment="1" applyProtection="1">
      <alignment horizontal="center"/>
    </xf>
    <xf numFmtId="171" fontId="12" fillId="4" borderId="1" xfId="0" applyNumberFormat="1" applyFont="1" applyFill="1" applyBorder="1" applyProtection="1"/>
    <xf numFmtId="0" fontId="11" fillId="4" borderId="14" xfId="0" applyNumberFormat="1" applyFont="1" applyFill="1" applyBorder="1" applyAlignment="1" applyProtection="1">
      <alignment horizontal="center"/>
    </xf>
    <xf numFmtId="0" fontId="11" fillId="4" borderId="16" xfId="0" applyFont="1" applyFill="1" applyBorder="1" applyAlignment="1" applyProtection="1">
      <alignment horizontal="left"/>
    </xf>
    <xf numFmtId="175" fontId="11" fillId="4" borderId="16" xfId="0" applyNumberFormat="1" applyFont="1" applyFill="1" applyBorder="1" applyAlignment="1" applyProtection="1">
      <alignment horizontal="center"/>
    </xf>
    <xf numFmtId="0" fontId="11" fillId="4" borderId="16" xfId="0" applyNumberFormat="1" applyFont="1" applyFill="1" applyBorder="1" applyAlignment="1" applyProtection="1">
      <alignment horizontal="center"/>
    </xf>
    <xf numFmtId="169" fontId="11" fillId="4" borderId="16" xfId="0" applyNumberFormat="1" applyFont="1" applyFill="1" applyBorder="1" applyAlignment="1" applyProtection="1">
      <alignment horizontal="center"/>
    </xf>
    <xf numFmtId="171" fontId="12" fillId="4" borderId="16" xfId="0" applyNumberFormat="1" applyFont="1" applyFill="1" applyBorder="1" applyProtection="1"/>
    <xf numFmtId="2" fontId="12" fillId="4" borderId="16" xfId="0" applyNumberFormat="1" applyFont="1" applyFill="1" applyBorder="1" applyProtection="1"/>
    <xf numFmtId="0" fontId="11" fillId="4" borderId="17" xfId="0" applyNumberFormat="1" applyFont="1" applyFill="1" applyBorder="1" applyAlignment="1" applyProtection="1">
      <alignment horizontal="center"/>
    </xf>
    <xf numFmtId="0" fontId="39" fillId="3" borderId="0" xfId="0" applyFont="1" applyFill="1" applyBorder="1" applyAlignment="1" applyProtection="1">
      <alignment horizontal="left"/>
    </xf>
    <xf numFmtId="0" fontId="49" fillId="4" borderId="0" xfId="0" applyFont="1" applyFill="1" applyBorder="1" applyAlignment="1" applyProtection="1">
      <alignment horizontal="left"/>
    </xf>
    <xf numFmtId="2" fontId="43" fillId="4" borderId="0" xfId="0" applyNumberFormat="1" applyFont="1" applyFill="1" applyBorder="1" applyAlignment="1" applyProtection="1">
      <alignment horizontal="center"/>
    </xf>
    <xf numFmtId="0" fontId="40" fillId="4" borderId="0" xfId="0" applyFont="1" applyFill="1" applyBorder="1" applyAlignment="1" applyProtection="1">
      <alignment horizontal="left"/>
    </xf>
    <xf numFmtId="0" fontId="40" fillId="4" borderId="0" xfId="0" applyNumberFormat="1" applyFont="1" applyFill="1" applyBorder="1" applyAlignment="1" applyProtection="1">
      <alignment horizontal="center"/>
    </xf>
    <xf numFmtId="175" fontId="40" fillId="4" borderId="0" xfId="0" applyNumberFormat="1" applyFont="1" applyFill="1" applyBorder="1" applyAlignment="1" applyProtection="1">
      <alignment horizontal="center"/>
    </xf>
    <xf numFmtId="169" fontId="40" fillId="4" borderId="0" xfId="0" applyNumberFormat="1" applyFont="1" applyFill="1" applyBorder="1" applyAlignment="1" applyProtection="1">
      <alignment horizontal="center"/>
    </xf>
    <xf numFmtId="1" fontId="40" fillId="4" borderId="0" xfId="0" applyNumberFormat="1" applyFont="1" applyFill="1" applyBorder="1" applyAlignment="1" applyProtection="1">
      <alignment horizontal="center"/>
    </xf>
    <xf numFmtId="0" fontId="40" fillId="4" borderId="0" xfId="0" applyFont="1" applyFill="1" applyBorder="1" applyAlignment="1" applyProtection="1">
      <alignment horizontal="center"/>
    </xf>
    <xf numFmtId="0" fontId="41" fillId="4" borderId="0" xfId="0" applyFont="1" applyFill="1" applyBorder="1" applyAlignment="1" applyProtection="1">
      <alignment horizontal="left"/>
    </xf>
    <xf numFmtId="1" fontId="40" fillId="4" borderId="0" xfId="0" applyNumberFormat="1" applyFont="1" applyFill="1" applyBorder="1" applyAlignment="1" applyProtection="1">
      <alignment horizontal="left"/>
    </xf>
    <xf numFmtId="0" fontId="11" fillId="3" borderId="11" xfId="0" applyFont="1" applyFill="1" applyBorder="1" applyAlignment="1" applyProtection="1">
      <alignment horizontal="left"/>
      <protection locked="0"/>
    </xf>
    <xf numFmtId="0" fontId="11" fillId="3" borderId="11" xfId="0" applyFont="1" applyFill="1" applyBorder="1" applyAlignment="1" applyProtection="1">
      <alignment horizontal="center"/>
      <protection locked="0"/>
    </xf>
    <xf numFmtId="175" fontId="11" fillId="3" borderId="11" xfId="0" applyNumberFormat="1" applyFont="1" applyFill="1" applyBorder="1" applyAlignment="1" applyProtection="1">
      <alignment horizontal="center"/>
      <protection locked="0"/>
    </xf>
    <xf numFmtId="169" fontId="11" fillId="3" borderId="11" xfId="3" applyNumberFormat="1" applyFont="1" applyFill="1" applyBorder="1" applyAlignment="1" applyProtection="1">
      <alignment horizontal="center"/>
      <protection locked="0"/>
    </xf>
    <xf numFmtId="169" fontId="11" fillId="3" borderId="11" xfId="0" applyNumberFormat="1" applyFont="1" applyFill="1" applyBorder="1" applyAlignment="1" applyProtection="1">
      <alignment horizontal="center"/>
      <protection locked="0"/>
    </xf>
    <xf numFmtId="169" fontId="11" fillId="5" borderId="11" xfId="0" applyNumberFormat="1" applyFont="1" applyFill="1" applyBorder="1" applyAlignment="1" applyProtection="1">
      <alignment horizontal="center"/>
    </xf>
    <xf numFmtId="169" fontId="11" fillId="5" borderId="1" xfId="0" applyNumberFormat="1" applyFont="1" applyFill="1" applyBorder="1" applyAlignment="1" applyProtection="1">
      <alignment horizontal="center"/>
    </xf>
    <xf numFmtId="171" fontId="40" fillId="4" borderId="1" xfId="0" applyNumberFormat="1" applyFont="1" applyFill="1" applyBorder="1" applyAlignment="1" applyProtection="1">
      <alignment horizontal="center"/>
    </xf>
    <xf numFmtId="164" fontId="40" fillId="4" borderId="1" xfId="0" applyNumberFormat="1" applyFont="1" applyFill="1" applyBorder="1" applyAlignment="1" applyProtection="1">
      <alignment horizontal="center"/>
    </xf>
    <xf numFmtId="171" fontId="11" fillId="5" borderId="11" xfId="3" applyNumberFormat="1" applyFont="1" applyFill="1" applyBorder="1" applyAlignment="1" applyProtection="1"/>
    <xf numFmtId="171" fontId="11" fillId="5" borderId="11" xfId="3" applyNumberFormat="1" applyFont="1" applyFill="1" applyBorder="1" applyProtection="1"/>
    <xf numFmtId="171" fontId="11" fillId="5" borderId="1" xfId="3" applyNumberFormat="1" applyFont="1" applyFill="1" applyBorder="1" applyAlignment="1" applyProtection="1"/>
    <xf numFmtId="171" fontId="11" fillId="5" borderId="1" xfId="3" applyNumberFormat="1" applyFont="1" applyFill="1" applyBorder="1" applyProtection="1"/>
    <xf numFmtId="2" fontId="11" fillId="5" borderId="11" xfId="0" applyNumberFormat="1" applyFont="1" applyFill="1" applyBorder="1" applyAlignment="1" applyProtection="1">
      <alignment horizontal="center"/>
    </xf>
    <xf numFmtId="2" fontId="11" fillId="5" borderId="1" xfId="0" applyNumberFormat="1" applyFont="1" applyFill="1" applyBorder="1" applyAlignment="1" applyProtection="1">
      <alignment horizontal="center"/>
    </xf>
    <xf numFmtId="171" fontId="46" fillId="6" borderId="1" xfId="0" applyNumberFormat="1" applyFont="1" applyFill="1" applyBorder="1" applyProtection="1"/>
    <xf numFmtId="2" fontId="46" fillId="6" borderId="1" xfId="0" applyNumberFormat="1" applyFont="1" applyFill="1" applyBorder="1" applyProtection="1"/>
    <xf numFmtId="169" fontId="46" fillId="6" borderId="1" xfId="0" applyNumberFormat="1" applyFont="1" applyFill="1" applyBorder="1" applyAlignment="1" applyProtection="1">
      <alignment horizontal="center"/>
    </xf>
    <xf numFmtId="0" fontId="45" fillId="6" borderId="1" xfId="0" applyNumberFormat="1" applyFont="1" applyFill="1" applyBorder="1" applyAlignment="1" applyProtection="1">
      <alignment horizontal="center"/>
    </xf>
    <xf numFmtId="0" fontId="11" fillId="3" borderId="3" xfId="0" applyFont="1" applyFill="1" applyBorder="1" applyAlignment="1" applyProtection="1"/>
    <xf numFmtId="0" fontId="11" fillId="3" borderId="0" xfId="0" applyFont="1" applyFill="1" applyBorder="1" applyAlignment="1" applyProtection="1"/>
    <xf numFmtId="0" fontId="16" fillId="3" borderId="0" xfId="0" applyFont="1" applyFill="1" applyBorder="1" applyAlignment="1" applyProtection="1"/>
    <xf numFmtId="0" fontId="24" fillId="3" borderId="0" xfId="0" applyFont="1" applyFill="1" applyBorder="1" applyProtection="1"/>
    <xf numFmtId="0" fontId="15" fillId="3" borderId="0" xfId="0" applyFont="1" applyFill="1" applyBorder="1" applyProtection="1"/>
    <xf numFmtId="0" fontId="13" fillId="3" borderId="0" xfId="0" applyFont="1" applyFill="1" applyBorder="1" applyProtection="1"/>
    <xf numFmtId="0" fontId="22" fillId="3" borderId="0" xfId="0" applyFont="1" applyFill="1" applyBorder="1" applyAlignment="1" applyProtection="1">
      <alignment horizontal="center"/>
    </xf>
    <xf numFmtId="0" fontId="11" fillId="3" borderId="7" xfId="0" applyFont="1" applyFill="1" applyBorder="1" applyAlignment="1" applyProtection="1"/>
    <xf numFmtId="164" fontId="11" fillId="3" borderId="7" xfId="0" applyNumberFormat="1" applyFont="1" applyFill="1" applyBorder="1" applyAlignment="1" applyProtection="1"/>
    <xf numFmtId="9" fontId="42" fillId="4" borderId="1" xfId="0" applyNumberFormat="1" applyFont="1" applyFill="1" applyBorder="1" applyAlignment="1" applyProtection="1">
      <alignment horizontal="center"/>
    </xf>
    <xf numFmtId="0" fontId="7" fillId="3" borderId="0" xfId="0" applyFont="1" applyFill="1" applyBorder="1" applyProtection="1"/>
    <xf numFmtId="0" fontId="14" fillId="3" borderId="0" xfId="0" applyFont="1" applyFill="1" applyBorder="1" applyProtection="1"/>
    <xf numFmtId="0" fontId="43" fillId="3" borderId="0" xfId="0" applyFont="1" applyFill="1" applyBorder="1" applyProtection="1"/>
    <xf numFmtId="0" fontId="41" fillId="3" borderId="0" xfId="0" applyFont="1" applyFill="1" applyBorder="1" applyAlignment="1" applyProtection="1"/>
    <xf numFmtId="0" fontId="42" fillId="3" borderId="0" xfId="0" applyFont="1" applyFill="1" applyBorder="1" applyAlignment="1" applyProtection="1">
      <alignment horizontal="center"/>
    </xf>
    <xf numFmtId="0" fontId="23" fillId="3" borderId="5" xfId="0" applyFont="1" applyFill="1" applyBorder="1" applyProtection="1"/>
    <xf numFmtId="0" fontId="12" fillId="3" borderId="0" xfId="0" applyFont="1" applyFill="1" applyBorder="1" applyAlignment="1" applyProtection="1">
      <alignment horizontal="left"/>
    </xf>
    <xf numFmtId="0" fontId="15" fillId="3" borderId="5" xfId="0" applyFont="1" applyFill="1" applyBorder="1" applyProtection="1"/>
    <xf numFmtId="0" fontId="15" fillId="3" borderId="6" xfId="0" applyFont="1" applyFill="1" applyBorder="1" applyProtection="1"/>
    <xf numFmtId="0" fontId="25" fillId="3" borderId="0" xfId="0" applyFont="1" applyFill="1" applyBorder="1" applyAlignment="1" applyProtection="1">
      <alignment horizontal="right"/>
    </xf>
    <xf numFmtId="0" fontId="13" fillId="3" borderId="0" xfId="0" applyFont="1" applyFill="1" applyBorder="1" applyAlignment="1" applyProtection="1">
      <alignment horizontal="right"/>
    </xf>
    <xf numFmtId="165" fontId="15" fillId="3" borderId="0" xfId="3" applyNumberFormat="1" applyFont="1" applyFill="1" applyBorder="1" applyProtection="1"/>
    <xf numFmtId="165" fontId="15" fillId="3" borderId="6" xfId="3" applyNumberFormat="1" applyFont="1" applyFill="1" applyBorder="1" applyProtection="1"/>
    <xf numFmtId="0" fontId="21" fillId="3" borderId="0" xfId="0" applyNumberFormat="1" applyFont="1" applyFill="1" applyBorder="1" applyAlignment="1" applyProtection="1">
      <alignment horizontal="right"/>
    </xf>
    <xf numFmtId="0" fontId="22" fillId="3" borderId="0" xfId="0" applyFont="1" applyFill="1" applyBorder="1" applyAlignment="1" applyProtection="1">
      <alignment horizontal="right"/>
    </xf>
    <xf numFmtId="165" fontId="21" fillId="3" borderId="0" xfId="3" applyNumberFormat="1" applyFont="1" applyFill="1" applyBorder="1" applyProtection="1"/>
    <xf numFmtId="165" fontId="21" fillId="3" borderId="6" xfId="3" applyNumberFormat="1" applyFont="1" applyFill="1" applyBorder="1" applyProtection="1"/>
    <xf numFmtId="0" fontId="12" fillId="3" borderId="5" xfId="0" applyFont="1" applyFill="1" applyBorder="1" applyAlignment="1" applyProtection="1">
      <alignment horizontal="left"/>
    </xf>
    <xf numFmtId="0" fontId="15" fillId="3" borderId="0" xfId="0" applyFont="1" applyFill="1" applyBorder="1" applyAlignment="1" applyProtection="1">
      <alignment horizontal="left"/>
    </xf>
    <xf numFmtId="164" fontId="11" fillId="3" borderId="0" xfId="0" applyNumberFormat="1" applyFont="1" applyFill="1" applyBorder="1" applyAlignment="1" applyProtection="1">
      <alignment horizontal="left"/>
    </xf>
    <xf numFmtId="0" fontId="12" fillId="3" borderId="0" xfId="0" applyFont="1" applyFill="1" applyBorder="1" applyAlignment="1" applyProtection="1">
      <alignment horizontal="right"/>
    </xf>
    <xf numFmtId="164" fontId="12" fillId="3" borderId="0" xfId="0" applyNumberFormat="1" applyFont="1" applyFill="1" applyBorder="1" applyAlignment="1" applyProtection="1">
      <alignment horizontal="left"/>
    </xf>
    <xf numFmtId="0" fontId="12" fillId="3" borderId="7" xfId="0" applyFont="1" applyFill="1" applyBorder="1" applyAlignment="1" applyProtection="1">
      <alignment horizontal="right"/>
    </xf>
    <xf numFmtId="171" fontId="12" fillId="3" borderId="7" xfId="0" applyNumberFormat="1" applyFont="1" applyFill="1" applyBorder="1" applyProtection="1"/>
    <xf numFmtId="0" fontId="27" fillId="3" borderId="5" xfId="0" applyFont="1" applyFill="1" applyBorder="1" applyProtection="1"/>
    <xf numFmtId="0" fontId="25" fillId="3" borderId="0" xfId="0" applyFont="1" applyFill="1" applyBorder="1" applyAlignment="1" applyProtection="1">
      <alignment horizontal="center"/>
    </xf>
    <xf numFmtId="0" fontId="24" fillId="3" borderId="0" xfId="0" applyFont="1" applyFill="1" applyBorder="1" applyAlignment="1" applyProtection="1">
      <alignment horizontal="center"/>
    </xf>
    <xf numFmtId="0" fontId="33" fillId="3" borderId="5" xfId="0" applyFont="1" applyFill="1" applyBorder="1" applyProtection="1"/>
    <xf numFmtId="0" fontId="12" fillId="3" borderId="0" xfId="0" applyFont="1" applyFill="1" applyBorder="1" applyAlignment="1" applyProtection="1">
      <alignment horizontal="center"/>
    </xf>
    <xf numFmtId="0" fontId="24" fillId="3" borderId="5" xfId="0" applyFont="1" applyFill="1" applyBorder="1" applyProtection="1"/>
    <xf numFmtId="0" fontId="21" fillId="3" borderId="0" xfId="0" applyFont="1" applyFill="1" applyBorder="1" applyProtection="1"/>
    <xf numFmtId="0" fontId="11" fillId="3" borderId="6" xfId="0" applyFont="1" applyFill="1" applyBorder="1" applyAlignment="1" applyProtection="1">
      <alignment horizontal="center"/>
    </xf>
    <xf numFmtId="164" fontId="12" fillId="3" borderId="0" xfId="0" applyNumberFormat="1" applyFont="1" applyFill="1" applyBorder="1" applyAlignment="1" applyProtection="1">
      <alignment horizontal="center"/>
    </xf>
    <xf numFmtId="0" fontId="11" fillId="3" borderId="0" xfId="0" applyFont="1" applyFill="1" applyBorder="1" applyAlignment="1" applyProtection="1">
      <alignment horizontal="right"/>
    </xf>
    <xf numFmtId="0" fontId="11" fillId="3" borderId="6" xfId="0" applyFont="1" applyFill="1" applyBorder="1" applyAlignment="1" applyProtection="1">
      <alignment horizontal="right"/>
    </xf>
    <xf numFmtId="9" fontId="11" fillId="3" borderId="6" xfId="2" applyFont="1" applyFill="1" applyBorder="1" applyAlignment="1" applyProtection="1">
      <alignment horizontal="right"/>
    </xf>
    <xf numFmtId="0" fontId="36" fillId="3" borderId="5" xfId="0" applyFont="1" applyFill="1" applyBorder="1" applyProtection="1"/>
    <xf numFmtId="0" fontId="36" fillId="3" borderId="6" xfId="0" applyFont="1" applyFill="1" applyBorder="1" applyAlignment="1" applyProtection="1">
      <alignment horizontal="right"/>
    </xf>
    <xf numFmtId="0" fontId="12" fillId="3" borderId="7" xfId="0" applyFont="1" applyFill="1" applyBorder="1" applyProtection="1"/>
    <xf numFmtId="173" fontId="12" fillId="3" borderId="7" xfId="0" applyNumberFormat="1" applyFont="1" applyFill="1" applyBorder="1" applyAlignment="1" applyProtection="1">
      <alignment horizontal="center"/>
    </xf>
    <xf numFmtId="0" fontId="6" fillId="3" borderId="0" xfId="0" applyFont="1" applyFill="1" applyBorder="1" applyAlignment="1" applyProtection="1">
      <alignment horizontal="right"/>
    </xf>
    <xf numFmtId="0" fontId="6" fillId="3" borderId="0" xfId="0" applyFont="1" applyFill="1" applyBorder="1" applyAlignment="1" applyProtection="1">
      <alignment horizontal="center"/>
    </xf>
    <xf numFmtId="0" fontId="42" fillId="4" borderId="1" xfId="0" applyFont="1" applyFill="1" applyBorder="1" applyAlignment="1" applyProtection="1">
      <alignment horizontal="center"/>
    </xf>
    <xf numFmtId="0" fontId="6" fillId="3" borderId="2" xfId="0" applyFont="1" applyFill="1" applyBorder="1" applyProtection="1"/>
    <xf numFmtId="0" fontId="6" fillId="3" borderId="3" xfId="0" applyFont="1" applyFill="1" applyBorder="1" applyProtection="1"/>
    <xf numFmtId="0" fontId="6" fillId="3" borderId="3" xfId="0" applyFont="1" applyFill="1" applyBorder="1" applyAlignment="1" applyProtection="1">
      <alignment horizontal="center"/>
    </xf>
    <xf numFmtId="0" fontId="6" fillId="3" borderId="4" xfId="0" applyFont="1" applyFill="1" applyBorder="1" applyProtection="1"/>
    <xf numFmtId="0" fontId="6" fillId="3" borderId="5" xfId="0" applyFont="1" applyFill="1" applyBorder="1" applyProtection="1"/>
    <xf numFmtId="0" fontId="6" fillId="3" borderId="0" xfId="0" applyFont="1" applyFill="1" applyBorder="1" applyProtection="1"/>
    <xf numFmtId="164" fontId="6" fillId="3" borderId="0" xfId="0" applyNumberFormat="1" applyFont="1" applyFill="1" applyBorder="1" applyAlignment="1" applyProtection="1">
      <alignment horizontal="center"/>
    </xf>
    <xf numFmtId="0" fontId="6" fillId="3" borderId="6" xfId="0" applyFont="1" applyFill="1" applyBorder="1" applyProtection="1"/>
    <xf numFmtId="0" fontId="7" fillId="3" borderId="5" xfId="0" applyFont="1" applyFill="1" applyBorder="1" applyProtection="1"/>
    <xf numFmtId="0" fontId="54" fillId="4" borderId="0" xfId="0" applyFont="1" applyFill="1" applyBorder="1" applyProtection="1"/>
    <xf numFmtId="0" fontId="6" fillId="3" borderId="7" xfId="0" applyFont="1" applyFill="1" applyBorder="1" applyProtection="1"/>
    <xf numFmtId="0" fontId="6" fillId="3" borderId="7" xfId="0" applyFont="1" applyFill="1" applyBorder="1" applyAlignment="1" applyProtection="1">
      <alignment horizontal="center"/>
    </xf>
    <xf numFmtId="0" fontId="6" fillId="3" borderId="9" xfId="0" applyFont="1" applyFill="1" applyBorder="1" applyProtection="1"/>
    <xf numFmtId="0" fontId="6" fillId="3" borderId="8" xfId="0" applyFont="1" applyFill="1" applyBorder="1" applyProtection="1"/>
    <xf numFmtId="164" fontId="6" fillId="3" borderId="7" xfId="0" applyNumberFormat="1" applyFont="1" applyFill="1" applyBorder="1" applyAlignment="1" applyProtection="1">
      <alignment horizontal="center"/>
    </xf>
    <xf numFmtId="0" fontId="23" fillId="3" borderId="0" xfId="0" applyFont="1" applyFill="1" applyBorder="1" applyAlignment="1" applyProtection="1">
      <alignment horizontal="left"/>
    </xf>
    <xf numFmtId="0" fontId="16"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left"/>
    </xf>
    <xf numFmtId="0" fontId="14" fillId="3" borderId="6" xfId="0" applyFont="1" applyFill="1" applyBorder="1" applyProtection="1"/>
    <xf numFmtId="0" fontId="8" fillId="3" borderId="5" xfId="0" applyFont="1" applyFill="1" applyBorder="1" applyProtection="1"/>
    <xf numFmtId="0" fontId="8" fillId="3" borderId="0" xfId="0" applyFont="1" applyFill="1" applyBorder="1" applyProtection="1"/>
    <xf numFmtId="0" fontId="22" fillId="3" borderId="0" xfId="0" applyFont="1" applyFill="1" applyBorder="1" applyProtection="1"/>
    <xf numFmtId="0" fontId="7" fillId="3" borderId="6" xfId="0" applyFont="1" applyFill="1" applyBorder="1" applyProtection="1"/>
    <xf numFmtId="0" fontId="57" fillId="0" borderId="0"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0" xfId="0" applyFont="1" applyFill="1" applyAlignment="1" applyProtection="1">
      <alignment horizontal="left"/>
    </xf>
    <xf numFmtId="0" fontId="58" fillId="0" borderId="0" xfId="0" applyFont="1" applyAlignment="1" applyProtection="1">
      <alignment horizontal="left"/>
    </xf>
    <xf numFmtId="0" fontId="58" fillId="0" borderId="0" xfId="0" applyFont="1" applyFill="1" applyBorder="1" applyProtection="1"/>
    <xf numFmtId="0" fontId="11" fillId="3" borderId="0" xfId="0" applyFont="1" applyFill="1" applyBorder="1" applyAlignment="1" applyProtection="1">
      <alignment horizontal="left" indent="4"/>
    </xf>
    <xf numFmtId="0" fontId="15" fillId="3" borderId="0" xfId="0" applyFont="1" applyFill="1" applyBorder="1" applyAlignment="1" applyProtection="1">
      <alignment horizontal="center"/>
    </xf>
    <xf numFmtId="0" fontId="33" fillId="3" borderId="0" xfId="0" applyFont="1" applyFill="1" applyBorder="1" applyProtection="1"/>
    <xf numFmtId="0" fontId="15" fillId="3" borderId="0" xfId="0" applyNumberFormat="1" applyFont="1" applyFill="1" applyBorder="1" applyAlignment="1" applyProtection="1">
      <alignment horizontal="center"/>
    </xf>
    <xf numFmtId="0" fontId="39" fillId="3" borderId="0" xfId="0" applyFont="1" applyFill="1" applyBorder="1" applyAlignment="1" applyProtection="1">
      <alignment horizontal="center"/>
    </xf>
    <xf numFmtId="0" fontId="59" fillId="3" borderId="0" xfId="0" applyFont="1" applyFill="1" applyBorder="1" applyProtection="1"/>
    <xf numFmtId="0" fontId="39" fillId="4" borderId="0" xfId="0" applyFont="1" applyFill="1" applyBorder="1" applyProtection="1"/>
    <xf numFmtId="0" fontId="40" fillId="3" borderId="0" xfId="0" applyFont="1" applyFill="1" applyBorder="1" applyAlignment="1" applyProtection="1">
      <alignment horizontal="center"/>
    </xf>
    <xf numFmtId="0" fontId="40" fillId="3" borderId="0" xfId="0" applyFont="1" applyFill="1" applyBorder="1" applyAlignment="1" applyProtection="1">
      <alignment horizontal="left"/>
    </xf>
    <xf numFmtId="0" fontId="40" fillId="3" borderId="0" xfId="0" applyNumberFormat="1" applyFont="1" applyFill="1" applyBorder="1" applyAlignment="1" applyProtection="1">
      <alignment horizontal="center"/>
    </xf>
    <xf numFmtId="1" fontId="40" fillId="3" borderId="0" xfId="0" quotePrefix="1" applyNumberFormat="1" applyFont="1" applyFill="1" applyBorder="1" applyAlignment="1" applyProtection="1">
      <alignment horizontal="center"/>
    </xf>
    <xf numFmtId="1" fontId="40" fillId="3" borderId="0" xfId="0" applyNumberFormat="1" applyFont="1" applyFill="1" applyBorder="1" applyAlignment="1" applyProtection="1">
      <alignment horizontal="center"/>
    </xf>
    <xf numFmtId="0" fontId="54" fillId="4" borderId="0" xfId="0" applyFont="1" applyFill="1" applyProtection="1"/>
    <xf numFmtId="0" fontId="53" fillId="4" borderId="0" xfId="0" applyNumberFormat="1" applyFont="1" applyFill="1" applyBorder="1" applyAlignment="1" applyProtection="1">
      <alignment horizontal="right"/>
    </xf>
    <xf numFmtId="0" fontId="52" fillId="4" borderId="0" xfId="0" applyFont="1" applyFill="1" applyBorder="1" applyAlignment="1" applyProtection="1">
      <alignment horizontal="right"/>
    </xf>
    <xf numFmtId="0" fontId="52" fillId="4" borderId="0" xfId="0" applyFont="1" applyFill="1" applyBorder="1" applyAlignment="1" applyProtection="1">
      <alignment horizontal="center"/>
    </xf>
    <xf numFmtId="49" fontId="52" fillId="4" borderId="0" xfId="0" applyNumberFormat="1" applyFont="1" applyFill="1" applyBorder="1" applyAlignment="1" applyProtection="1">
      <alignment horizontal="center"/>
    </xf>
    <xf numFmtId="0" fontId="56" fillId="4" borderId="0" xfId="0" applyFont="1" applyFill="1" applyBorder="1" applyProtection="1"/>
    <xf numFmtId="0" fontId="54" fillId="4" borderId="0" xfId="0" applyFont="1" applyFill="1" applyBorder="1" applyAlignment="1" applyProtection="1">
      <alignment horizontal="center"/>
    </xf>
    <xf numFmtId="171" fontId="54" fillId="4" borderId="0" xfId="0" applyNumberFormat="1" applyFont="1" applyFill="1" applyBorder="1" applyProtection="1"/>
    <xf numFmtId="0" fontId="54" fillId="4" borderId="0" xfId="0" applyFont="1" applyFill="1" applyBorder="1" applyAlignment="1" applyProtection="1">
      <alignment horizontal="left"/>
    </xf>
    <xf numFmtId="171" fontId="56" fillId="4" borderId="0" xfId="0" applyNumberFormat="1" applyFont="1" applyFill="1" applyBorder="1" applyProtection="1"/>
    <xf numFmtId="0" fontId="56" fillId="4" borderId="0" xfId="0" applyFont="1" applyFill="1" applyBorder="1" applyAlignment="1" applyProtection="1">
      <alignment horizontal="left"/>
    </xf>
    <xf numFmtId="0" fontId="53" fillId="4" borderId="0" xfId="0" applyFont="1" applyFill="1" applyBorder="1" applyAlignment="1" applyProtection="1">
      <alignment horizontal="right"/>
    </xf>
    <xf numFmtId="0" fontId="6" fillId="0" borderId="0" xfId="0" applyFont="1" applyAlignment="1" applyProtection="1">
      <alignment horizontal="left"/>
    </xf>
    <xf numFmtId="0" fontId="7" fillId="0" borderId="0" xfId="0" applyFont="1" applyFill="1" applyBorder="1" applyProtection="1"/>
    <xf numFmtId="169" fontId="6" fillId="0" borderId="0" xfId="0" applyNumberFormat="1" applyFont="1" applyFill="1" applyBorder="1" applyAlignment="1" applyProtection="1">
      <alignment horizontal="left"/>
    </xf>
    <xf numFmtId="0" fontId="7" fillId="0" borderId="0" xfId="0" quotePrefix="1" applyFont="1" applyFill="1" applyBorder="1" applyAlignment="1" applyProtection="1">
      <alignment horizontal="left"/>
    </xf>
    <xf numFmtId="0" fontId="6" fillId="0" borderId="0" xfId="0" quotePrefix="1" applyFont="1" applyFill="1" applyBorder="1" applyAlignment="1" applyProtection="1">
      <alignment horizontal="left"/>
    </xf>
    <xf numFmtId="170" fontId="6" fillId="0" borderId="0" xfId="0" applyNumberFormat="1" applyFont="1" applyFill="1" applyBorder="1" applyAlignment="1" applyProtection="1">
      <alignment horizontal="left"/>
    </xf>
    <xf numFmtId="0" fontId="6" fillId="0" borderId="0" xfId="0" applyFont="1" applyFill="1" applyBorder="1" applyProtection="1"/>
    <xf numFmtId="49" fontId="13" fillId="0" borderId="0" xfId="0" applyNumberFormat="1" applyFont="1" applyFill="1" applyBorder="1" applyAlignment="1" applyProtection="1">
      <alignment horizontal="left"/>
    </xf>
    <xf numFmtId="165" fontId="6" fillId="0" borderId="0" xfId="0" applyNumberFormat="1" applyFont="1" applyFill="1" applyBorder="1" applyAlignment="1" applyProtection="1">
      <alignment horizontal="left"/>
    </xf>
    <xf numFmtId="165" fontId="13" fillId="0" borderId="0" xfId="0" applyNumberFormat="1" applyFont="1" applyFill="1" applyBorder="1" applyAlignment="1" applyProtection="1">
      <alignment horizontal="left"/>
    </xf>
    <xf numFmtId="165" fontId="6" fillId="2" borderId="0" xfId="0" applyNumberFormat="1" applyFont="1" applyFill="1" applyBorder="1" applyAlignment="1" applyProtection="1">
      <alignment horizontal="left"/>
      <protection locked="0"/>
    </xf>
    <xf numFmtId="4" fontId="6" fillId="2" borderId="0" xfId="0" applyNumberFormat="1" applyFont="1" applyFill="1" applyBorder="1" applyAlignment="1" applyProtection="1">
      <alignment horizontal="left"/>
      <protection locked="0"/>
    </xf>
    <xf numFmtId="4" fontId="6" fillId="0" borderId="0" xfId="0" applyNumberFormat="1" applyFont="1" applyFill="1" applyBorder="1" applyAlignment="1" applyProtection="1">
      <alignment horizontal="left"/>
    </xf>
    <xf numFmtId="167" fontId="6" fillId="0" borderId="0" xfId="0" applyNumberFormat="1" applyFont="1" applyFill="1" applyBorder="1" applyAlignment="1" applyProtection="1">
      <alignment horizontal="left"/>
    </xf>
    <xf numFmtId="0" fontId="7" fillId="0" borderId="0" xfId="0" applyFont="1" applyFill="1" applyBorder="1" applyAlignment="1" applyProtection="1">
      <alignment horizontal="center"/>
    </xf>
    <xf numFmtId="171" fontId="42" fillId="4" borderId="1" xfId="0" applyNumberFormat="1" applyFont="1" applyFill="1" applyBorder="1" applyAlignment="1" applyProtection="1">
      <alignment horizontal="center"/>
    </xf>
    <xf numFmtId="2" fontId="40" fillId="4" borderId="1" xfId="0" applyNumberFormat="1" applyFont="1" applyFill="1" applyBorder="1" applyAlignment="1" applyProtection="1">
      <alignment horizontal="center"/>
    </xf>
    <xf numFmtId="171" fontId="7" fillId="4" borderId="0" xfId="0" applyNumberFormat="1" applyFont="1" applyFill="1" applyBorder="1" applyProtection="1"/>
    <xf numFmtId="171" fontId="7" fillId="3" borderId="3" xfId="0" applyNumberFormat="1" applyFont="1" applyFill="1" applyBorder="1" applyProtection="1"/>
    <xf numFmtId="171" fontId="7" fillId="3" borderId="0" xfId="0" applyNumberFormat="1" applyFont="1" applyFill="1" applyBorder="1" applyProtection="1"/>
    <xf numFmtId="171" fontId="27" fillId="3" borderId="0" xfId="0" applyNumberFormat="1" applyFont="1" applyFill="1" applyBorder="1" applyProtection="1"/>
    <xf numFmtId="171" fontId="10" fillId="3" borderId="0" xfId="0" applyNumberFormat="1" applyFont="1" applyFill="1" applyBorder="1" applyProtection="1"/>
    <xf numFmtId="171" fontId="7" fillId="4" borderId="0" xfId="0" applyNumberFormat="1" applyFont="1" applyFill="1" applyBorder="1" applyAlignment="1" applyProtection="1">
      <alignment horizontal="center"/>
    </xf>
    <xf numFmtId="171" fontId="7" fillId="5" borderId="11" xfId="3" applyNumberFormat="1" applyFont="1" applyFill="1" applyBorder="1" applyAlignment="1" applyProtection="1">
      <alignment horizontal="left"/>
    </xf>
    <xf numFmtId="171" fontId="7" fillId="5" borderId="1" xfId="3" applyNumberFormat="1" applyFont="1" applyFill="1" applyBorder="1" applyAlignment="1" applyProtection="1">
      <alignment horizontal="left"/>
    </xf>
    <xf numFmtId="171" fontId="7" fillId="4" borderId="16" xfId="0" applyNumberFormat="1" applyFont="1" applyFill="1" applyBorder="1" applyProtection="1"/>
    <xf numFmtId="171" fontId="7" fillId="3" borderId="0" xfId="3" applyNumberFormat="1" applyFont="1" applyFill="1" applyBorder="1" applyAlignment="1" applyProtection="1">
      <alignment horizontal="left"/>
    </xf>
    <xf numFmtId="171" fontId="7" fillId="3" borderId="7" xfId="3" applyNumberFormat="1" applyFont="1" applyFill="1" applyBorder="1" applyAlignment="1" applyProtection="1">
      <alignment horizontal="left"/>
    </xf>
    <xf numFmtId="171" fontId="7" fillId="4" borderId="0" xfId="3" applyNumberFormat="1" applyFont="1" applyFill="1" applyBorder="1" applyAlignment="1" applyProtection="1">
      <alignment horizontal="left"/>
    </xf>
    <xf numFmtId="164" fontId="15" fillId="4" borderId="0" xfId="0" applyNumberFormat="1" applyFont="1" applyFill="1" applyBorder="1" applyProtection="1"/>
    <xf numFmtId="164" fontId="15" fillId="3" borderId="3" xfId="0" applyNumberFormat="1" applyFont="1" applyFill="1" applyBorder="1" applyProtection="1"/>
    <xf numFmtId="164" fontId="15" fillId="3" borderId="0" xfId="0" applyNumberFormat="1" applyFont="1" applyFill="1" applyBorder="1" applyProtection="1"/>
    <xf numFmtId="164" fontId="60" fillId="3" borderId="0" xfId="0" applyNumberFormat="1" applyFont="1" applyFill="1" applyBorder="1" applyProtection="1"/>
    <xf numFmtId="0" fontId="42" fillId="4" borderId="0" xfId="0" applyFont="1" applyFill="1" applyBorder="1" applyAlignment="1" applyProtection="1">
      <alignment horizontal="center"/>
    </xf>
    <xf numFmtId="164" fontId="15" fillId="5" borderId="11" xfId="0" applyNumberFormat="1" applyFont="1" applyFill="1" applyBorder="1" applyAlignment="1" applyProtection="1">
      <alignment horizontal="center"/>
    </xf>
    <xf numFmtId="164" fontId="15" fillId="5" borderId="1" xfId="0" applyNumberFormat="1" applyFont="1" applyFill="1" applyBorder="1" applyAlignment="1" applyProtection="1">
      <alignment horizontal="center"/>
    </xf>
    <xf numFmtId="164" fontId="44" fillId="6" borderId="1" xfId="0" applyNumberFormat="1" applyFont="1" applyFill="1" applyBorder="1" applyProtection="1"/>
    <xf numFmtId="164" fontId="13" fillId="4" borderId="16" xfId="0" applyNumberFormat="1" applyFont="1" applyFill="1" applyBorder="1" applyProtection="1"/>
    <xf numFmtId="164" fontId="15" fillId="3" borderId="0" xfId="0" applyNumberFormat="1" applyFont="1" applyFill="1" applyBorder="1" applyAlignment="1" applyProtection="1">
      <alignment horizontal="center"/>
    </xf>
    <xf numFmtId="164" fontId="15" fillId="3" borderId="7" xfId="0" applyNumberFormat="1" applyFont="1" applyFill="1" applyBorder="1" applyAlignment="1" applyProtection="1">
      <alignment horizontal="center"/>
    </xf>
    <xf numFmtId="164" fontId="13" fillId="4" borderId="0" xfId="0" applyNumberFormat="1" applyFont="1" applyFill="1" applyBorder="1" applyAlignment="1" applyProtection="1">
      <alignment horizontal="center"/>
    </xf>
    <xf numFmtId="164" fontId="13" fillId="4" borderId="0" xfId="0" applyNumberFormat="1" applyFont="1" applyFill="1" applyBorder="1" applyProtection="1"/>
    <xf numFmtId="174" fontId="42" fillId="4" borderId="1" xfId="0" applyNumberFormat="1" applyFont="1" applyFill="1" applyBorder="1" applyAlignment="1" applyProtection="1">
      <alignment horizontal="center"/>
    </xf>
    <xf numFmtId="174" fontId="11" fillId="3" borderId="11" xfId="2" applyNumberFormat="1" applyFont="1" applyFill="1" applyBorder="1" applyAlignment="1" applyProtection="1">
      <alignment horizontal="center"/>
    </xf>
    <xf numFmtId="174" fontId="11" fillId="4" borderId="0" xfId="0" applyNumberFormat="1" applyFont="1" applyFill="1" applyBorder="1" applyAlignment="1" applyProtection="1">
      <alignment horizontal="center"/>
    </xf>
    <xf numFmtId="164" fontId="54" fillId="4" borderId="0" xfId="0" applyNumberFormat="1" applyFont="1" applyFill="1" applyBorder="1" applyAlignment="1" applyProtection="1">
      <alignment horizontal="center"/>
    </xf>
    <xf numFmtId="0" fontId="37" fillId="0" borderId="0" xfId="0" applyFont="1" applyFill="1" applyBorder="1" applyAlignment="1" applyProtection="1">
      <alignment horizontal="left"/>
    </xf>
    <xf numFmtId="1" fontId="15" fillId="2" borderId="0" xfId="0" applyNumberFormat="1" applyFont="1" applyFill="1" applyBorder="1" applyAlignment="1" applyProtection="1">
      <alignment horizontal="right"/>
      <protection locked="0"/>
    </xf>
    <xf numFmtId="1" fontId="11" fillId="0" borderId="0" xfId="0" applyNumberFormat="1" applyFont="1" applyFill="1" applyBorder="1" applyAlignment="1" applyProtection="1">
      <alignment horizontal="left"/>
    </xf>
    <xf numFmtId="1" fontId="11" fillId="2" borderId="0" xfId="0" applyNumberFormat="1" applyFont="1" applyFill="1" applyBorder="1" applyAlignment="1" applyProtection="1">
      <alignment horizontal="left"/>
      <protection locked="0"/>
    </xf>
    <xf numFmtId="1" fontId="11" fillId="0" borderId="0" xfId="0" applyNumberFormat="1" applyFont="1" applyAlignment="1" applyProtection="1">
      <alignment horizontal="left"/>
    </xf>
    <xf numFmtId="49" fontId="62" fillId="4" borderId="0" xfId="0" applyNumberFormat="1" applyFont="1" applyFill="1" applyBorder="1" applyAlignment="1" applyProtection="1">
      <alignment horizontal="center"/>
    </xf>
    <xf numFmtId="171" fontId="63" fillId="4" borderId="0" xfId="0" applyNumberFormat="1" applyFont="1" applyFill="1" applyBorder="1" applyProtection="1"/>
    <xf numFmtId="171" fontId="64" fillId="4" borderId="0" xfId="0" applyNumberFormat="1" applyFont="1" applyFill="1" applyBorder="1" applyProtection="1"/>
    <xf numFmtId="49" fontId="44" fillId="3" borderId="0" xfId="0" applyNumberFormat="1" applyFont="1" applyFill="1" applyBorder="1" applyAlignment="1" applyProtection="1">
      <alignment horizontal="center"/>
    </xf>
    <xf numFmtId="16" fontId="13" fillId="3" borderId="0" xfId="0" applyNumberFormat="1" applyFont="1" applyFill="1" applyBorder="1" applyAlignment="1" applyProtection="1">
      <alignment horizontal="center"/>
    </xf>
    <xf numFmtId="49" fontId="25" fillId="3" borderId="0" xfId="0" applyNumberFormat="1" applyFont="1" applyFill="1" applyBorder="1" applyAlignment="1" applyProtection="1">
      <alignment horizontal="center"/>
    </xf>
    <xf numFmtId="49" fontId="11" fillId="3" borderId="0" xfId="0" applyNumberFormat="1" applyFont="1" applyFill="1" applyBorder="1" applyAlignment="1" applyProtection="1">
      <alignment horizontal="center"/>
    </xf>
    <xf numFmtId="49" fontId="15" fillId="3" borderId="0" xfId="0" applyNumberFormat="1" applyFont="1" applyFill="1" applyBorder="1" applyAlignment="1" applyProtection="1">
      <alignment horizontal="center"/>
    </xf>
    <xf numFmtId="49" fontId="6" fillId="3" borderId="0" xfId="0" applyNumberFormat="1" applyFont="1" applyFill="1" applyBorder="1" applyAlignment="1" applyProtection="1">
      <alignment horizontal="center"/>
    </xf>
    <xf numFmtId="0" fontId="11" fillId="7" borderId="2" xfId="0" applyFont="1" applyFill="1" applyBorder="1" applyProtection="1"/>
    <xf numFmtId="0" fontId="11" fillId="7" borderId="3" xfId="0" applyFont="1" applyFill="1" applyBorder="1" applyProtection="1"/>
    <xf numFmtId="0" fontId="11" fillId="7" borderId="4" xfId="0" applyFont="1" applyFill="1" applyBorder="1" applyProtection="1"/>
    <xf numFmtId="0" fontId="11" fillId="7" borderId="5" xfId="0" applyFont="1" applyFill="1" applyBorder="1" applyProtection="1"/>
    <xf numFmtId="0" fontId="11" fillId="7" borderId="0" xfId="0" applyFont="1" applyFill="1" applyBorder="1" applyProtection="1"/>
    <xf numFmtId="0" fontId="11" fillId="7" borderId="6" xfId="0" applyFont="1" applyFill="1" applyBorder="1" applyProtection="1"/>
    <xf numFmtId="0" fontId="26" fillId="7" borderId="5" xfId="0" applyFont="1" applyFill="1" applyBorder="1" applyProtection="1"/>
    <xf numFmtId="0" fontId="26" fillId="7" borderId="0" xfId="0" applyFont="1" applyFill="1" applyBorder="1" applyProtection="1"/>
    <xf numFmtId="0" fontId="26" fillId="7" borderId="6" xfId="0" applyFont="1" applyFill="1" applyBorder="1" applyProtection="1"/>
    <xf numFmtId="0" fontId="16" fillId="7" borderId="5" xfId="0" applyFont="1" applyFill="1" applyBorder="1" applyProtection="1"/>
    <xf numFmtId="49" fontId="16" fillId="7" borderId="0" xfId="0" applyNumberFormat="1" applyFont="1" applyFill="1" applyBorder="1" applyProtection="1"/>
    <xf numFmtId="0" fontId="16" fillId="7" borderId="0" xfId="0" applyFont="1" applyFill="1" applyBorder="1" applyProtection="1"/>
    <xf numFmtId="0" fontId="16" fillId="7" borderId="6" xfId="0" applyFont="1" applyFill="1" applyBorder="1" applyProtection="1"/>
    <xf numFmtId="0" fontId="10" fillId="7" borderId="0" xfId="0" applyFont="1" applyFill="1" applyBorder="1" applyProtection="1"/>
    <xf numFmtId="0" fontId="12" fillId="7" borderId="0" xfId="0" applyFont="1" applyFill="1" applyBorder="1" applyProtection="1"/>
    <xf numFmtId="0" fontId="15" fillId="7" borderId="0" xfId="0" applyFont="1" applyFill="1" applyBorder="1" applyProtection="1"/>
    <xf numFmtId="0" fontId="11" fillId="7" borderId="6" xfId="0" applyFont="1" applyFill="1" applyBorder="1"/>
    <xf numFmtId="0" fontId="11" fillId="7" borderId="0" xfId="0" applyFont="1" applyFill="1" applyBorder="1" applyAlignment="1" applyProtection="1">
      <alignment horizontal="center"/>
    </xf>
    <xf numFmtId="0" fontId="11" fillId="7" borderId="8" xfId="0" applyFont="1" applyFill="1" applyBorder="1"/>
    <xf numFmtId="0" fontId="11" fillId="7" borderId="7" xfId="0" applyFont="1" applyFill="1" applyBorder="1"/>
    <xf numFmtId="0" fontId="38" fillId="7" borderId="7" xfId="0" applyFont="1" applyFill="1" applyBorder="1" applyAlignment="1" applyProtection="1">
      <alignment horizontal="right"/>
    </xf>
    <xf numFmtId="0" fontId="11" fillId="7" borderId="9" xfId="0" applyFont="1" applyFill="1" applyBorder="1"/>
    <xf numFmtId="0" fontId="15" fillId="8" borderId="0" xfId="0" applyFont="1" applyFill="1" applyBorder="1" applyProtection="1"/>
    <xf numFmtId="0" fontId="12" fillId="8" borderId="18" xfId="0" applyFont="1" applyFill="1" applyBorder="1" applyProtection="1"/>
    <xf numFmtId="0" fontId="11" fillId="8" borderId="19" xfId="0" applyFont="1" applyFill="1" applyBorder="1" applyProtection="1"/>
    <xf numFmtId="0" fontId="11" fillId="8" borderId="20" xfId="0" applyFont="1" applyFill="1" applyBorder="1" applyProtection="1"/>
    <xf numFmtId="0" fontId="11" fillId="8" borderId="21" xfId="0" applyFont="1" applyFill="1" applyBorder="1" applyProtection="1"/>
    <xf numFmtId="0" fontId="11" fillId="8" borderId="22" xfId="0" applyFont="1" applyFill="1" applyBorder="1" applyProtection="1"/>
    <xf numFmtId="0" fontId="15" fillId="8" borderId="22" xfId="0" applyFont="1" applyFill="1" applyBorder="1" applyProtection="1"/>
    <xf numFmtId="0" fontId="11" fillId="8" borderId="23" xfId="0" applyFont="1" applyFill="1" applyBorder="1" applyProtection="1"/>
    <xf numFmtId="0" fontId="12" fillId="8" borderId="22" xfId="0" applyFont="1" applyFill="1" applyBorder="1" applyProtection="1"/>
    <xf numFmtId="0" fontId="11" fillId="8" borderId="23" xfId="0" applyFont="1" applyFill="1" applyBorder="1"/>
    <xf numFmtId="0" fontId="11" fillId="8" borderId="22" xfId="0" applyFont="1" applyFill="1" applyBorder="1"/>
    <xf numFmtId="0" fontId="11" fillId="8" borderId="22" xfId="0" applyFont="1" applyFill="1" applyBorder="1" applyAlignment="1">
      <alignment horizontal="center"/>
    </xf>
    <xf numFmtId="0" fontId="11" fillId="8" borderId="24" xfId="0" applyFont="1" applyFill="1" applyBorder="1" applyProtection="1"/>
    <xf numFmtId="0" fontId="11" fillId="8" borderId="25" xfId="0" applyFont="1" applyFill="1" applyBorder="1" applyProtection="1"/>
    <xf numFmtId="0" fontId="11" fillId="8" borderId="25" xfId="0" applyFont="1" applyFill="1" applyBorder="1" applyAlignment="1" applyProtection="1">
      <alignment horizontal="center"/>
    </xf>
    <xf numFmtId="0" fontId="11" fillId="8" borderId="26" xfId="0" applyFont="1" applyFill="1" applyBorder="1" applyProtection="1"/>
    <xf numFmtId="0" fontId="14" fillId="7" borderId="0" xfId="0" applyFont="1" applyFill="1" applyBorder="1" applyProtection="1"/>
    <xf numFmtId="0" fontId="65" fillId="8" borderId="22" xfId="0" applyFont="1" applyFill="1" applyBorder="1" applyProtection="1"/>
    <xf numFmtId="0" fontId="66" fillId="7" borderId="0" xfId="0" applyFont="1" applyFill="1" applyBorder="1" applyProtection="1"/>
    <xf numFmtId="0" fontId="12" fillId="8" borderId="25" xfId="0" applyFont="1" applyFill="1" applyBorder="1" applyProtection="1"/>
    <xf numFmtId="0" fontId="11" fillId="8" borderId="18" xfId="0" applyFont="1" applyFill="1" applyBorder="1" applyProtection="1"/>
    <xf numFmtId="0" fontId="12" fillId="8" borderId="19" xfId="0" applyFont="1" applyFill="1" applyBorder="1" applyProtection="1"/>
    <xf numFmtId="0" fontId="11" fillId="7" borderId="22" xfId="0" applyNumberFormat="1" applyFont="1" applyFill="1" applyBorder="1" applyAlignment="1" applyProtection="1">
      <alignment horizontal="center"/>
      <protection locked="0"/>
    </xf>
    <xf numFmtId="0" fontId="11" fillId="7" borderId="22" xfId="0" applyFont="1" applyFill="1" applyBorder="1" applyAlignment="1" applyProtection="1">
      <alignment horizontal="center"/>
      <protection locked="0"/>
    </xf>
    <xf numFmtId="169" fontId="11" fillId="7" borderId="22" xfId="0" applyNumberFormat="1" applyFont="1" applyFill="1" applyBorder="1" applyAlignment="1" applyProtection="1">
      <alignment horizontal="center"/>
      <protection locked="0"/>
    </xf>
    <xf numFmtId="174" fontId="11" fillId="7" borderId="22" xfId="0" applyNumberFormat="1" applyFont="1" applyFill="1" applyBorder="1" applyAlignment="1" applyProtection="1">
      <alignment horizontal="center"/>
      <protection locked="0"/>
    </xf>
    <xf numFmtId="165" fontId="11" fillId="9" borderId="22" xfId="0" applyNumberFormat="1" applyFont="1" applyFill="1" applyBorder="1" applyAlignment="1" applyProtection="1">
      <alignment horizontal="center"/>
      <protection locked="0"/>
    </xf>
    <xf numFmtId="165" fontId="11" fillId="9" borderId="22" xfId="0" applyNumberFormat="1" applyFont="1" applyFill="1" applyBorder="1" applyAlignment="1" applyProtection="1">
      <alignment horizontal="center"/>
    </xf>
    <xf numFmtId="165" fontId="68" fillId="10" borderId="22" xfId="0" applyNumberFormat="1" applyFont="1" applyFill="1" applyBorder="1" applyAlignment="1" applyProtection="1">
      <alignment horizontal="center"/>
    </xf>
    <xf numFmtId="0" fontId="11" fillId="7" borderId="22" xfId="0" applyFont="1" applyFill="1" applyBorder="1" applyAlignment="1" applyProtection="1">
      <alignment horizontal="left"/>
      <protection locked="0"/>
    </xf>
    <xf numFmtId="169" fontId="30" fillId="7" borderId="22" xfId="0" applyNumberFormat="1" applyFont="1" applyFill="1" applyBorder="1" applyAlignment="1" applyProtection="1">
      <alignment horizontal="center"/>
      <protection locked="0"/>
    </xf>
    <xf numFmtId="164" fontId="69" fillId="10" borderId="22" xfId="0" applyNumberFormat="1" applyFont="1" applyFill="1" applyBorder="1" applyAlignment="1" applyProtection="1">
      <alignment horizontal="center"/>
    </xf>
    <xf numFmtId="49" fontId="71" fillId="3" borderId="0" xfId="0" applyNumberFormat="1" applyFont="1" applyFill="1" applyBorder="1" applyAlignment="1" applyProtection="1">
      <alignment horizontal="center"/>
    </xf>
    <xf numFmtId="49" fontId="72" fillId="3" borderId="0" xfId="0" applyNumberFormat="1" applyFont="1" applyFill="1" applyBorder="1" applyAlignment="1" applyProtection="1">
      <alignment horizontal="center"/>
    </xf>
    <xf numFmtId="14" fontId="42" fillId="3" borderId="0" xfId="0" applyNumberFormat="1" applyFont="1" applyFill="1" applyBorder="1" applyAlignment="1" applyProtection="1">
      <alignment horizontal="center"/>
    </xf>
    <xf numFmtId="0" fontId="71" fillId="3" borderId="0" xfId="0" applyFont="1" applyFill="1" applyBorder="1" applyProtection="1"/>
    <xf numFmtId="164" fontId="71" fillId="3" borderId="0" xfId="0" applyNumberFormat="1" applyFont="1" applyFill="1" applyBorder="1" applyProtection="1"/>
    <xf numFmtId="0" fontId="6" fillId="8" borderId="0" xfId="0" applyFont="1" applyFill="1" applyBorder="1" applyProtection="1"/>
    <xf numFmtId="0" fontId="6" fillId="8" borderId="0" xfId="0" applyFont="1" applyFill="1" applyBorder="1" applyAlignment="1" applyProtection="1">
      <alignment horizontal="left"/>
    </xf>
    <xf numFmtId="0" fontId="6" fillId="8" borderId="0" xfId="0" applyFont="1" applyFill="1" applyBorder="1" applyAlignment="1" applyProtection="1"/>
    <xf numFmtId="0" fontId="6" fillId="8" borderId="0" xfId="0" applyFont="1" applyFill="1" applyBorder="1" applyAlignment="1" applyProtection="1">
      <alignment horizontal="center"/>
    </xf>
    <xf numFmtId="0" fontId="7" fillId="8" borderId="0" xfId="0" applyFont="1" applyFill="1" applyBorder="1" applyProtection="1"/>
    <xf numFmtId="0" fontId="14" fillId="8" borderId="0" xfId="0" applyFont="1" applyFill="1" applyBorder="1" applyProtection="1"/>
    <xf numFmtId="0" fontId="7" fillId="8" borderId="0" xfId="0" applyFont="1" applyFill="1" applyBorder="1" applyAlignment="1" applyProtection="1">
      <alignment horizontal="left"/>
    </xf>
    <xf numFmtId="0" fontId="7" fillId="8" borderId="0" xfId="0" applyFont="1" applyFill="1" applyBorder="1" applyAlignment="1" applyProtection="1"/>
    <xf numFmtId="0" fontId="7" fillId="8" borderId="0" xfId="0" applyFont="1" applyFill="1" applyBorder="1" applyAlignment="1" applyProtection="1">
      <alignment horizontal="center"/>
    </xf>
    <xf numFmtId="0" fontId="13" fillId="8" borderId="0" xfId="0" applyFont="1" applyFill="1" applyBorder="1" applyAlignment="1" applyProtection="1">
      <alignment horizontal="center"/>
    </xf>
    <xf numFmtId="0" fontId="13" fillId="8" borderId="0" xfId="0" applyFont="1" applyFill="1" applyBorder="1" applyProtection="1"/>
    <xf numFmtId="0" fontId="6" fillId="7" borderId="0" xfId="0" applyFont="1" applyFill="1" applyBorder="1" applyProtection="1"/>
    <xf numFmtId="0" fontId="6" fillId="7" borderId="0" xfId="0" applyFont="1" applyFill="1" applyBorder="1" applyAlignment="1" applyProtection="1">
      <alignment horizontal="left"/>
    </xf>
    <xf numFmtId="0" fontId="6" fillId="7" borderId="0" xfId="0" applyFont="1" applyFill="1" applyBorder="1" applyAlignment="1" applyProtection="1"/>
    <xf numFmtId="0" fontId="6" fillId="7" borderId="0" xfId="0" applyFont="1" applyFill="1" applyBorder="1" applyAlignment="1" applyProtection="1">
      <alignment horizontal="center"/>
    </xf>
    <xf numFmtId="0" fontId="7" fillId="7" borderId="0" xfId="0" applyFont="1" applyFill="1" applyBorder="1" applyProtection="1"/>
    <xf numFmtId="0" fontId="14" fillId="7" borderId="0" xfId="0" applyFont="1" applyFill="1" applyBorder="1" applyAlignment="1" applyProtection="1">
      <alignment horizontal="left"/>
    </xf>
    <xf numFmtId="0" fontId="14" fillId="7" borderId="0" xfId="0" applyFont="1" applyFill="1" applyBorder="1" applyAlignment="1" applyProtection="1"/>
    <xf numFmtId="0" fontId="14" fillId="7" borderId="0" xfId="0" applyFont="1" applyFill="1" applyBorder="1" applyAlignment="1" applyProtection="1">
      <alignment horizontal="center"/>
    </xf>
    <xf numFmtId="0" fontId="15" fillId="7" borderId="0" xfId="0" applyFont="1" applyFill="1" applyBorder="1" applyAlignment="1" applyProtection="1">
      <alignment horizontal="left"/>
    </xf>
    <xf numFmtId="0" fontId="7" fillId="7" borderId="0" xfId="0" applyFont="1" applyFill="1" applyBorder="1" applyAlignment="1" applyProtection="1">
      <alignment horizontal="left"/>
    </xf>
    <xf numFmtId="0" fontId="7" fillId="7" borderId="0" xfId="0" applyFont="1" applyFill="1" applyBorder="1" applyAlignment="1" applyProtection="1"/>
    <xf numFmtId="0" fontId="7" fillId="7" borderId="0" xfId="0" applyFont="1" applyFill="1" applyBorder="1" applyAlignment="1" applyProtection="1">
      <alignment horizontal="center"/>
    </xf>
    <xf numFmtId="0" fontId="13" fillId="7" borderId="0" xfId="0" applyFont="1" applyFill="1" applyBorder="1" applyAlignment="1" applyProtection="1">
      <alignment horizontal="left"/>
    </xf>
    <xf numFmtId="0" fontId="13" fillId="7" borderId="0" xfId="0" applyFont="1" applyFill="1" applyBorder="1" applyAlignment="1" applyProtection="1">
      <alignment horizontal="center"/>
    </xf>
    <xf numFmtId="0" fontId="6" fillId="7" borderId="2" xfId="0" applyFont="1" applyFill="1" applyBorder="1" applyProtection="1"/>
    <xf numFmtId="0" fontId="6" fillId="7" borderId="3" xfId="0" applyFont="1" applyFill="1" applyBorder="1" applyProtection="1"/>
    <xf numFmtId="0" fontId="6" fillId="7" borderId="3" xfId="0" applyFont="1" applyFill="1" applyBorder="1" applyAlignment="1" applyProtection="1">
      <alignment horizontal="left"/>
    </xf>
    <xf numFmtId="0" fontId="6" fillId="7" borderId="3" xfId="0" applyFont="1" applyFill="1" applyBorder="1" applyAlignment="1" applyProtection="1"/>
    <xf numFmtId="0" fontId="6" fillId="7" borderId="3" xfId="0" applyFont="1" applyFill="1" applyBorder="1" applyAlignment="1" applyProtection="1">
      <alignment horizontal="center"/>
    </xf>
    <xf numFmtId="0" fontId="7" fillId="7" borderId="3" xfId="0" applyFont="1" applyFill="1" applyBorder="1" applyProtection="1"/>
    <xf numFmtId="0" fontId="6" fillId="7" borderId="4" xfId="0" applyFont="1" applyFill="1" applyBorder="1" applyProtection="1"/>
    <xf numFmtId="0" fontId="6" fillId="7" borderId="5" xfId="0" applyFont="1" applyFill="1" applyBorder="1" applyProtection="1"/>
    <xf numFmtId="0" fontId="6" fillId="7" borderId="6" xfId="0" applyFont="1" applyFill="1" applyBorder="1" applyProtection="1"/>
    <xf numFmtId="0" fontId="14" fillId="7" borderId="5" xfId="0" applyFont="1" applyFill="1" applyBorder="1" applyProtection="1"/>
    <xf numFmtId="0" fontId="14" fillId="7" borderId="6" xfId="0" applyFont="1" applyFill="1" applyBorder="1" applyProtection="1"/>
    <xf numFmtId="0" fontId="7" fillId="7" borderId="5" xfId="0" applyFont="1" applyFill="1" applyBorder="1" applyProtection="1"/>
    <xf numFmtId="0" fontId="7" fillId="7" borderId="6" xfId="0" applyFont="1" applyFill="1" applyBorder="1" applyProtection="1"/>
    <xf numFmtId="0" fontId="15" fillId="7" borderId="5" xfId="0" applyFont="1" applyFill="1" applyBorder="1" applyProtection="1"/>
    <xf numFmtId="0" fontId="15" fillId="7" borderId="6" xfId="0" applyFont="1" applyFill="1" applyBorder="1" applyProtection="1"/>
    <xf numFmtId="0" fontId="13" fillId="7" borderId="5" xfId="0" applyFont="1" applyFill="1" applyBorder="1" applyAlignment="1" applyProtection="1">
      <alignment horizontal="center"/>
    </xf>
    <xf numFmtId="0" fontId="13" fillId="7" borderId="6" xfId="0" applyFont="1" applyFill="1" applyBorder="1" applyAlignment="1" applyProtection="1">
      <alignment horizontal="center"/>
    </xf>
    <xf numFmtId="0" fontId="6" fillId="7" borderId="5" xfId="0" applyFont="1" applyFill="1" applyBorder="1" applyAlignment="1" applyProtection="1">
      <alignment horizontal="center"/>
    </xf>
    <xf numFmtId="0" fontId="6" fillId="7" borderId="6" xfId="0" applyFont="1" applyFill="1" applyBorder="1" applyAlignment="1" applyProtection="1">
      <alignment horizontal="center"/>
    </xf>
    <xf numFmtId="0" fontId="13" fillId="7" borderId="5" xfId="0" applyFont="1" applyFill="1" applyBorder="1" applyProtection="1"/>
    <xf numFmtId="0" fontId="13" fillId="7" borderId="6" xfId="0" applyFont="1" applyFill="1" applyBorder="1" applyProtection="1"/>
    <xf numFmtId="0" fontId="6" fillId="7" borderId="8" xfId="0" applyFont="1" applyFill="1" applyBorder="1" applyProtection="1"/>
    <xf numFmtId="0" fontId="6" fillId="7" borderId="7" xfId="0" applyFont="1" applyFill="1" applyBorder="1" applyProtection="1"/>
    <xf numFmtId="0" fontId="6" fillId="7" borderId="7" xfId="0" applyFont="1" applyFill="1" applyBorder="1" applyAlignment="1" applyProtection="1">
      <alignment horizontal="left"/>
    </xf>
    <xf numFmtId="0" fontId="6" fillId="7" borderId="7" xfId="0" applyFont="1" applyFill="1" applyBorder="1" applyAlignment="1" applyProtection="1"/>
    <xf numFmtId="0" fontId="6" fillId="7" borderId="7" xfId="0" applyFont="1" applyFill="1" applyBorder="1" applyAlignment="1" applyProtection="1">
      <alignment horizontal="center"/>
    </xf>
    <xf numFmtId="0" fontId="6" fillId="7" borderId="9" xfId="0" applyFont="1" applyFill="1" applyBorder="1" applyProtection="1"/>
    <xf numFmtId="0" fontId="66" fillId="7" borderId="0" xfId="0" applyFont="1" applyFill="1" applyBorder="1" applyAlignment="1" applyProtection="1">
      <alignment horizontal="left"/>
    </xf>
    <xf numFmtId="0" fontId="72" fillId="7" borderId="0" xfId="0" applyFont="1" applyFill="1" applyBorder="1" applyAlignment="1" applyProtection="1">
      <alignment horizontal="left"/>
    </xf>
    <xf numFmtId="0" fontId="72" fillId="7" borderId="0" xfId="0" applyFont="1" applyFill="1" applyBorder="1" applyAlignment="1" applyProtection="1"/>
    <xf numFmtId="0" fontId="70" fillId="7" borderId="0" xfId="0" applyFont="1" applyFill="1" applyBorder="1" applyAlignment="1" applyProtection="1">
      <alignment horizontal="center"/>
    </xf>
    <xf numFmtId="0" fontId="65" fillId="7" borderId="0" xfId="0" applyFont="1" applyFill="1" applyBorder="1" applyAlignment="1" applyProtection="1">
      <alignment horizontal="left"/>
    </xf>
    <xf numFmtId="0" fontId="65" fillId="7" borderId="0" xfId="0" applyFont="1" applyFill="1" applyBorder="1" applyProtection="1"/>
    <xf numFmtId="0" fontId="70" fillId="7" borderId="0" xfId="0" applyFont="1" applyFill="1" applyBorder="1" applyProtection="1"/>
    <xf numFmtId="0" fontId="71" fillId="7" borderId="0" xfId="0" applyFont="1" applyFill="1" applyBorder="1" applyAlignment="1" applyProtection="1">
      <alignment horizontal="left"/>
    </xf>
    <xf numFmtId="0" fontId="71" fillId="7" borderId="0" xfId="0" applyFont="1" applyFill="1" applyBorder="1" applyAlignment="1" applyProtection="1"/>
    <xf numFmtId="0" fontId="71" fillId="7" borderId="0" xfId="0" applyFont="1" applyFill="1" applyBorder="1" applyAlignment="1" applyProtection="1">
      <alignment horizontal="center"/>
    </xf>
    <xf numFmtId="0" fontId="71" fillId="7" borderId="0" xfId="0" applyFont="1" applyFill="1" applyBorder="1" applyProtection="1"/>
    <xf numFmtId="0" fontId="72" fillId="7" borderId="0" xfId="0" applyFont="1" applyFill="1" applyBorder="1" applyAlignment="1" applyProtection="1">
      <alignment horizontal="center"/>
    </xf>
    <xf numFmtId="49" fontId="72" fillId="7" borderId="0" xfId="0" applyNumberFormat="1" applyFont="1" applyFill="1" applyBorder="1" applyAlignment="1" applyProtection="1">
      <alignment horizontal="center"/>
    </xf>
    <xf numFmtId="0" fontId="70" fillId="7" borderId="0" xfId="0" applyFont="1" applyFill="1" applyBorder="1" applyAlignment="1" applyProtection="1">
      <alignment horizontal="left"/>
    </xf>
    <xf numFmtId="0" fontId="70" fillId="7" borderId="0" xfId="0" applyFont="1" applyFill="1" applyBorder="1" applyAlignment="1" applyProtection="1"/>
    <xf numFmtId="16" fontId="71" fillId="7" borderId="0" xfId="0" applyNumberFormat="1" applyFont="1" applyFill="1" applyBorder="1" applyAlignment="1" applyProtection="1">
      <alignment horizontal="center"/>
    </xf>
    <xf numFmtId="0" fontId="6" fillId="8" borderId="18" xfId="0" applyFont="1" applyFill="1" applyBorder="1" applyAlignment="1" applyProtection="1">
      <alignment horizontal="center"/>
    </xf>
    <xf numFmtId="0" fontId="6" fillId="8" borderId="19" xfId="0" applyFont="1" applyFill="1" applyBorder="1" applyAlignment="1" applyProtection="1">
      <alignment horizontal="left"/>
    </xf>
    <xf numFmtId="0" fontId="6" fillId="8" borderId="19" xfId="0" applyFont="1" applyFill="1" applyBorder="1" applyAlignment="1" applyProtection="1"/>
    <xf numFmtId="0" fontId="6" fillId="8" borderId="19" xfId="0" applyFont="1" applyFill="1" applyBorder="1" applyAlignment="1" applyProtection="1">
      <alignment horizontal="center"/>
    </xf>
    <xf numFmtId="0" fontId="6" fillId="8" borderId="20" xfId="0" applyFont="1" applyFill="1" applyBorder="1" applyAlignment="1" applyProtection="1">
      <alignment horizontal="center"/>
    </xf>
    <xf numFmtId="0" fontId="6" fillId="8" borderId="21" xfId="0" applyFont="1" applyFill="1" applyBorder="1" applyAlignment="1" applyProtection="1">
      <alignment horizontal="center"/>
    </xf>
    <xf numFmtId="0" fontId="6" fillId="8" borderId="22" xfId="0" applyFont="1" applyFill="1" applyBorder="1" applyAlignment="1" applyProtection="1">
      <alignment horizontal="left"/>
    </xf>
    <xf numFmtId="0" fontId="6" fillId="8" borderId="22" xfId="0" applyFont="1" applyFill="1" applyBorder="1" applyAlignment="1" applyProtection="1">
      <alignment horizontal="center"/>
      <protection locked="0"/>
    </xf>
    <xf numFmtId="0" fontId="6" fillId="8" borderId="22" xfId="0" applyFont="1" applyFill="1" applyBorder="1" applyAlignment="1" applyProtection="1">
      <alignment horizontal="center"/>
    </xf>
    <xf numFmtId="164" fontId="6" fillId="8" borderId="22" xfId="0" applyNumberFormat="1" applyFont="1" applyFill="1" applyBorder="1" applyAlignment="1" applyProtection="1">
      <alignment horizontal="center"/>
    </xf>
    <xf numFmtId="164" fontId="6" fillId="8" borderId="22" xfId="0" applyNumberFormat="1" applyFont="1" applyFill="1" applyBorder="1" applyAlignment="1" applyProtection="1">
      <protection locked="0"/>
    </xf>
    <xf numFmtId="0" fontId="6" fillId="8" borderId="23" xfId="0" applyFont="1" applyFill="1" applyBorder="1" applyAlignment="1" applyProtection="1">
      <alignment horizontal="center"/>
    </xf>
    <xf numFmtId="0" fontId="13" fillId="8" borderId="21" xfId="0" applyFont="1" applyFill="1" applyBorder="1" applyProtection="1"/>
    <xf numFmtId="0" fontId="13" fillId="8" borderId="22" xfId="0" applyFont="1" applyFill="1" applyBorder="1" applyAlignment="1" applyProtection="1">
      <alignment horizontal="left"/>
    </xf>
    <xf numFmtId="0" fontId="13" fillId="8" borderId="22" xfId="0" applyFont="1" applyFill="1" applyBorder="1" applyAlignment="1" applyProtection="1"/>
    <xf numFmtId="0" fontId="13" fillId="8" borderId="22" xfId="0" applyFont="1" applyFill="1" applyBorder="1" applyAlignment="1" applyProtection="1">
      <alignment horizontal="center"/>
    </xf>
    <xf numFmtId="164" fontId="13" fillId="8" borderId="22" xfId="0" applyNumberFormat="1" applyFont="1" applyFill="1" applyBorder="1" applyProtection="1"/>
    <xf numFmtId="164" fontId="13" fillId="8" borderId="22" xfId="0" applyNumberFormat="1" applyFont="1" applyFill="1" applyBorder="1" applyAlignment="1" applyProtection="1"/>
    <xf numFmtId="0" fontId="13" fillId="8" borderId="23" xfId="0" applyFont="1" applyFill="1" applyBorder="1" applyProtection="1"/>
    <xf numFmtId="0" fontId="6" fillId="8" borderId="24" xfId="0" applyFont="1" applyFill="1" applyBorder="1" applyProtection="1"/>
    <xf numFmtId="0" fontId="6" fillId="8" borderId="25" xfId="0" applyFont="1" applyFill="1" applyBorder="1" applyAlignment="1" applyProtection="1">
      <alignment horizontal="left"/>
    </xf>
    <xf numFmtId="0" fontId="6" fillId="8" borderId="25" xfId="0" applyFont="1" applyFill="1" applyBorder="1" applyAlignment="1" applyProtection="1"/>
    <xf numFmtId="0" fontId="6" fillId="8" borderId="25" xfId="0" applyFont="1" applyFill="1" applyBorder="1" applyAlignment="1" applyProtection="1">
      <alignment horizontal="center"/>
    </xf>
    <xf numFmtId="0" fontId="6" fillId="8" borderId="25" xfId="0" applyFont="1" applyFill="1" applyBorder="1" applyProtection="1"/>
    <xf numFmtId="0" fontId="6" fillId="8" borderId="26" xfId="0" applyFont="1" applyFill="1" applyBorder="1" applyProtection="1"/>
    <xf numFmtId="0" fontId="6" fillId="7" borderId="22" xfId="0" applyFont="1" applyFill="1" applyBorder="1" applyAlignment="1" applyProtection="1">
      <alignment horizontal="left"/>
      <protection locked="0"/>
    </xf>
    <xf numFmtId="0" fontId="6" fillId="7" borderId="22" xfId="0" applyFont="1" applyFill="1" applyBorder="1" applyAlignment="1" applyProtection="1">
      <protection locked="0"/>
    </xf>
    <xf numFmtId="0" fontId="6" fillId="7" borderId="22" xfId="0" applyFont="1" applyFill="1" applyBorder="1" applyAlignment="1" applyProtection="1">
      <alignment horizontal="center"/>
      <protection locked="0"/>
    </xf>
    <xf numFmtId="164" fontId="6" fillId="7" borderId="22" xfId="0" applyNumberFormat="1" applyFont="1" applyFill="1" applyBorder="1" applyAlignment="1" applyProtection="1">
      <protection locked="0"/>
    </xf>
    <xf numFmtId="164" fontId="6" fillId="7" borderId="22" xfId="0" applyNumberFormat="1" applyFont="1" applyFill="1" applyBorder="1" applyAlignment="1" applyProtection="1">
      <alignment horizontal="center"/>
      <protection locked="0"/>
    </xf>
    <xf numFmtId="164" fontId="6" fillId="9" borderId="22" xfId="0" applyNumberFormat="1" applyFont="1" applyFill="1" applyBorder="1" applyAlignment="1" applyProtection="1">
      <alignment horizontal="center"/>
    </xf>
    <xf numFmtId="0" fontId="69" fillId="10" borderId="22" xfId="0" applyFont="1" applyFill="1" applyBorder="1" applyAlignment="1" applyProtection="1">
      <alignment horizontal="center"/>
    </xf>
    <xf numFmtId="164" fontId="69" fillId="10" borderId="22" xfId="0" applyNumberFormat="1" applyFont="1" applyFill="1" applyBorder="1" applyProtection="1"/>
    <xf numFmtId="0" fontId="6" fillId="9" borderId="22" xfId="0" applyFont="1" applyFill="1" applyBorder="1" applyAlignment="1" applyProtection="1">
      <alignment horizontal="left"/>
      <protection locked="0"/>
    </xf>
    <xf numFmtId="0" fontId="6" fillId="9" borderId="22" xfId="0" applyFont="1" applyFill="1" applyBorder="1" applyAlignment="1" applyProtection="1">
      <alignment horizontal="center"/>
      <protection locked="0"/>
    </xf>
    <xf numFmtId="0" fontId="13" fillId="8" borderId="23" xfId="0" applyFont="1" applyFill="1" applyBorder="1" applyAlignment="1" applyProtection="1">
      <alignment horizontal="center"/>
    </xf>
    <xf numFmtId="0" fontId="6" fillId="8" borderId="21" xfId="0" applyFont="1" applyFill="1" applyBorder="1" applyProtection="1"/>
    <xf numFmtId="0" fontId="6" fillId="8" borderId="22" xfId="0" applyFont="1" applyFill="1" applyBorder="1" applyProtection="1"/>
    <xf numFmtId="0" fontId="7" fillId="8" borderId="22" xfId="0" applyFont="1" applyFill="1" applyBorder="1" applyAlignment="1" applyProtection="1">
      <alignment horizontal="left"/>
    </xf>
    <xf numFmtId="0" fontId="6" fillId="8" borderId="26" xfId="0" applyFont="1" applyFill="1" applyBorder="1" applyAlignment="1" applyProtection="1">
      <alignment horizontal="center"/>
    </xf>
    <xf numFmtId="164" fontId="67" fillId="10" borderId="22" xfId="0" applyNumberFormat="1" applyFont="1" applyFill="1" applyBorder="1" applyAlignment="1" applyProtection="1">
      <alignment horizontal="center"/>
    </xf>
    <xf numFmtId="0" fontId="65" fillId="7" borderId="0" xfId="0" applyFont="1" applyFill="1" applyBorder="1" applyAlignment="1" applyProtection="1">
      <alignment horizontal="center"/>
    </xf>
    <xf numFmtId="0" fontId="65" fillId="8" borderId="22" xfId="0" applyFont="1" applyFill="1" applyBorder="1" applyAlignment="1" applyProtection="1">
      <alignment horizontal="left"/>
    </xf>
    <xf numFmtId="166" fontId="69" fillId="10" borderId="22" xfId="0" applyNumberFormat="1" applyFont="1" applyFill="1" applyBorder="1" applyAlignment="1" applyProtection="1">
      <alignment horizontal="center"/>
    </xf>
    <xf numFmtId="0" fontId="6" fillId="8" borderId="18" xfId="0" applyFont="1" applyFill="1" applyBorder="1" applyProtection="1"/>
    <xf numFmtId="0" fontId="6" fillId="8" borderId="19" xfId="0" applyFont="1" applyFill="1" applyBorder="1" applyProtection="1"/>
    <xf numFmtId="0" fontId="6" fillId="8" borderId="27" xfId="0" applyFont="1" applyFill="1" applyBorder="1" applyAlignment="1" applyProtection="1">
      <alignment horizontal="left"/>
    </xf>
    <xf numFmtId="0" fontId="6" fillId="8" borderId="27" xfId="0" applyFont="1" applyFill="1" applyBorder="1" applyAlignment="1" applyProtection="1">
      <alignment horizontal="center"/>
    </xf>
    <xf numFmtId="0" fontId="6" fillId="8" borderId="27" xfId="0" applyFont="1" applyFill="1" applyBorder="1" applyProtection="1"/>
    <xf numFmtId="0" fontId="15" fillId="8" borderId="27" xfId="0" applyFont="1" applyFill="1" applyBorder="1" applyAlignment="1" applyProtection="1">
      <alignment horizontal="center"/>
    </xf>
    <xf numFmtId="0" fontId="15" fillId="8" borderId="19" xfId="0" applyFont="1" applyFill="1" applyBorder="1" applyAlignment="1" applyProtection="1">
      <alignment horizontal="center"/>
    </xf>
    <xf numFmtId="0" fontId="15" fillId="8" borderId="22" xfId="0" applyFont="1" applyFill="1" applyBorder="1" applyAlignment="1" applyProtection="1">
      <alignment horizontal="center"/>
    </xf>
    <xf numFmtId="0" fontId="15" fillId="8" borderId="25" xfId="0" applyFont="1" applyFill="1" applyBorder="1" applyAlignment="1" applyProtection="1">
      <alignment horizontal="center"/>
    </xf>
    <xf numFmtId="166" fontId="7" fillId="9" borderId="0" xfId="0" applyNumberFormat="1" applyFont="1" applyFill="1" applyBorder="1" applyAlignment="1" applyProtection="1">
      <alignment horizontal="center"/>
    </xf>
    <xf numFmtId="1" fontId="71" fillId="7" borderId="0" xfId="0" applyNumberFormat="1" applyFont="1" applyFill="1" applyBorder="1" applyAlignment="1" applyProtection="1">
      <alignment horizontal="left"/>
    </xf>
    <xf numFmtId="0" fontId="73" fillId="0" borderId="0" xfId="0" applyFont="1"/>
    <xf numFmtId="0" fontId="74" fillId="0" borderId="0" xfId="0" applyFont="1"/>
    <xf numFmtId="0" fontId="75" fillId="0" borderId="0" xfId="0" applyFont="1"/>
    <xf numFmtId="0" fontId="76" fillId="0" borderId="0" xfId="0" applyFont="1"/>
    <xf numFmtId="0" fontId="73" fillId="3" borderId="0" xfId="0" applyFont="1" applyFill="1"/>
    <xf numFmtId="0" fontId="78" fillId="3" borderId="0" xfId="0" applyFont="1" applyFill="1"/>
    <xf numFmtId="0" fontId="73" fillId="0" borderId="0" xfId="0" applyNumberFormat="1" applyFont="1"/>
    <xf numFmtId="0" fontId="73" fillId="3" borderId="0" xfId="0" applyFont="1" applyFill="1" applyAlignment="1"/>
    <xf numFmtId="0" fontId="79" fillId="0" borderId="0" xfId="1" applyFont="1" applyAlignment="1" applyProtection="1"/>
    <xf numFmtId="0" fontId="6" fillId="11" borderId="0" xfId="0" applyFont="1" applyFill="1" applyBorder="1" applyProtection="1"/>
    <xf numFmtId="0" fontId="14" fillId="11" borderId="0" xfId="0" applyFont="1" applyFill="1" applyBorder="1" applyProtection="1"/>
    <xf numFmtId="0" fontId="7" fillId="11" borderId="0" xfId="0" applyFont="1" applyFill="1" applyBorder="1" applyProtection="1"/>
    <xf numFmtId="0" fontId="15" fillId="11" borderId="0" xfId="0" applyFont="1" applyFill="1" applyBorder="1" applyProtection="1"/>
    <xf numFmtId="0" fontId="13" fillId="11" borderId="0" xfId="0" applyFont="1" applyFill="1" applyBorder="1" applyAlignment="1" applyProtection="1">
      <alignment horizontal="center"/>
    </xf>
    <xf numFmtId="0" fontId="6" fillId="11" borderId="0" xfId="0" applyFont="1" applyFill="1" applyBorder="1" applyAlignment="1" applyProtection="1">
      <alignment horizontal="center"/>
    </xf>
    <xf numFmtId="0" fontId="13" fillId="11" borderId="0" xfId="0" applyFont="1" applyFill="1" applyBorder="1" applyProtection="1"/>
    <xf numFmtId="0" fontId="6" fillId="11" borderId="0" xfId="0" applyFont="1" applyFill="1" applyBorder="1" applyAlignment="1" applyProtection="1">
      <alignment horizontal="left"/>
    </xf>
    <xf numFmtId="0" fontId="6" fillId="11" borderId="0" xfId="0" applyFont="1" applyFill="1" applyBorder="1" applyAlignment="1" applyProtection="1"/>
    <xf numFmtId="0" fontId="7" fillId="11" borderId="0" xfId="0" applyFont="1" applyFill="1" applyBorder="1" applyAlignment="1" applyProtection="1">
      <alignment horizontal="left"/>
    </xf>
    <xf numFmtId="0" fontId="7" fillId="11" borderId="0" xfId="0" applyFont="1" applyFill="1" applyBorder="1" applyAlignment="1" applyProtection="1"/>
    <xf numFmtId="0" fontId="7" fillId="11" borderId="0" xfId="0" applyFont="1" applyFill="1" applyBorder="1" applyAlignment="1" applyProtection="1">
      <alignment horizontal="center"/>
    </xf>
    <xf numFmtId="167" fontId="6" fillId="12" borderId="0" xfId="0" applyNumberFormat="1" applyFont="1" applyFill="1" applyBorder="1" applyAlignment="1" applyProtection="1">
      <alignment horizontal="left"/>
      <protection locked="0"/>
    </xf>
    <xf numFmtId="167" fontId="6" fillId="12" borderId="0" xfId="0" applyNumberFormat="1" applyFont="1" applyFill="1" applyBorder="1" applyAlignment="1" applyProtection="1">
      <alignment horizontal="left"/>
    </xf>
    <xf numFmtId="165" fontId="6" fillId="12" borderId="0" xfId="0" applyNumberFormat="1" applyFont="1" applyFill="1" applyBorder="1" applyAlignment="1" applyProtection="1">
      <alignment horizontal="left"/>
      <protection locked="0"/>
    </xf>
    <xf numFmtId="3" fontId="37" fillId="2" borderId="0" xfId="0" applyNumberFormat="1" applyFont="1" applyFill="1" applyBorder="1" applyAlignment="1" applyProtection="1">
      <alignment horizontal="left"/>
      <protection locked="0"/>
    </xf>
    <xf numFmtId="3" fontId="37" fillId="3" borderId="0" xfId="0" applyNumberFormat="1" applyFont="1" applyFill="1" applyBorder="1" applyAlignment="1" applyProtection="1">
      <alignment horizontal="left"/>
      <protection locked="0"/>
    </xf>
    <xf numFmtId="3" fontId="80" fillId="2" borderId="0" xfId="0" applyNumberFormat="1" applyFont="1" applyFill="1" applyBorder="1" applyAlignment="1" applyProtection="1">
      <alignment horizontal="left"/>
      <protection locked="0"/>
    </xf>
    <xf numFmtId="0" fontId="11" fillId="8" borderId="22" xfId="0" applyFont="1" applyFill="1" applyBorder="1" applyAlignment="1" applyProtection="1">
      <alignment horizontal="center"/>
    </xf>
    <xf numFmtId="0" fontId="43" fillId="8" borderId="22" xfId="0" applyFont="1" applyFill="1" applyBorder="1" applyProtection="1"/>
    <xf numFmtId="0" fontId="11" fillId="8" borderId="22" xfId="0" applyFont="1" applyFill="1" applyBorder="1" applyAlignment="1" applyProtection="1">
      <alignment horizontal="center"/>
      <protection locked="0"/>
    </xf>
    <xf numFmtId="2" fontId="11" fillId="8" borderId="22" xfId="0" applyNumberFormat="1" applyFont="1" applyFill="1" applyBorder="1" applyAlignment="1" applyProtection="1">
      <alignment horizontal="center"/>
      <protection locked="0"/>
    </xf>
    <xf numFmtId="15" fontId="11" fillId="8" borderId="22" xfId="0" applyNumberFormat="1" applyFont="1" applyFill="1" applyBorder="1" applyAlignment="1" applyProtection="1">
      <alignment horizontal="center"/>
    </xf>
    <xf numFmtId="175" fontId="11" fillId="8" borderId="22" xfId="0" applyNumberFormat="1" applyFont="1" applyFill="1" applyBorder="1" applyAlignment="1" applyProtection="1">
      <alignment horizontal="center"/>
    </xf>
    <xf numFmtId="0" fontId="37" fillId="8" borderId="22" xfId="0" applyFont="1" applyFill="1" applyBorder="1" applyAlignment="1" applyProtection="1">
      <alignment horizontal="center"/>
      <protection locked="0"/>
    </xf>
    <xf numFmtId="0" fontId="13" fillId="8" borderId="22" xfId="0" applyFont="1" applyFill="1" applyBorder="1" applyProtection="1"/>
    <xf numFmtId="0" fontId="44" fillId="8" borderId="22" xfId="0" applyFont="1" applyFill="1" applyBorder="1" applyAlignment="1" applyProtection="1">
      <alignment horizontal="center"/>
    </xf>
    <xf numFmtId="0" fontId="11" fillId="8" borderId="22" xfId="0" applyFont="1" applyFill="1" applyBorder="1" applyProtection="1">
      <protection locked="0"/>
    </xf>
    <xf numFmtId="0" fontId="12" fillId="8" borderId="22" xfId="0" applyFont="1" applyFill="1" applyBorder="1" applyAlignment="1" applyProtection="1">
      <alignment horizontal="center"/>
    </xf>
    <xf numFmtId="0" fontId="45" fillId="8" borderId="22" xfId="0" applyFont="1" applyFill="1" applyBorder="1" applyAlignment="1" applyProtection="1">
      <alignment horizontal="center"/>
    </xf>
    <xf numFmtId="1" fontId="11" fillId="8" borderId="22" xfId="0" applyNumberFormat="1" applyFont="1" applyFill="1" applyBorder="1" applyAlignment="1" applyProtection="1">
      <alignment horizontal="center"/>
    </xf>
    <xf numFmtId="10" fontId="11" fillId="8" borderId="22" xfId="0" applyNumberFormat="1" applyFont="1" applyFill="1" applyBorder="1" applyAlignment="1" applyProtection="1">
      <alignment horizontal="center"/>
    </xf>
    <xf numFmtId="0" fontId="11" fillId="8" borderId="22" xfId="0" applyFont="1" applyFill="1" applyBorder="1" applyAlignment="1" applyProtection="1">
      <alignment horizontal="left"/>
    </xf>
    <xf numFmtId="49" fontId="11" fillId="8" borderId="22" xfId="0" applyNumberFormat="1" applyFont="1" applyFill="1" applyBorder="1" applyProtection="1">
      <protection locked="0"/>
    </xf>
    <xf numFmtId="49" fontId="11" fillId="8" borderId="22" xfId="0" applyNumberFormat="1" applyFont="1" applyFill="1" applyBorder="1" applyAlignment="1" applyProtection="1">
      <alignment horizontal="center"/>
    </xf>
    <xf numFmtId="49" fontId="11" fillId="7" borderId="22" xfId="0" applyNumberFormat="1" applyFont="1" applyFill="1" applyBorder="1" applyProtection="1">
      <protection locked="0"/>
    </xf>
    <xf numFmtId="0" fontId="11" fillId="8" borderId="22" xfId="0" applyNumberFormat="1" applyFont="1" applyFill="1" applyBorder="1" applyAlignment="1" applyProtection="1">
      <alignment horizontal="center"/>
    </xf>
    <xf numFmtId="169" fontId="11" fillId="8" borderId="22" xfId="0" applyNumberFormat="1" applyFont="1" applyFill="1" applyBorder="1" applyAlignment="1" applyProtection="1">
      <alignment horizontal="center"/>
    </xf>
    <xf numFmtId="169" fontId="11" fillId="8" borderId="22" xfId="0" applyNumberFormat="1" applyFont="1" applyFill="1" applyBorder="1" applyProtection="1"/>
    <xf numFmtId="0" fontId="11" fillId="8" borderId="22" xfId="0" applyNumberFormat="1" applyFont="1" applyFill="1" applyBorder="1" applyAlignment="1" applyProtection="1"/>
    <xf numFmtId="171" fontId="7" fillId="8" borderId="22" xfId="0" applyNumberFormat="1" applyFont="1" applyFill="1" applyBorder="1" applyProtection="1"/>
    <xf numFmtId="2" fontId="11" fillId="8" borderId="22" xfId="0" applyNumberFormat="1" applyFont="1" applyFill="1" applyBorder="1" applyProtection="1"/>
    <xf numFmtId="164" fontId="15" fillId="8" borderId="22" xfId="0" applyNumberFormat="1" applyFont="1" applyFill="1" applyBorder="1" applyProtection="1"/>
    <xf numFmtId="0" fontId="25" fillId="8" borderId="22" xfId="0" applyFont="1" applyFill="1" applyBorder="1" applyProtection="1"/>
    <xf numFmtId="0" fontId="49" fillId="8" borderId="22" xfId="0" applyFont="1" applyFill="1" applyBorder="1" applyAlignment="1" applyProtection="1">
      <alignment horizontal="left"/>
    </xf>
    <xf numFmtId="2" fontId="43" fillId="8" borderId="22" xfId="0" applyNumberFormat="1" applyFont="1" applyFill="1" applyBorder="1" applyAlignment="1" applyProtection="1">
      <alignment horizontal="center"/>
    </xf>
    <xf numFmtId="0" fontId="42" fillId="8" borderId="22" xfId="0" applyFont="1" applyFill="1" applyBorder="1" applyAlignment="1" applyProtection="1">
      <alignment horizontal="center"/>
    </xf>
    <xf numFmtId="0" fontId="25" fillId="8" borderId="22" xfId="0" applyNumberFormat="1" applyFont="1" applyFill="1" applyBorder="1" applyAlignment="1" applyProtection="1">
      <alignment horizontal="center"/>
    </xf>
    <xf numFmtId="0" fontId="40" fillId="8" borderId="22" xfId="0" applyFont="1" applyFill="1" applyBorder="1" applyAlignment="1" applyProtection="1">
      <alignment horizontal="left"/>
    </xf>
    <xf numFmtId="0" fontId="40" fillId="8" borderId="22" xfId="0" applyNumberFormat="1" applyFont="1" applyFill="1" applyBorder="1" applyAlignment="1" applyProtection="1">
      <alignment horizontal="center"/>
    </xf>
    <xf numFmtId="175" fontId="40" fillId="8" borderId="22" xfId="0" applyNumberFormat="1" applyFont="1" applyFill="1" applyBorder="1" applyAlignment="1" applyProtection="1">
      <alignment horizontal="center"/>
    </xf>
    <xf numFmtId="169" fontId="40" fillId="8" borderId="22" xfId="0" applyNumberFormat="1" applyFont="1" applyFill="1" applyBorder="1" applyAlignment="1" applyProtection="1">
      <alignment horizontal="center"/>
    </xf>
    <xf numFmtId="1" fontId="40" fillId="8" borderId="22" xfId="0" applyNumberFormat="1" applyFont="1" applyFill="1" applyBorder="1" applyAlignment="1" applyProtection="1">
      <alignment horizontal="center"/>
    </xf>
    <xf numFmtId="0" fontId="40" fillId="8" borderId="22" xfId="0" applyFont="1" applyFill="1" applyBorder="1" applyAlignment="1" applyProtection="1">
      <alignment horizontal="center"/>
    </xf>
    <xf numFmtId="171" fontId="40" fillId="8" borderId="22" xfId="0" applyNumberFormat="1" applyFont="1" applyFill="1" applyBorder="1" applyAlignment="1" applyProtection="1">
      <alignment horizontal="center"/>
    </xf>
    <xf numFmtId="164" fontId="40" fillId="8" borderId="22" xfId="0" applyNumberFormat="1" applyFont="1" applyFill="1" applyBorder="1" applyAlignment="1" applyProtection="1">
      <alignment horizontal="center"/>
    </xf>
    <xf numFmtId="171" fontId="42" fillId="8" borderId="22" xfId="0" applyNumberFormat="1" applyFont="1" applyFill="1" applyBorder="1" applyAlignment="1" applyProtection="1">
      <alignment horizontal="center"/>
    </xf>
    <xf numFmtId="2" fontId="40" fillId="8" borderId="22" xfId="0" applyNumberFormat="1" applyFont="1" applyFill="1" applyBorder="1" applyAlignment="1" applyProtection="1">
      <alignment horizontal="center"/>
    </xf>
    <xf numFmtId="0" fontId="21" fillId="8" borderId="22" xfId="0" applyNumberFormat="1" applyFont="1" applyFill="1" applyBorder="1" applyAlignment="1" applyProtection="1">
      <alignment horizontal="center"/>
    </xf>
    <xf numFmtId="0" fontId="41" fillId="8" borderId="22" xfId="0" applyFont="1" applyFill="1" applyBorder="1" applyAlignment="1" applyProtection="1">
      <alignment horizontal="left"/>
    </xf>
    <xf numFmtId="1" fontId="40" fillId="8" borderId="22" xfId="0" applyNumberFormat="1" applyFont="1" applyFill="1" applyBorder="1" applyAlignment="1" applyProtection="1">
      <alignment horizontal="left"/>
    </xf>
    <xf numFmtId="174" fontId="42" fillId="8" borderId="22" xfId="0" applyNumberFormat="1" applyFont="1" applyFill="1" applyBorder="1" applyAlignment="1" applyProtection="1">
      <alignment horizontal="center"/>
    </xf>
    <xf numFmtId="0" fontId="15" fillId="8" borderId="22" xfId="0" applyNumberFormat="1" applyFont="1" applyFill="1" applyBorder="1" applyAlignment="1" applyProtection="1">
      <alignment horizontal="center"/>
    </xf>
    <xf numFmtId="169" fontId="15" fillId="8" borderId="22" xfId="0" applyNumberFormat="1" applyFont="1" applyFill="1" applyBorder="1" applyAlignment="1" applyProtection="1">
      <alignment horizontal="center"/>
    </xf>
    <xf numFmtId="1" fontId="15" fillId="8" borderId="22" xfId="0" applyNumberFormat="1" applyFont="1" applyFill="1" applyBorder="1" applyAlignment="1" applyProtection="1">
      <alignment horizontal="center"/>
    </xf>
    <xf numFmtId="171" fontId="15" fillId="8" borderId="22" xfId="0" applyNumberFormat="1" applyFont="1" applyFill="1" applyBorder="1" applyAlignment="1" applyProtection="1">
      <alignment horizontal="center"/>
    </xf>
    <xf numFmtId="171" fontId="15" fillId="8" borderId="22" xfId="0" applyNumberFormat="1" applyFont="1" applyFill="1" applyBorder="1" applyAlignment="1" applyProtection="1">
      <alignment horizontal="left"/>
    </xf>
    <xf numFmtId="171" fontId="11" fillId="8" borderId="22" xfId="0" applyNumberFormat="1" applyFont="1" applyFill="1" applyBorder="1" applyAlignment="1" applyProtection="1">
      <alignment horizontal="center"/>
    </xf>
    <xf numFmtId="171" fontId="7" fillId="8" borderId="22" xfId="0" applyNumberFormat="1" applyFont="1" applyFill="1" applyBorder="1" applyAlignment="1" applyProtection="1">
      <alignment horizontal="center"/>
    </xf>
    <xf numFmtId="2" fontId="15" fillId="8" borderId="22" xfId="0" applyNumberFormat="1" applyFont="1" applyFill="1" applyBorder="1" applyAlignment="1" applyProtection="1">
      <alignment horizontal="center"/>
    </xf>
    <xf numFmtId="164" fontId="15" fillId="8" borderId="22" xfId="0" applyNumberFormat="1" applyFont="1" applyFill="1" applyBorder="1" applyAlignment="1" applyProtection="1">
      <alignment horizontal="center"/>
    </xf>
    <xf numFmtId="171" fontId="11" fillId="8" borderId="22" xfId="3" applyNumberFormat="1" applyFont="1" applyFill="1" applyBorder="1" applyProtection="1"/>
    <xf numFmtId="0" fontId="12" fillId="8" borderId="22" xfId="0" applyFont="1" applyFill="1" applyBorder="1" applyAlignment="1" applyProtection="1">
      <alignment horizontal="left"/>
    </xf>
    <xf numFmtId="175" fontId="12" fillId="8" borderId="22" xfId="0" applyNumberFormat="1" applyFont="1" applyFill="1" applyBorder="1" applyAlignment="1" applyProtection="1">
      <alignment horizontal="center"/>
    </xf>
    <xf numFmtId="0" fontId="12" fillId="8" borderId="22" xfId="0" applyNumberFormat="1" applyFont="1" applyFill="1" applyBorder="1" applyAlignment="1" applyProtection="1">
      <alignment horizontal="center"/>
    </xf>
    <xf numFmtId="0" fontId="45" fillId="8" borderId="22" xfId="0" applyNumberFormat="1" applyFont="1" applyFill="1" applyBorder="1" applyAlignment="1" applyProtection="1">
      <alignment horizontal="center"/>
    </xf>
    <xf numFmtId="171" fontId="12" fillId="8" borderId="22" xfId="0" applyNumberFormat="1" applyFont="1" applyFill="1" applyBorder="1" applyProtection="1"/>
    <xf numFmtId="2" fontId="12" fillId="8" borderId="22" xfId="0" applyNumberFormat="1" applyFont="1" applyFill="1" applyBorder="1" applyProtection="1"/>
    <xf numFmtId="169" fontId="11" fillId="9" borderId="22" xfId="0" applyNumberFormat="1" applyFont="1" applyFill="1" applyBorder="1" applyAlignment="1" applyProtection="1">
      <alignment horizontal="center"/>
    </xf>
    <xf numFmtId="171" fontId="11" fillId="9" borderId="22" xfId="3" applyNumberFormat="1" applyFont="1" applyFill="1" applyBorder="1" applyAlignment="1" applyProtection="1"/>
    <xf numFmtId="171" fontId="11" fillId="9" borderId="22" xfId="3" applyNumberFormat="1" applyFont="1" applyFill="1" applyBorder="1" applyProtection="1"/>
    <xf numFmtId="171" fontId="7" fillId="9" borderId="22" xfId="3" applyNumberFormat="1" applyFont="1" applyFill="1" applyBorder="1" applyAlignment="1" applyProtection="1">
      <alignment horizontal="left"/>
    </xf>
    <xf numFmtId="2" fontId="11" fillId="9" borderId="22" xfId="0" applyNumberFormat="1" applyFont="1" applyFill="1" applyBorder="1" applyAlignment="1" applyProtection="1">
      <alignment horizontal="center"/>
    </xf>
    <xf numFmtId="164" fontId="15" fillId="9" borderId="22" xfId="0" applyNumberFormat="1" applyFont="1" applyFill="1" applyBorder="1" applyAlignment="1" applyProtection="1">
      <alignment horizontal="center"/>
    </xf>
    <xf numFmtId="174" fontId="11" fillId="7" borderId="22" xfId="2" applyNumberFormat="1" applyFont="1" applyFill="1" applyBorder="1" applyAlignment="1" applyProtection="1">
      <alignment horizontal="center"/>
    </xf>
    <xf numFmtId="175" fontId="11" fillId="7" borderId="22" xfId="0" applyNumberFormat="1" applyFont="1" applyFill="1" applyBorder="1" applyAlignment="1" applyProtection="1">
      <alignment horizontal="center"/>
      <protection locked="0"/>
    </xf>
    <xf numFmtId="169" fontId="11" fillId="7" borderId="22" xfId="3" applyNumberFormat="1" applyFont="1" applyFill="1" applyBorder="1" applyAlignment="1" applyProtection="1">
      <alignment horizontal="center"/>
      <protection locked="0"/>
    </xf>
    <xf numFmtId="169" fontId="46" fillId="10" borderId="22" xfId="0" applyNumberFormat="1" applyFont="1" applyFill="1" applyBorder="1" applyAlignment="1" applyProtection="1">
      <alignment horizontal="center"/>
    </xf>
    <xf numFmtId="171" fontId="46" fillId="10" borderId="22" xfId="0" applyNumberFormat="1" applyFont="1" applyFill="1" applyBorder="1" applyProtection="1"/>
    <xf numFmtId="2" fontId="46" fillId="10" borderId="22" xfId="0" applyNumberFormat="1" applyFont="1" applyFill="1" applyBorder="1" applyProtection="1"/>
    <xf numFmtId="164" fontId="44" fillId="10" borderId="22" xfId="0" applyNumberFormat="1" applyFont="1" applyFill="1" applyBorder="1" applyProtection="1"/>
    <xf numFmtId="0" fontId="12" fillId="7" borderId="22" xfId="0" applyFont="1" applyFill="1" applyBorder="1" applyProtection="1"/>
    <xf numFmtId="0" fontId="11" fillId="8" borderId="22" xfId="0" applyFont="1" applyFill="1" applyBorder="1" applyAlignment="1" applyProtection="1"/>
    <xf numFmtId="0" fontId="24" fillId="8" borderId="22" xfId="0" applyFont="1" applyFill="1" applyBorder="1" applyProtection="1"/>
    <xf numFmtId="164" fontId="11" fillId="8" borderId="22" xfId="0" applyNumberFormat="1" applyFont="1" applyFill="1" applyBorder="1" applyAlignment="1" applyProtection="1"/>
    <xf numFmtId="164" fontId="46" fillId="8" borderId="22" xfId="0" applyNumberFormat="1" applyFont="1" applyFill="1" applyBorder="1" applyAlignment="1" applyProtection="1"/>
    <xf numFmtId="164" fontId="45" fillId="8" borderId="22" xfId="0" applyNumberFormat="1" applyFont="1" applyFill="1" applyBorder="1" applyAlignment="1" applyProtection="1"/>
    <xf numFmtId="164" fontId="11" fillId="9" borderId="22" xfId="0" applyNumberFormat="1" applyFont="1" applyFill="1" applyBorder="1" applyAlignment="1" applyProtection="1"/>
    <xf numFmtId="164" fontId="81" fillId="8" borderId="22" xfId="0" applyNumberFormat="1" applyFont="1" applyFill="1" applyBorder="1" applyAlignment="1" applyProtection="1"/>
    <xf numFmtId="164" fontId="82" fillId="8" borderId="22" xfId="0" applyNumberFormat="1" applyFont="1" applyFill="1" applyBorder="1" applyAlignment="1" applyProtection="1"/>
    <xf numFmtId="0" fontId="81" fillId="8" borderId="22" xfId="0" applyFont="1" applyFill="1" applyBorder="1" applyAlignment="1" applyProtection="1"/>
    <xf numFmtId="164" fontId="46" fillId="10" borderId="22" xfId="0" applyNumberFormat="1" applyFont="1" applyFill="1" applyBorder="1" applyAlignment="1" applyProtection="1"/>
    <xf numFmtId="164" fontId="45" fillId="10" borderId="22" xfId="0" applyNumberFormat="1" applyFont="1" applyFill="1" applyBorder="1" applyAlignment="1" applyProtection="1"/>
    <xf numFmtId="0" fontId="66" fillId="3" borderId="0" xfId="0" applyFont="1" applyFill="1" applyBorder="1" applyProtection="1"/>
    <xf numFmtId="0" fontId="15" fillId="8" borderId="22" xfId="0" applyFont="1" applyFill="1" applyBorder="1" applyAlignment="1" applyProtection="1">
      <alignment horizontal="left"/>
    </xf>
    <xf numFmtId="164" fontId="46" fillId="8" borderId="22" xfId="0" applyNumberFormat="1" applyFont="1" applyFill="1" applyBorder="1" applyProtection="1"/>
    <xf numFmtId="164" fontId="11" fillId="8" borderId="22" xfId="0" applyNumberFormat="1" applyFont="1" applyFill="1" applyBorder="1" applyAlignment="1" applyProtection="1">
      <alignment horizontal="center"/>
      <protection locked="0"/>
    </xf>
    <xf numFmtId="164" fontId="11" fillId="8" borderId="22" xfId="0" applyNumberFormat="1" applyFont="1" applyFill="1" applyBorder="1" applyAlignment="1" applyProtection="1">
      <alignment horizontal="center"/>
    </xf>
    <xf numFmtId="164" fontId="45" fillId="8" borderId="22" xfId="0" applyNumberFormat="1" applyFont="1" applyFill="1" applyBorder="1" applyAlignment="1" applyProtection="1">
      <alignment horizontal="center"/>
    </xf>
    <xf numFmtId="164" fontId="46" fillId="10" borderId="22" xfId="0" applyNumberFormat="1" applyFont="1" applyFill="1" applyBorder="1" applyProtection="1"/>
    <xf numFmtId="164" fontId="45" fillId="10" borderId="22" xfId="0" applyNumberFormat="1" applyFont="1" applyFill="1" applyBorder="1" applyAlignment="1" applyProtection="1">
      <alignment horizontal="center"/>
    </xf>
    <xf numFmtId="0" fontId="45" fillId="10" borderId="22" xfId="0" applyNumberFormat="1" applyFont="1" applyFill="1" applyBorder="1" applyAlignment="1" applyProtection="1">
      <alignment horizontal="center"/>
    </xf>
    <xf numFmtId="164" fontId="11" fillId="9" borderId="22" xfId="0" applyNumberFormat="1" applyFont="1" applyFill="1" applyBorder="1" applyAlignment="1" applyProtection="1">
      <alignment horizontal="center"/>
    </xf>
    <xf numFmtId="0" fontId="11" fillId="9" borderId="22" xfId="0" applyNumberFormat="1" applyFont="1" applyFill="1" applyBorder="1" applyAlignment="1" applyProtection="1">
      <alignment horizontal="center"/>
    </xf>
    <xf numFmtId="164" fontId="11" fillId="7" borderId="22" xfId="0" applyNumberFormat="1" applyFont="1" applyFill="1" applyBorder="1" applyAlignment="1" applyProtection="1">
      <alignment horizontal="center"/>
      <protection locked="0"/>
    </xf>
    <xf numFmtId="164" fontId="11" fillId="7" borderId="22" xfId="0" applyNumberFormat="1" applyFont="1" applyFill="1" applyBorder="1" applyProtection="1">
      <protection locked="0"/>
    </xf>
    <xf numFmtId="0" fontId="43" fillId="8" borderId="22" xfId="0" applyFont="1" applyFill="1" applyBorder="1" applyAlignment="1" applyProtection="1">
      <alignment horizontal="left"/>
    </xf>
    <xf numFmtId="164" fontId="45" fillId="8" borderId="22" xfId="0" applyNumberFormat="1" applyFont="1" applyFill="1" applyBorder="1" applyProtection="1"/>
    <xf numFmtId="164" fontId="11" fillId="8" borderId="22" xfId="0" applyNumberFormat="1" applyFont="1" applyFill="1" applyBorder="1" applyProtection="1"/>
    <xf numFmtId="164" fontId="11" fillId="8" borderId="22" xfId="0" applyNumberFormat="1" applyFont="1" applyFill="1" applyBorder="1" applyProtection="1">
      <protection locked="0"/>
    </xf>
    <xf numFmtId="164" fontId="11" fillId="9" borderId="22" xfId="0" applyNumberFormat="1" applyFont="1" applyFill="1" applyBorder="1" applyProtection="1"/>
    <xf numFmtId="164" fontId="45" fillId="10" borderId="22" xfId="0" applyNumberFormat="1" applyFont="1" applyFill="1" applyBorder="1" applyProtection="1"/>
    <xf numFmtId="164" fontId="11" fillId="8" borderId="22" xfId="3" applyNumberFormat="1" applyFont="1" applyFill="1" applyBorder="1" applyAlignment="1" applyProtection="1">
      <alignment horizontal="left"/>
    </xf>
    <xf numFmtId="164" fontId="11" fillId="8" borderId="22" xfId="0" applyNumberFormat="1" applyFont="1" applyFill="1" applyBorder="1" applyAlignment="1" applyProtection="1">
      <alignment horizontal="left"/>
    </xf>
    <xf numFmtId="164" fontId="46" fillId="8" borderId="22" xfId="0" applyNumberFormat="1" applyFont="1" applyFill="1" applyBorder="1" applyAlignment="1" applyProtection="1">
      <alignment horizontal="left"/>
    </xf>
    <xf numFmtId="164" fontId="11" fillId="8" borderId="22" xfId="0" applyNumberFormat="1" applyFont="1" applyFill="1" applyBorder="1" applyAlignment="1" applyProtection="1">
      <alignment horizontal="left"/>
      <protection locked="0"/>
    </xf>
    <xf numFmtId="0" fontId="13" fillId="8" borderId="22" xfId="0" applyFont="1" applyFill="1" applyBorder="1" applyAlignment="1" applyProtection="1">
      <alignment horizontal="right"/>
    </xf>
    <xf numFmtId="165" fontId="15" fillId="8" borderId="22" xfId="3" applyNumberFormat="1" applyFont="1" applyFill="1" applyBorder="1" applyProtection="1"/>
    <xf numFmtId="164" fontId="12" fillId="8" borderId="22" xfId="0" applyNumberFormat="1" applyFont="1" applyFill="1" applyBorder="1" applyAlignment="1" applyProtection="1">
      <alignment horizontal="left"/>
    </xf>
    <xf numFmtId="0" fontId="11" fillId="8" borderId="22" xfId="0" applyNumberFormat="1" applyFont="1" applyFill="1" applyBorder="1" applyProtection="1"/>
    <xf numFmtId="0" fontId="15" fillId="8" borderId="22" xfId="0" applyFont="1" applyFill="1" applyBorder="1" applyAlignment="1" applyProtection="1">
      <alignment horizontal="right"/>
    </xf>
    <xf numFmtId="164" fontId="15" fillId="8" borderId="22" xfId="0" applyNumberFormat="1" applyFont="1" applyFill="1" applyBorder="1" applyAlignment="1" applyProtection="1">
      <alignment horizontal="left"/>
    </xf>
    <xf numFmtId="164" fontId="11" fillId="9" borderId="22" xfId="0" applyNumberFormat="1" applyFont="1" applyFill="1" applyBorder="1" applyAlignment="1" applyProtection="1">
      <alignment horizontal="left"/>
    </xf>
    <xf numFmtId="164" fontId="11" fillId="9" borderId="22" xfId="3" applyNumberFormat="1" applyFont="1" applyFill="1" applyBorder="1" applyAlignment="1" applyProtection="1">
      <alignment horizontal="left"/>
    </xf>
    <xf numFmtId="164" fontId="46" fillId="10" borderId="22" xfId="0" applyNumberFormat="1" applyFont="1" applyFill="1" applyBorder="1" applyAlignment="1" applyProtection="1">
      <alignment horizontal="left"/>
    </xf>
    <xf numFmtId="164" fontId="11" fillId="7" borderId="22" xfId="0" applyNumberFormat="1" applyFont="1" applyFill="1" applyBorder="1" applyAlignment="1" applyProtection="1">
      <alignment horizontal="left"/>
      <protection locked="0"/>
    </xf>
    <xf numFmtId="0" fontId="11" fillId="8" borderId="22" xfId="0" applyFont="1" applyFill="1" applyBorder="1" applyAlignment="1" applyProtection="1">
      <alignment horizontal="right"/>
    </xf>
    <xf numFmtId="174" fontId="45" fillId="8" borderId="22" xfId="2" applyNumberFormat="1" applyFont="1" applyFill="1" applyBorder="1" applyAlignment="1" applyProtection="1">
      <alignment horizontal="center"/>
    </xf>
    <xf numFmtId="2" fontId="45" fillId="8" borderId="22" xfId="0" applyNumberFormat="1" applyFont="1" applyFill="1" applyBorder="1" applyAlignment="1" applyProtection="1">
      <alignment horizontal="center"/>
    </xf>
    <xf numFmtId="0" fontId="36" fillId="8" borderId="22" xfId="0" applyFont="1" applyFill="1" applyBorder="1" applyProtection="1"/>
    <xf numFmtId="9" fontId="45" fillId="8" borderId="22" xfId="2" applyFont="1" applyFill="1" applyBorder="1" applyAlignment="1" applyProtection="1">
      <alignment horizontal="center"/>
    </xf>
    <xf numFmtId="0" fontId="36" fillId="8" borderId="22" xfId="0" applyFont="1" applyFill="1" applyBorder="1" applyAlignment="1" applyProtection="1">
      <alignment horizontal="center"/>
    </xf>
    <xf numFmtId="0" fontId="6" fillId="8" borderId="22" xfId="0" applyFont="1" applyFill="1" applyBorder="1" applyAlignment="1" applyProtection="1">
      <alignment horizontal="right"/>
    </xf>
    <xf numFmtId="164" fontId="12" fillId="8" borderId="22" xfId="0" applyNumberFormat="1" applyFont="1" applyFill="1" applyBorder="1" applyAlignment="1" applyProtection="1">
      <alignment horizontal="center"/>
    </xf>
    <xf numFmtId="164" fontId="6" fillId="8" borderId="22" xfId="0" applyNumberFormat="1" applyFont="1" applyFill="1" applyBorder="1" applyAlignment="1" applyProtection="1">
      <alignment horizontal="center"/>
      <protection locked="0"/>
    </xf>
    <xf numFmtId="164" fontId="50" fillId="8" borderId="22" xfId="0" applyNumberFormat="1" applyFont="1" applyFill="1" applyBorder="1" applyAlignment="1" applyProtection="1">
      <alignment horizontal="center"/>
    </xf>
    <xf numFmtId="164" fontId="46" fillId="8" borderId="22" xfId="0" applyNumberFormat="1" applyFont="1" applyFill="1" applyBorder="1" applyAlignment="1" applyProtection="1">
      <alignment horizontal="center"/>
    </xf>
    <xf numFmtId="164" fontId="6" fillId="8" borderId="22" xfId="0" applyNumberFormat="1" applyFont="1" applyFill="1" applyBorder="1" applyProtection="1"/>
    <xf numFmtId="164" fontId="6" fillId="9" borderId="22" xfId="0" applyNumberFormat="1" applyFont="1" applyFill="1" applyBorder="1" applyProtection="1"/>
    <xf numFmtId="164" fontId="6" fillId="9" borderId="22" xfId="0" applyNumberFormat="1" applyFont="1" applyFill="1" applyBorder="1" applyAlignment="1" applyProtection="1">
      <alignment horizontal="right"/>
    </xf>
    <xf numFmtId="164" fontId="6" fillId="9" borderId="22" xfId="0" applyNumberFormat="1" applyFont="1" applyFill="1" applyBorder="1" applyAlignment="1" applyProtection="1">
      <alignment horizontal="center"/>
      <protection locked="0"/>
    </xf>
    <xf numFmtId="9" fontId="6" fillId="9" borderId="22" xfId="2" applyFont="1" applyFill="1" applyBorder="1" applyAlignment="1" applyProtection="1">
      <alignment horizontal="center"/>
      <protection locked="0"/>
    </xf>
    <xf numFmtId="174" fontId="6" fillId="9" borderId="22" xfId="2" applyNumberFormat="1" applyFont="1" applyFill="1" applyBorder="1" applyAlignment="1" applyProtection="1">
      <alignment horizontal="center"/>
      <protection locked="0"/>
    </xf>
    <xf numFmtId="9" fontId="6" fillId="9" borderId="22" xfId="0" applyNumberFormat="1" applyFont="1" applyFill="1" applyBorder="1" applyAlignment="1" applyProtection="1">
      <alignment horizontal="center"/>
      <protection locked="0"/>
    </xf>
    <xf numFmtId="174" fontId="45" fillId="10" borderId="22" xfId="2" applyNumberFormat="1" applyFont="1" applyFill="1" applyBorder="1" applyAlignment="1" applyProtection="1">
      <alignment horizontal="center"/>
    </xf>
    <xf numFmtId="2" fontId="45" fillId="10" borderId="22" xfId="0" applyNumberFormat="1" applyFont="1" applyFill="1" applyBorder="1" applyAlignment="1" applyProtection="1">
      <alignment horizontal="center"/>
    </xf>
    <xf numFmtId="9" fontId="45" fillId="10" borderId="22" xfId="2" applyFont="1" applyFill="1" applyBorder="1" applyAlignment="1" applyProtection="1">
      <alignment horizontal="center"/>
    </xf>
    <xf numFmtId="164" fontId="50" fillId="10" borderId="22" xfId="0" applyNumberFormat="1" applyFont="1" applyFill="1" applyBorder="1" applyAlignment="1" applyProtection="1">
      <alignment horizontal="center"/>
    </xf>
    <xf numFmtId="164" fontId="46" fillId="10" borderId="22" xfId="0" applyNumberFormat="1" applyFont="1" applyFill="1" applyBorder="1" applyAlignment="1" applyProtection="1">
      <alignment horizontal="center"/>
    </xf>
    <xf numFmtId="0" fontId="53" fillId="8" borderId="22" xfId="0" applyFont="1" applyFill="1" applyBorder="1" applyAlignment="1" applyProtection="1">
      <alignment horizontal="left"/>
    </xf>
    <xf numFmtId="0" fontId="54" fillId="8" borderId="22" xfId="0" applyFont="1" applyFill="1" applyBorder="1" applyAlignment="1" applyProtection="1">
      <alignment horizontal="center"/>
    </xf>
    <xf numFmtId="164" fontId="53" fillId="8" borderId="22" xfId="0" applyNumberFormat="1" applyFont="1" applyFill="1" applyBorder="1" applyAlignment="1" applyProtection="1">
      <alignment horizontal="center"/>
    </xf>
    <xf numFmtId="0" fontId="7" fillId="8" borderId="22" xfId="0" applyFont="1" applyFill="1" applyBorder="1" applyProtection="1"/>
    <xf numFmtId="0" fontId="7" fillId="8" borderId="22" xfId="0" applyFont="1" applyFill="1" applyBorder="1" applyAlignment="1" applyProtection="1">
      <alignment horizontal="center"/>
    </xf>
    <xf numFmtId="0" fontId="53" fillId="8" borderId="22" xfId="0" applyFont="1" applyFill="1" applyBorder="1" applyProtection="1"/>
    <xf numFmtId="0" fontId="56" fillId="8" borderId="22" xfId="0" applyFont="1" applyFill="1" applyBorder="1" applyAlignment="1" applyProtection="1">
      <alignment horizontal="center"/>
    </xf>
    <xf numFmtId="178" fontId="53" fillId="8" borderId="22" xfId="0" applyNumberFormat="1" applyFont="1" applyFill="1" applyBorder="1" applyAlignment="1" applyProtection="1">
      <alignment horizontal="center"/>
    </xf>
    <xf numFmtId="179" fontId="53" fillId="8" borderId="22" xfId="0" applyNumberFormat="1" applyFont="1" applyFill="1" applyBorder="1" applyAlignment="1" applyProtection="1">
      <alignment horizontal="center"/>
    </xf>
    <xf numFmtId="164" fontId="6" fillId="8" borderId="22" xfId="0" applyNumberFormat="1" applyFont="1" applyFill="1" applyBorder="1" applyAlignment="1" applyProtection="1">
      <alignment horizontal="left"/>
    </xf>
    <xf numFmtId="0" fontId="55" fillId="8" borderId="22" xfId="0" applyFont="1" applyFill="1" applyBorder="1" applyProtection="1"/>
    <xf numFmtId="0" fontId="6" fillId="8" borderId="22" xfId="0" quotePrefix="1" applyFont="1" applyFill="1" applyBorder="1" applyProtection="1"/>
    <xf numFmtId="164" fontId="7" fillId="8" borderId="22" xfId="0" applyNumberFormat="1" applyFont="1" applyFill="1" applyBorder="1" applyAlignment="1" applyProtection="1">
      <alignment horizontal="center"/>
    </xf>
    <xf numFmtId="0" fontId="41" fillId="8" borderId="22" xfId="0" applyFont="1" applyFill="1" applyBorder="1" applyProtection="1"/>
    <xf numFmtId="164" fontId="68" fillId="10" borderId="22" xfId="0" applyNumberFormat="1" applyFont="1" applyFill="1" applyBorder="1" applyAlignment="1" applyProtection="1">
      <alignment horizontal="center"/>
    </xf>
    <xf numFmtId="164" fontId="6" fillId="9" borderId="22" xfId="0" applyNumberFormat="1" applyFont="1" applyFill="1" applyBorder="1" applyAlignment="1" applyProtection="1">
      <alignment horizontal="left"/>
    </xf>
    <xf numFmtId="14" fontId="42" fillId="8" borderId="22" xfId="0" applyNumberFormat="1" applyFont="1" applyFill="1" applyBorder="1" applyAlignment="1" applyProtection="1">
      <alignment horizontal="center"/>
    </xf>
    <xf numFmtId="0" fontId="12" fillId="9" borderId="22" xfId="0" applyFont="1" applyFill="1" applyBorder="1" applyAlignment="1" applyProtection="1">
      <alignment horizontal="center"/>
    </xf>
    <xf numFmtId="1" fontId="11" fillId="9" borderId="22" xfId="0" applyNumberFormat="1" applyFont="1" applyFill="1" applyBorder="1" applyAlignment="1" applyProtection="1">
      <alignment horizontal="center"/>
    </xf>
    <xf numFmtId="180" fontId="11" fillId="7" borderId="22" xfId="0" applyNumberFormat="1" applyFont="1" applyFill="1" applyBorder="1" applyAlignment="1" applyProtection="1">
      <alignment horizontal="center"/>
      <protection locked="0"/>
    </xf>
    <xf numFmtId="0" fontId="37" fillId="7" borderId="22" xfId="0" applyFont="1" applyFill="1" applyBorder="1" applyAlignment="1" applyProtection="1">
      <alignment horizontal="center"/>
      <protection locked="0"/>
    </xf>
    <xf numFmtId="2" fontId="11" fillId="7" borderId="22" xfId="0" applyNumberFormat="1" applyFont="1" applyFill="1" applyBorder="1" applyAlignment="1" applyProtection="1">
      <alignment horizontal="center"/>
      <protection locked="0"/>
    </xf>
    <xf numFmtId="10" fontId="11" fillId="9" borderId="22" xfId="0" applyNumberFormat="1" applyFont="1" applyFill="1" applyBorder="1" applyAlignment="1" applyProtection="1">
      <alignment horizontal="center"/>
    </xf>
    <xf numFmtId="0" fontId="44" fillId="10" borderId="22" xfId="0" applyFont="1" applyFill="1" applyBorder="1" applyAlignment="1" applyProtection="1">
      <alignment horizontal="center"/>
    </xf>
    <xf numFmtId="0" fontId="45" fillId="10" borderId="22" xfId="0" applyFont="1" applyFill="1" applyBorder="1" applyAlignment="1" applyProtection="1">
      <alignment horizontal="center"/>
    </xf>
    <xf numFmtId="0" fontId="11" fillId="7" borderId="22" xfId="0" applyFont="1" applyFill="1" applyBorder="1" applyProtection="1">
      <protection locked="0"/>
    </xf>
    <xf numFmtId="164" fontId="44" fillId="8" borderId="22" xfId="0" applyNumberFormat="1" applyFont="1" applyFill="1" applyBorder="1" applyAlignment="1" applyProtection="1">
      <alignment horizontal="center"/>
    </xf>
    <xf numFmtId="0" fontId="6" fillId="8" borderId="22" xfId="0" applyFont="1" applyFill="1" applyBorder="1" applyProtection="1">
      <protection locked="0"/>
    </xf>
    <xf numFmtId="164" fontId="44" fillId="10" borderId="22" xfId="0" applyNumberFormat="1" applyFont="1" applyFill="1" applyBorder="1" applyAlignment="1" applyProtection="1">
      <alignment horizontal="center"/>
    </xf>
    <xf numFmtId="164" fontId="13" fillId="8" borderId="22" xfId="0" applyNumberFormat="1" applyFont="1" applyFill="1" applyBorder="1" applyAlignment="1" applyProtection="1">
      <alignment horizontal="center"/>
    </xf>
    <xf numFmtId="171" fontId="56" fillId="11" borderId="0" xfId="0" applyNumberFormat="1" applyFont="1" applyFill="1" applyBorder="1" applyProtection="1"/>
    <xf numFmtId="164" fontId="12" fillId="7" borderId="22" xfId="0" applyNumberFormat="1" applyFont="1" applyFill="1" applyBorder="1" applyAlignment="1" applyProtection="1">
      <alignment horizontal="center"/>
    </xf>
    <xf numFmtId="49" fontId="11" fillId="7" borderId="22" xfId="0" applyNumberFormat="1" applyFont="1" applyFill="1" applyBorder="1" applyAlignment="1" applyProtection="1">
      <alignment horizontal="center"/>
      <protection locked="0"/>
    </xf>
    <xf numFmtId="0" fontId="83" fillId="0" borderId="0" xfId="0" applyFont="1"/>
    <xf numFmtId="0" fontId="84" fillId="0" borderId="0" xfId="0" applyFont="1"/>
    <xf numFmtId="15" fontId="83" fillId="0" borderId="0" xfId="0" applyNumberFormat="1" applyFont="1"/>
    <xf numFmtId="49" fontId="85" fillId="4" borderId="0" xfId="0" applyNumberFormat="1" applyFont="1" applyFill="1" applyBorder="1" applyAlignment="1" applyProtection="1">
      <alignment horizontal="center"/>
    </xf>
    <xf numFmtId="0" fontId="68" fillId="10" borderId="22" xfId="0" applyFont="1" applyFill="1" applyBorder="1" applyAlignment="1" applyProtection="1">
      <alignment horizontal="center"/>
    </xf>
    <xf numFmtId="166" fontId="68" fillId="10" borderId="22" xfId="0" applyNumberFormat="1" applyFont="1" applyFill="1" applyBorder="1" applyAlignment="1" applyProtection="1">
      <alignment horizontal="center"/>
    </xf>
    <xf numFmtId="164" fontId="11" fillId="7" borderId="22" xfId="3" applyNumberFormat="1" applyFont="1" applyFill="1" applyBorder="1" applyAlignment="1" applyProtection="1">
      <alignment horizontal="left"/>
      <protection locked="0"/>
    </xf>
    <xf numFmtId="181" fontId="6" fillId="0" borderId="0" xfId="0" applyNumberFormat="1" applyFont="1" applyFill="1" applyBorder="1" applyAlignment="1" applyProtection="1">
      <alignment horizontal="left"/>
    </xf>
    <xf numFmtId="3" fontId="86" fillId="2" borderId="0" xfId="0" applyNumberFormat="1" applyFont="1" applyFill="1" applyBorder="1" applyAlignment="1" applyProtection="1">
      <alignment horizontal="left"/>
      <protection locked="0"/>
    </xf>
    <xf numFmtId="0" fontId="43" fillId="8" borderId="22" xfId="0" applyFont="1" applyFill="1" applyBorder="1" applyAlignment="1" applyProtection="1">
      <alignment horizontal="left"/>
    </xf>
    <xf numFmtId="0" fontId="48" fillId="8" borderId="22" xfId="0" applyFont="1" applyFill="1" applyBorder="1" applyAlignment="1">
      <alignment horizontal="left"/>
    </xf>
    <xf numFmtId="0" fontId="48" fillId="8" borderId="22" xfId="0" applyFont="1" applyFill="1" applyBorder="1" applyAlignment="1" applyProtection="1">
      <alignment horizontal="left"/>
    </xf>
    <xf numFmtId="0" fontId="43" fillId="4" borderId="14" xfId="0" applyFont="1" applyFill="1" applyBorder="1" applyAlignment="1" applyProtection="1">
      <alignment horizontal="left"/>
    </xf>
    <xf numFmtId="0" fontId="43" fillId="4" borderId="28" xfId="0" applyFont="1" applyFill="1" applyBorder="1" applyAlignment="1" applyProtection="1">
      <alignment horizontal="left"/>
    </xf>
    <xf numFmtId="0" fontId="43" fillId="4" borderId="13" xfId="0" applyFont="1" applyFill="1" applyBorder="1" applyAlignment="1" applyProtection="1">
      <alignment horizontal="left"/>
    </xf>
    <xf numFmtId="0" fontId="43" fillId="4" borderId="0" xfId="0" applyFont="1" applyFill="1" applyBorder="1" applyAlignment="1" applyProtection="1">
      <alignment horizontal="left"/>
    </xf>
  </cellXfs>
  <cellStyles count="4">
    <cellStyle name="Hyperlink" xfId="1" builtinId="8"/>
    <cellStyle name="Procent" xfId="2" builtinId="5"/>
    <cellStyle name="Standaard" xfId="0" builtinId="0"/>
    <cellStyle name="Valuta" xfId="3" builtin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419100</xdr:colOff>
      <xdr:row>2</xdr:row>
      <xdr:rowOff>114300</xdr:rowOff>
    </xdr:from>
    <xdr:to>
      <xdr:col>14</xdr:col>
      <xdr:colOff>600075</xdr:colOff>
      <xdr:row>5</xdr:row>
      <xdr:rowOff>19050</xdr:rowOff>
    </xdr:to>
    <xdr:pic>
      <xdr:nvPicPr>
        <xdr:cNvPr id="27649" name="Picture 9"/>
        <xdr:cNvPicPr>
          <a:picLocks noChangeAspect="1" noChangeArrowheads="1"/>
        </xdr:cNvPicPr>
      </xdr:nvPicPr>
      <xdr:blipFill>
        <a:blip xmlns:r="http://schemas.openxmlformats.org/officeDocument/2006/relationships" r:embed="rId1"/>
        <a:srcRect/>
        <a:stretch>
          <a:fillRect/>
        </a:stretch>
      </xdr:blipFill>
      <xdr:spPr bwMode="auto">
        <a:xfrm>
          <a:off x="7181850" y="438150"/>
          <a:ext cx="1400175" cy="428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930088</xdr:colOff>
      <xdr:row>3</xdr:row>
      <xdr:rowOff>22412</xdr:rowOff>
    </xdr:from>
    <xdr:to>
      <xdr:col>10</xdr:col>
      <xdr:colOff>105335</xdr:colOff>
      <xdr:row>4</xdr:row>
      <xdr:rowOff>203387</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4762500" y="493059"/>
          <a:ext cx="1416423" cy="41629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997322</xdr:colOff>
      <xdr:row>3</xdr:row>
      <xdr:rowOff>0</xdr:rowOff>
    </xdr:from>
    <xdr:to>
      <xdr:col>11</xdr:col>
      <xdr:colOff>15687</xdr:colOff>
      <xdr:row>4</xdr:row>
      <xdr:rowOff>180975</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5983940" y="470647"/>
          <a:ext cx="1416423" cy="41629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1012451</xdr:colOff>
      <xdr:row>3</xdr:row>
      <xdr:rowOff>19610</xdr:rowOff>
    </xdr:from>
    <xdr:to>
      <xdr:col>9</xdr:col>
      <xdr:colOff>177613</xdr:colOff>
      <xdr:row>4</xdr:row>
      <xdr:rowOff>200585</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4844863" y="490257"/>
          <a:ext cx="1406338" cy="416299"/>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513229</xdr:colOff>
      <xdr:row>2</xdr:row>
      <xdr:rowOff>131669</xdr:rowOff>
    </xdr:from>
    <xdr:to>
      <xdr:col>34</xdr:col>
      <xdr:colOff>34738</xdr:colOff>
      <xdr:row>4</xdr:row>
      <xdr:rowOff>155202</xdr:rowOff>
    </xdr:to>
    <xdr:pic>
      <xdr:nvPicPr>
        <xdr:cNvPr id="31746" name="Picture 9"/>
        <xdr:cNvPicPr>
          <a:picLocks noChangeAspect="1" noChangeArrowheads="1"/>
        </xdr:cNvPicPr>
      </xdr:nvPicPr>
      <xdr:blipFill>
        <a:blip xmlns:r="http://schemas.openxmlformats.org/officeDocument/2006/relationships" r:embed="rId1"/>
        <a:srcRect/>
        <a:stretch>
          <a:fillRect/>
        </a:stretch>
      </xdr:blipFill>
      <xdr:spPr bwMode="auto">
        <a:xfrm>
          <a:off x="11102788" y="456640"/>
          <a:ext cx="1404097" cy="41573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6</xdr:col>
      <xdr:colOff>907675</xdr:colOff>
      <xdr:row>3</xdr:row>
      <xdr:rowOff>22410</xdr:rowOff>
    </xdr:from>
    <xdr:to>
      <xdr:col>8</xdr:col>
      <xdr:colOff>149036</xdr:colOff>
      <xdr:row>5</xdr:row>
      <xdr:rowOff>45943</xdr:rowOff>
    </xdr:to>
    <xdr:pic>
      <xdr:nvPicPr>
        <xdr:cNvPr id="5" name="Picture 9"/>
        <xdr:cNvPicPr>
          <a:picLocks noChangeAspect="1" noChangeArrowheads="1"/>
        </xdr:cNvPicPr>
      </xdr:nvPicPr>
      <xdr:blipFill>
        <a:blip xmlns:r="http://schemas.openxmlformats.org/officeDocument/2006/relationships" r:embed="rId1"/>
        <a:srcRect/>
        <a:stretch>
          <a:fillRect/>
        </a:stretch>
      </xdr:blipFill>
      <xdr:spPr bwMode="auto">
        <a:xfrm>
          <a:off x="4504763" y="493057"/>
          <a:ext cx="1404097" cy="41573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728380</xdr:colOff>
      <xdr:row>2</xdr:row>
      <xdr:rowOff>145674</xdr:rowOff>
    </xdr:from>
    <xdr:to>
      <xdr:col>10</xdr:col>
      <xdr:colOff>172567</xdr:colOff>
      <xdr:row>4</xdr:row>
      <xdr:rowOff>169767</xdr:rowOff>
    </xdr:to>
    <xdr:pic>
      <xdr:nvPicPr>
        <xdr:cNvPr id="4" name="Picture 9"/>
        <xdr:cNvPicPr>
          <a:picLocks noChangeAspect="1" noChangeArrowheads="1"/>
        </xdr:cNvPicPr>
      </xdr:nvPicPr>
      <xdr:blipFill>
        <a:blip xmlns:r="http://schemas.openxmlformats.org/officeDocument/2006/relationships" r:embed="rId1"/>
        <a:srcRect/>
        <a:stretch>
          <a:fillRect/>
        </a:stretch>
      </xdr:blipFill>
      <xdr:spPr bwMode="auto">
        <a:xfrm>
          <a:off x="4908174" y="459439"/>
          <a:ext cx="1416422" cy="41629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717174</xdr:colOff>
      <xdr:row>3</xdr:row>
      <xdr:rowOff>22412</xdr:rowOff>
    </xdr:from>
    <xdr:to>
      <xdr:col>10</xdr:col>
      <xdr:colOff>161361</xdr:colOff>
      <xdr:row>4</xdr:row>
      <xdr:rowOff>203387</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5244350" y="493059"/>
          <a:ext cx="1416423" cy="41629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314325</xdr:colOff>
      <xdr:row>3</xdr:row>
      <xdr:rowOff>19050</xdr:rowOff>
    </xdr:from>
    <xdr:to>
      <xdr:col>22</xdr:col>
      <xdr:colOff>161925</xdr:colOff>
      <xdr:row>4</xdr:row>
      <xdr:rowOff>200025</xdr:rowOff>
    </xdr:to>
    <xdr:pic>
      <xdr:nvPicPr>
        <xdr:cNvPr id="6197" name="Picture 9"/>
        <xdr:cNvPicPr>
          <a:picLocks noChangeAspect="1" noChangeArrowheads="1"/>
        </xdr:cNvPicPr>
      </xdr:nvPicPr>
      <xdr:blipFill>
        <a:blip xmlns:r="http://schemas.openxmlformats.org/officeDocument/2006/relationships" r:embed="rId1"/>
        <a:srcRect/>
        <a:stretch>
          <a:fillRect/>
        </a:stretch>
      </xdr:blipFill>
      <xdr:spPr bwMode="auto">
        <a:xfrm>
          <a:off x="12134850" y="504825"/>
          <a:ext cx="1409700" cy="4191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1020870</xdr:colOff>
      <xdr:row>3</xdr:row>
      <xdr:rowOff>31939</xdr:rowOff>
    </xdr:from>
    <xdr:to>
      <xdr:col>10</xdr:col>
      <xdr:colOff>166981</xdr:colOff>
      <xdr:row>4</xdr:row>
      <xdr:rowOff>226921</xdr:rowOff>
    </xdr:to>
    <xdr:pic>
      <xdr:nvPicPr>
        <xdr:cNvPr id="21511" name="Picture 9"/>
        <xdr:cNvPicPr>
          <a:picLocks noChangeAspect="1" noChangeArrowheads="1"/>
        </xdr:cNvPicPr>
      </xdr:nvPicPr>
      <xdr:blipFill>
        <a:blip xmlns:r="http://schemas.openxmlformats.org/officeDocument/2006/relationships" r:embed="rId1"/>
        <a:srcRect/>
        <a:stretch>
          <a:fillRect/>
        </a:stretch>
      </xdr:blipFill>
      <xdr:spPr bwMode="auto">
        <a:xfrm>
          <a:off x="7553899" y="502586"/>
          <a:ext cx="1387288" cy="430306"/>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986116</xdr:colOff>
      <xdr:row>3</xdr:row>
      <xdr:rowOff>33618</xdr:rowOff>
    </xdr:from>
    <xdr:to>
      <xdr:col>10</xdr:col>
      <xdr:colOff>161363</xdr:colOff>
      <xdr:row>4</xdr:row>
      <xdr:rowOff>214593</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5277969" y="504265"/>
          <a:ext cx="1416423" cy="41629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481853</xdr:colOff>
      <xdr:row>3</xdr:row>
      <xdr:rowOff>11205</xdr:rowOff>
    </xdr:from>
    <xdr:to>
      <xdr:col>12</xdr:col>
      <xdr:colOff>172570</xdr:colOff>
      <xdr:row>4</xdr:row>
      <xdr:rowOff>192180</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5871882" y="481852"/>
          <a:ext cx="1416423" cy="41629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22</xdr:col>
      <xdr:colOff>533400</xdr:colOff>
      <xdr:row>3</xdr:row>
      <xdr:rowOff>0</xdr:rowOff>
    </xdr:from>
    <xdr:to>
      <xdr:col>24</xdr:col>
      <xdr:colOff>600075</xdr:colOff>
      <xdr:row>5</xdr:row>
      <xdr:rowOff>38100</xdr:rowOff>
    </xdr:to>
    <xdr:pic>
      <xdr:nvPicPr>
        <xdr:cNvPr id="7170" name="Picture 9"/>
        <xdr:cNvPicPr>
          <a:picLocks noChangeAspect="1" noChangeArrowheads="1"/>
        </xdr:cNvPicPr>
      </xdr:nvPicPr>
      <xdr:blipFill>
        <a:blip xmlns:r="http://schemas.openxmlformats.org/officeDocument/2006/relationships" r:embed="rId1"/>
        <a:srcRect/>
        <a:stretch>
          <a:fillRect/>
        </a:stretch>
      </xdr:blipFill>
      <xdr:spPr bwMode="auto">
        <a:xfrm>
          <a:off x="12896850" y="485775"/>
          <a:ext cx="1495425" cy="428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862850</xdr:colOff>
      <xdr:row>3</xdr:row>
      <xdr:rowOff>11206</xdr:rowOff>
    </xdr:from>
    <xdr:to>
      <xdr:col>10</xdr:col>
      <xdr:colOff>172568</xdr:colOff>
      <xdr:row>4</xdr:row>
      <xdr:rowOff>203387</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4908174" y="481853"/>
          <a:ext cx="1416423" cy="4162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desk@poraad.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L229"/>
  <sheetViews>
    <sheetView showGridLines="0" zoomScale="85" zoomScaleNormal="85" workbookViewId="0">
      <selection activeCell="B2" sqref="B2"/>
    </sheetView>
  </sheetViews>
  <sheetFormatPr defaultColWidth="9.140625" defaultRowHeight="12.75" x14ac:dyDescent="0.2"/>
  <cols>
    <col min="1" max="1" width="3.7109375" style="654" customWidth="1"/>
    <col min="2" max="2" width="2.7109375" style="654" customWidth="1"/>
    <col min="3" max="11" width="9.140625" style="654"/>
    <col min="12" max="12" width="12.7109375" style="654" bestFit="1" customWidth="1"/>
    <col min="13" max="15" width="9.140625" style="654"/>
    <col min="16" max="16" width="2.7109375" style="654" customWidth="1"/>
    <col min="17" max="16384" width="9.140625" style="654"/>
  </cols>
  <sheetData>
    <row r="4" spans="3:12" ht="15.75" x14ac:dyDescent="0.25">
      <c r="C4" s="855" t="s">
        <v>549</v>
      </c>
      <c r="D4" s="856"/>
      <c r="E4" s="856"/>
      <c r="F4" s="856"/>
      <c r="G4" s="856"/>
      <c r="H4" s="856"/>
      <c r="I4" s="856"/>
      <c r="J4" s="856"/>
      <c r="K4" s="855" t="s">
        <v>178</v>
      </c>
      <c r="L4" s="857">
        <v>41608</v>
      </c>
    </row>
    <row r="5" spans="3:12" x14ac:dyDescent="0.2">
      <c r="C5" s="655"/>
      <c r="K5" s="655"/>
    </row>
    <row r="6" spans="3:12" x14ac:dyDescent="0.2">
      <c r="C6" s="655"/>
      <c r="K6" s="655"/>
    </row>
    <row r="7" spans="3:12" x14ac:dyDescent="0.2">
      <c r="C7" s="655" t="s">
        <v>555</v>
      </c>
      <c r="K7" s="655"/>
    </row>
    <row r="8" spans="3:12" x14ac:dyDescent="0.2">
      <c r="C8" s="654" t="s">
        <v>556</v>
      </c>
      <c r="K8" s="655"/>
    </row>
    <row r="9" spans="3:12" x14ac:dyDescent="0.2">
      <c r="C9" s="654" t="s">
        <v>557</v>
      </c>
      <c r="K9" s="655"/>
    </row>
    <row r="10" spans="3:12" x14ac:dyDescent="0.2">
      <c r="L10" s="656"/>
    </row>
    <row r="11" spans="3:12" x14ac:dyDescent="0.2">
      <c r="C11" s="655" t="s">
        <v>58</v>
      </c>
    </row>
    <row r="12" spans="3:12" x14ac:dyDescent="0.2">
      <c r="C12" s="657" t="s">
        <v>510</v>
      </c>
    </row>
    <row r="13" spans="3:12" x14ac:dyDescent="0.2">
      <c r="C13" s="657" t="s">
        <v>542</v>
      </c>
    </row>
    <row r="14" spans="3:12" x14ac:dyDescent="0.2">
      <c r="C14" s="657" t="s">
        <v>511</v>
      </c>
    </row>
    <row r="15" spans="3:12" x14ac:dyDescent="0.2">
      <c r="C15" s="657"/>
    </row>
    <row r="16" spans="3:12" x14ac:dyDescent="0.2">
      <c r="C16" s="657"/>
    </row>
    <row r="17" spans="3:9" x14ac:dyDescent="0.2">
      <c r="C17" s="654" t="s">
        <v>230</v>
      </c>
    </row>
    <row r="18" spans="3:9" x14ac:dyDescent="0.2">
      <c r="C18" s="654" t="s">
        <v>358</v>
      </c>
    </row>
    <row r="19" spans="3:9" x14ac:dyDescent="0.2">
      <c r="C19" s="654" t="s">
        <v>357</v>
      </c>
    </row>
    <row r="20" spans="3:9" x14ac:dyDescent="0.2">
      <c r="C20" s="654" t="s">
        <v>444</v>
      </c>
    </row>
    <row r="21" spans="3:9" x14ac:dyDescent="0.2">
      <c r="C21" s="654" t="s">
        <v>251</v>
      </c>
    </row>
    <row r="23" spans="3:9" x14ac:dyDescent="0.2">
      <c r="C23" s="654" t="s">
        <v>74</v>
      </c>
    </row>
    <row r="24" spans="3:9" x14ac:dyDescent="0.2">
      <c r="C24" s="654" t="s">
        <v>395</v>
      </c>
    </row>
    <row r="25" spans="3:9" x14ac:dyDescent="0.2">
      <c r="C25" s="654" t="s">
        <v>507</v>
      </c>
    </row>
    <row r="26" spans="3:9" x14ac:dyDescent="0.2">
      <c r="C26" s="654" t="s">
        <v>396</v>
      </c>
    </row>
    <row r="27" spans="3:9" x14ac:dyDescent="0.2">
      <c r="C27" s="654" t="s">
        <v>397</v>
      </c>
    </row>
    <row r="28" spans="3:9" x14ac:dyDescent="0.2">
      <c r="C28" s="654" t="s">
        <v>133</v>
      </c>
    </row>
    <row r="29" spans="3:9" x14ac:dyDescent="0.2">
      <c r="C29" s="654" t="s">
        <v>59</v>
      </c>
    </row>
    <row r="30" spans="3:9" x14ac:dyDescent="0.2">
      <c r="C30" s="654" t="s">
        <v>529</v>
      </c>
    </row>
    <row r="31" spans="3:9" x14ac:dyDescent="0.2">
      <c r="I31" s="655"/>
    </row>
    <row r="32" spans="3:9" x14ac:dyDescent="0.2">
      <c r="C32" s="654" t="s">
        <v>66</v>
      </c>
    </row>
    <row r="33" spans="3:4" x14ac:dyDescent="0.2">
      <c r="C33" s="654" t="s">
        <v>67</v>
      </c>
    </row>
    <row r="35" spans="3:4" x14ac:dyDescent="0.2">
      <c r="C35" s="654" t="s">
        <v>508</v>
      </c>
    </row>
    <row r="36" spans="3:4" x14ac:dyDescent="0.2">
      <c r="C36" s="654" t="s">
        <v>509</v>
      </c>
    </row>
    <row r="37" spans="3:4" x14ac:dyDescent="0.2">
      <c r="C37" s="654" t="s">
        <v>545</v>
      </c>
    </row>
    <row r="38" spans="3:4" x14ac:dyDescent="0.2">
      <c r="C38" s="654" t="s">
        <v>552</v>
      </c>
    </row>
    <row r="39" spans="3:4" x14ac:dyDescent="0.2">
      <c r="C39" s="654" t="s">
        <v>553</v>
      </c>
    </row>
    <row r="40" spans="3:4" x14ac:dyDescent="0.2">
      <c r="C40" s="654" t="s">
        <v>550</v>
      </c>
    </row>
    <row r="41" spans="3:4" x14ac:dyDescent="0.2">
      <c r="C41" s="654" t="s">
        <v>551</v>
      </c>
    </row>
    <row r="43" spans="3:4" x14ac:dyDescent="0.2">
      <c r="C43" s="655" t="s">
        <v>371</v>
      </c>
    </row>
    <row r="44" spans="3:4" x14ac:dyDescent="0.2">
      <c r="C44" s="654" t="s">
        <v>370</v>
      </c>
    </row>
    <row r="45" spans="3:4" x14ac:dyDescent="0.2">
      <c r="C45" s="654" t="s">
        <v>407</v>
      </c>
    </row>
    <row r="46" spans="3:4" x14ac:dyDescent="0.2">
      <c r="C46" s="654" t="s">
        <v>408</v>
      </c>
    </row>
    <row r="47" spans="3:4" x14ac:dyDescent="0.2">
      <c r="C47" s="654" t="s">
        <v>213</v>
      </c>
    </row>
    <row r="48" spans="3:4" x14ac:dyDescent="0.2">
      <c r="C48" s="654" t="s">
        <v>62</v>
      </c>
      <c r="D48" s="654" t="s">
        <v>409</v>
      </c>
    </row>
    <row r="49" spans="3:4" x14ac:dyDescent="0.2">
      <c r="D49" s="654" t="s">
        <v>410</v>
      </c>
    </row>
    <row r="50" spans="3:4" x14ac:dyDescent="0.2">
      <c r="D50" s="654" t="s">
        <v>60</v>
      </c>
    </row>
    <row r="51" spans="3:4" x14ac:dyDescent="0.2">
      <c r="D51" s="654" t="s">
        <v>411</v>
      </c>
    </row>
    <row r="52" spans="3:4" x14ac:dyDescent="0.2">
      <c r="D52" s="654" t="s">
        <v>412</v>
      </c>
    </row>
    <row r="53" spans="3:4" x14ac:dyDescent="0.2">
      <c r="D53" s="654" t="s">
        <v>61</v>
      </c>
    </row>
    <row r="54" spans="3:4" x14ac:dyDescent="0.2">
      <c r="D54" s="654" t="s">
        <v>413</v>
      </c>
    </row>
    <row r="55" spans="3:4" x14ac:dyDescent="0.2">
      <c r="D55" s="654" t="s">
        <v>71</v>
      </c>
    </row>
    <row r="56" spans="3:4" x14ac:dyDescent="0.2">
      <c r="D56" s="654" t="s">
        <v>398</v>
      </c>
    </row>
    <row r="57" spans="3:4" x14ac:dyDescent="0.2">
      <c r="D57" s="654" t="s">
        <v>214</v>
      </c>
    </row>
    <row r="58" spans="3:4" x14ac:dyDescent="0.2">
      <c r="D58" s="654" t="s">
        <v>215</v>
      </c>
    </row>
    <row r="59" spans="3:4" x14ac:dyDescent="0.2">
      <c r="D59" s="654" t="s">
        <v>216</v>
      </c>
    </row>
    <row r="60" spans="3:4" x14ac:dyDescent="0.2">
      <c r="D60" s="654" t="s">
        <v>217</v>
      </c>
    </row>
    <row r="61" spans="3:4" x14ac:dyDescent="0.2">
      <c r="D61" s="654" t="s">
        <v>218</v>
      </c>
    </row>
    <row r="64" spans="3:4" x14ac:dyDescent="0.2">
      <c r="C64" s="654" t="s">
        <v>399</v>
      </c>
    </row>
    <row r="65" spans="3:3" x14ac:dyDescent="0.2">
      <c r="C65" s="654" t="s">
        <v>414</v>
      </c>
    </row>
    <row r="66" spans="3:3" x14ac:dyDescent="0.2">
      <c r="C66" s="654" t="s">
        <v>400</v>
      </c>
    </row>
    <row r="68" spans="3:3" x14ac:dyDescent="0.2">
      <c r="C68" s="656" t="s">
        <v>359</v>
      </c>
    </row>
    <row r="69" spans="3:3" x14ac:dyDescent="0.2">
      <c r="C69" s="654" t="s">
        <v>219</v>
      </c>
    </row>
    <row r="70" spans="3:3" x14ac:dyDescent="0.2">
      <c r="C70" s="654" t="s">
        <v>530</v>
      </c>
    </row>
    <row r="71" spans="3:3" x14ac:dyDescent="0.2">
      <c r="C71" s="654" t="s">
        <v>401</v>
      </c>
    </row>
    <row r="73" spans="3:3" x14ac:dyDescent="0.2">
      <c r="C73" s="655" t="s">
        <v>531</v>
      </c>
    </row>
    <row r="75" spans="3:3" x14ac:dyDescent="0.2">
      <c r="C75" s="655" t="s">
        <v>532</v>
      </c>
    </row>
    <row r="76" spans="3:3" x14ac:dyDescent="0.2">
      <c r="C76" s="654" t="s">
        <v>402</v>
      </c>
    </row>
    <row r="77" spans="3:3" x14ac:dyDescent="0.2">
      <c r="C77" s="654" t="s">
        <v>512</v>
      </c>
    </row>
    <row r="78" spans="3:3" x14ac:dyDescent="0.2">
      <c r="C78" s="654" t="s">
        <v>513</v>
      </c>
    </row>
    <row r="80" spans="3:3" x14ac:dyDescent="0.2">
      <c r="C80" s="655" t="s">
        <v>533</v>
      </c>
    </row>
    <row r="81" spans="3:3" x14ac:dyDescent="0.2">
      <c r="C81" s="654" t="s">
        <v>403</v>
      </c>
    </row>
    <row r="82" spans="3:3" x14ac:dyDescent="0.2">
      <c r="C82" s="654" t="s">
        <v>534</v>
      </c>
    </row>
    <row r="83" spans="3:3" x14ac:dyDescent="0.2">
      <c r="C83" s="654" t="s">
        <v>63</v>
      </c>
    </row>
    <row r="85" spans="3:3" x14ac:dyDescent="0.2">
      <c r="C85" s="655" t="s">
        <v>535</v>
      </c>
    </row>
    <row r="86" spans="3:3" x14ac:dyDescent="0.2">
      <c r="C86" s="654" t="s">
        <v>404</v>
      </c>
    </row>
    <row r="87" spans="3:3" x14ac:dyDescent="0.2">
      <c r="C87" s="654" t="s">
        <v>64</v>
      </c>
    </row>
    <row r="88" spans="3:3" x14ac:dyDescent="0.2">
      <c r="C88" s="654" t="s">
        <v>65</v>
      </c>
    </row>
    <row r="90" spans="3:3" x14ac:dyDescent="0.2">
      <c r="C90" s="655" t="s">
        <v>405</v>
      </c>
    </row>
    <row r="91" spans="3:3" x14ac:dyDescent="0.2">
      <c r="C91" s="654" t="s">
        <v>72</v>
      </c>
    </row>
    <row r="92" spans="3:3" x14ac:dyDescent="0.2">
      <c r="C92" s="654" t="s">
        <v>73</v>
      </c>
    </row>
    <row r="93" spans="3:3" x14ac:dyDescent="0.2">
      <c r="C93" s="654" t="s">
        <v>536</v>
      </c>
    </row>
    <row r="95" spans="3:3" x14ac:dyDescent="0.2">
      <c r="C95" s="656" t="s">
        <v>1</v>
      </c>
    </row>
    <row r="96" spans="3:3" x14ac:dyDescent="0.2">
      <c r="C96" s="654" t="s">
        <v>2</v>
      </c>
    </row>
    <row r="97" spans="3:3" x14ac:dyDescent="0.2">
      <c r="C97" s="654" t="s">
        <v>140</v>
      </c>
    </row>
    <row r="98" spans="3:3" x14ac:dyDescent="0.2">
      <c r="C98" s="654" t="s">
        <v>417</v>
      </c>
    </row>
    <row r="100" spans="3:3" x14ac:dyDescent="0.2">
      <c r="C100" s="656" t="s">
        <v>378</v>
      </c>
    </row>
    <row r="101" spans="3:3" x14ac:dyDescent="0.2">
      <c r="C101" s="654" t="s">
        <v>252</v>
      </c>
    </row>
    <row r="102" spans="3:3" x14ac:dyDescent="0.2">
      <c r="C102" s="654" t="s">
        <v>220</v>
      </c>
    </row>
    <row r="103" spans="3:3" s="659" customFormat="1" x14ac:dyDescent="0.2">
      <c r="C103" s="654" t="s">
        <v>221</v>
      </c>
    </row>
    <row r="104" spans="3:3" s="659" customFormat="1" x14ac:dyDescent="0.2">
      <c r="C104" s="658" t="s">
        <v>554</v>
      </c>
    </row>
    <row r="105" spans="3:3" x14ac:dyDescent="0.2">
      <c r="C105" s="658" t="s">
        <v>546</v>
      </c>
    </row>
    <row r="106" spans="3:3" x14ac:dyDescent="0.2">
      <c r="C106" s="654" t="s">
        <v>515</v>
      </c>
    </row>
    <row r="107" spans="3:3" x14ac:dyDescent="0.2">
      <c r="C107" s="654" t="s">
        <v>514</v>
      </c>
    </row>
    <row r="108" spans="3:3" x14ac:dyDescent="0.2">
      <c r="C108" s="654" t="s">
        <v>415</v>
      </c>
    </row>
    <row r="109" spans="3:3" x14ac:dyDescent="0.2">
      <c r="C109" s="654" t="s">
        <v>537</v>
      </c>
    </row>
    <row r="110" spans="3:3" x14ac:dyDescent="0.2">
      <c r="C110" s="654" t="s">
        <v>222</v>
      </c>
    </row>
    <row r="111" spans="3:3" x14ac:dyDescent="0.2">
      <c r="C111" s="654" t="s">
        <v>223</v>
      </c>
    </row>
    <row r="113" spans="3:3" x14ac:dyDescent="0.2">
      <c r="C113" s="656" t="s">
        <v>526</v>
      </c>
    </row>
    <row r="114" spans="3:3" x14ac:dyDescent="0.2">
      <c r="C114" s="654" t="s">
        <v>18</v>
      </c>
    </row>
    <row r="115" spans="3:3" x14ac:dyDescent="0.2">
      <c r="C115" s="654" t="s">
        <v>19</v>
      </c>
    </row>
    <row r="116" spans="3:3" x14ac:dyDescent="0.2">
      <c r="C116" s="654" t="s">
        <v>20</v>
      </c>
    </row>
    <row r="117" spans="3:3" x14ac:dyDescent="0.2">
      <c r="C117" s="654" t="s">
        <v>28</v>
      </c>
    </row>
    <row r="118" spans="3:3" x14ac:dyDescent="0.2">
      <c r="C118" s="654" t="s">
        <v>134</v>
      </c>
    </row>
    <row r="119" spans="3:3" x14ac:dyDescent="0.2">
      <c r="C119" s="654" t="s">
        <v>29</v>
      </c>
    </row>
    <row r="120" spans="3:3" x14ac:dyDescent="0.2">
      <c r="C120" s="654" t="s">
        <v>135</v>
      </c>
    </row>
    <row r="121" spans="3:3" x14ac:dyDescent="0.2">
      <c r="C121" s="654" t="s">
        <v>136</v>
      </c>
    </row>
    <row r="122" spans="3:3" x14ac:dyDescent="0.2">
      <c r="C122" s="654" t="s">
        <v>224</v>
      </c>
    </row>
    <row r="124" spans="3:3" x14ac:dyDescent="0.2">
      <c r="C124" s="654" t="s">
        <v>137</v>
      </c>
    </row>
    <row r="125" spans="3:3" x14ac:dyDescent="0.2">
      <c r="C125" s="654" t="s">
        <v>225</v>
      </c>
    </row>
    <row r="126" spans="3:3" x14ac:dyDescent="0.2">
      <c r="C126" s="654" t="s">
        <v>226</v>
      </c>
    </row>
    <row r="128" spans="3:3" x14ac:dyDescent="0.2">
      <c r="C128" s="654" t="s">
        <v>139</v>
      </c>
    </row>
    <row r="129" spans="3:3" x14ac:dyDescent="0.2">
      <c r="C129" s="654" t="s">
        <v>138</v>
      </c>
    </row>
    <row r="130" spans="3:3" x14ac:dyDescent="0.2">
      <c r="C130" s="654" t="s">
        <v>30</v>
      </c>
    </row>
    <row r="131" spans="3:3" x14ac:dyDescent="0.2">
      <c r="C131" s="654" t="s">
        <v>31</v>
      </c>
    </row>
    <row r="133" spans="3:3" x14ac:dyDescent="0.2">
      <c r="C133" s="656" t="s">
        <v>406</v>
      </c>
    </row>
    <row r="134" spans="3:3" x14ac:dyDescent="0.2">
      <c r="C134" s="654" t="s">
        <v>3</v>
      </c>
    </row>
    <row r="135" spans="3:3" x14ac:dyDescent="0.2">
      <c r="C135" s="654" t="s">
        <v>39</v>
      </c>
    </row>
    <row r="136" spans="3:3" x14ac:dyDescent="0.2">
      <c r="C136" s="654" t="s">
        <v>40</v>
      </c>
    </row>
    <row r="137" spans="3:3" x14ac:dyDescent="0.2">
      <c r="C137" s="654" t="s">
        <v>4</v>
      </c>
    </row>
    <row r="138" spans="3:3" x14ac:dyDescent="0.2">
      <c r="C138" s="660" t="s">
        <v>360</v>
      </c>
    </row>
    <row r="139" spans="3:3" x14ac:dyDescent="0.2">
      <c r="C139" s="660" t="s">
        <v>361</v>
      </c>
    </row>
    <row r="140" spans="3:3" x14ac:dyDescent="0.2">
      <c r="C140" s="654" t="s">
        <v>416</v>
      </c>
    </row>
    <row r="141" spans="3:3" x14ac:dyDescent="0.2">
      <c r="C141" s="654" t="s">
        <v>0</v>
      </c>
    </row>
    <row r="143" spans="3:3" x14ac:dyDescent="0.2">
      <c r="C143" s="654" t="s">
        <v>41</v>
      </c>
    </row>
    <row r="144" spans="3:3" x14ac:dyDescent="0.2">
      <c r="C144" s="654" t="s">
        <v>42</v>
      </c>
    </row>
    <row r="146" spans="3:3" x14ac:dyDescent="0.2">
      <c r="C146" s="656" t="s">
        <v>5</v>
      </c>
    </row>
    <row r="147" spans="3:3" x14ac:dyDescent="0.2">
      <c r="C147" s="654" t="s">
        <v>6</v>
      </c>
    </row>
    <row r="148" spans="3:3" x14ac:dyDescent="0.2">
      <c r="C148" s="654" t="s">
        <v>140</v>
      </c>
    </row>
    <row r="149" spans="3:3" x14ac:dyDescent="0.2">
      <c r="C149" s="654" t="s">
        <v>417</v>
      </c>
    </row>
    <row r="151" spans="3:3" x14ac:dyDescent="0.2">
      <c r="C151" s="654" t="s">
        <v>375</v>
      </c>
    </row>
    <row r="153" spans="3:3" x14ac:dyDescent="0.2">
      <c r="C153" s="656" t="s">
        <v>33</v>
      </c>
    </row>
    <row r="154" spans="3:3" x14ac:dyDescent="0.2">
      <c r="C154" s="654" t="s">
        <v>418</v>
      </c>
    </row>
    <row r="155" spans="3:3" x14ac:dyDescent="0.2">
      <c r="C155" s="654" t="s">
        <v>34</v>
      </c>
    </row>
    <row r="156" spans="3:3" x14ac:dyDescent="0.2">
      <c r="C156" s="654" t="s">
        <v>35</v>
      </c>
    </row>
    <row r="157" spans="3:3" x14ac:dyDescent="0.2">
      <c r="C157" s="654" t="s">
        <v>36</v>
      </c>
    </row>
    <row r="159" spans="3:3" x14ac:dyDescent="0.2">
      <c r="C159" s="656" t="s">
        <v>253</v>
      </c>
    </row>
    <row r="160" spans="3:3" x14ac:dyDescent="0.2">
      <c r="C160" s="654" t="s">
        <v>254</v>
      </c>
    </row>
    <row r="161" spans="3:3" x14ac:dyDescent="0.2">
      <c r="C161" s="654" t="s">
        <v>255</v>
      </c>
    </row>
    <row r="162" spans="3:3" x14ac:dyDescent="0.2">
      <c r="C162" s="654" t="s">
        <v>256</v>
      </c>
    </row>
    <row r="163" spans="3:3" x14ac:dyDescent="0.2">
      <c r="C163" s="654" t="s">
        <v>257</v>
      </c>
    </row>
    <row r="165" spans="3:3" x14ac:dyDescent="0.2">
      <c r="C165" s="656" t="s">
        <v>21</v>
      </c>
    </row>
    <row r="166" spans="3:3" x14ac:dyDescent="0.2">
      <c r="C166" s="654" t="s">
        <v>22</v>
      </c>
    </row>
    <row r="167" spans="3:3" x14ac:dyDescent="0.2">
      <c r="C167" s="654" t="s">
        <v>258</v>
      </c>
    </row>
    <row r="168" spans="3:3" x14ac:dyDescent="0.2">
      <c r="C168" s="654" t="s">
        <v>259</v>
      </c>
    </row>
    <row r="169" spans="3:3" x14ac:dyDescent="0.2">
      <c r="C169" s="654" t="s">
        <v>376</v>
      </c>
    </row>
    <row r="170" spans="3:3" x14ac:dyDescent="0.2">
      <c r="C170" s="654" t="s">
        <v>377</v>
      </c>
    </row>
    <row r="171" spans="3:3" x14ac:dyDescent="0.2">
      <c r="C171" s="654" t="s">
        <v>23</v>
      </c>
    </row>
    <row r="173" spans="3:3" x14ac:dyDescent="0.2">
      <c r="C173" s="654" t="s">
        <v>24</v>
      </c>
    </row>
    <row r="175" spans="3:3" x14ac:dyDescent="0.2">
      <c r="C175" s="656" t="s">
        <v>37</v>
      </c>
    </row>
    <row r="176" spans="3:3" x14ac:dyDescent="0.2">
      <c r="C176" s="654" t="s">
        <v>26</v>
      </c>
    </row>
    <row r="177" spans="3:3" x14ac:dyDescent="0.2">
      <c r="C177" s="654" t="s">
        <v>27</v>
      </c>
    </row>
    <row r="178" spans="3:3" x14ac:dyDescent="0.2">
      <c r="C178" s="654" t="s">
        <v>25</v>
      </c>
    </row>
    <row r="179" spans="3:3" x14ac:dyDescent="0.2">
      <c r="C179" s="654" t="s">
        <v>43</v>
      </c>
    </row>
    <row r="180" spans="3:3" x14ac:dyDescent="0.2">
      <c r="C180" s="654" t="s">
        <v>44</v>
      </c>
    </row>
    <row r="182" spans="3:3" x14ac:dyDescent="0.2">
      <c r="C182" s="656" t="s">
        <v>421</v>
      </c>
    </row>
    <row r="183" spans="3:3" x14ac:dyDescent="0.2">
      <c r="C183" s="654" t="s">
        <v>419</v>
      </c>
    </row>
    <row r="184" spans="3:3" x14ac:dyDescent="0.2">
      <c r="C184" s="654" t="s">
        <v>420</v>
      </c>
    </row>
    <row r="186" spans="3:3" x14ac:dyDescent="0.2">
      <c r="C186" s="656" t="s">
        <v>516</v>
      </c>
    </row>
    <row r="187" spans="3:3" x14ac:dyDescent="0.2">
      <c r="C187" s="654" t="s">
        <v>68</v>
      </c>
    </row>
    <row r="188" spans="3:3" x14ac:dyDescent="0.2">
      <c r="C188" s="654" t="s">
        <v>517</v>
      </c>
    </row>
    <row r="189" spans="3:3" x14ac:dyDescent="0.2">
      <c r="C189" s="654" t="s">
        <v>227</v>
      </c>
    </row>
    <row r="190" spans="3:3" x14ac:dyDescent="0.2">
      <c r="C190" s="654" t="s">
        <v>69</v>
      </c>
    </row>
    <row r="191" spans="3:3" x14ac:dyDescent="0.2">
      <c r="C191" s="654" t="s">
        <v>32</v>
      </c>
    </row>
    <row r="193" spans="3:3" x14ac:dyDescent="0.2">
      <c r="C193" s="656" t="s">
        <v>518</v>
      </c>
    </row>
    <row r="194" spans="3:3" x14ac:dyDescent="0.2">
      <c r="C194" s="654" t="s">
        <v>519</v>
      </c>
    </row>
    <row r="195" spans="3:3" x14ac:dyDescent="0.2">
      <c r="C195" s="654" t="s">
        <v>520</v>
      </c>
    </row>
    <row r="196" spans="3:3" x14ac:dyDescent="0.2">
      <c r="C196" s="654" t="s">
        <v>521</v>
      </c>
    </row>
    <row r="197" spans="3:3" x14ac:dyDescent="0.2">
      <c r="C197" s="654" t="s">
        <v>522</v>
      </c>
    </row>
    <row r="199" spans="3:3" x14ac:dyDescent="0.2">
      <c r="C199" s="654" t="s">
        <v>543</v>
      </c>
    </row>
    <row r="200" spans="3:3" x14ac:dyDescent="0.2">
      <c r="C200" s="660" t="s">
        <v>527</v>
      </c>
    </row>
    <row r="201" spans="3:3" x14ac:dyDescent="0.2">
      <c r="C201" s="660" t="s">
        <v>528</v>
      </c>
    </row>
    <row r="202" spans="3:3" x14ac:dyDescent="0.2">
      <c r="C202" s="660" t="s">
        <v>538</v>
      </c>
    </row>
    <row r="204" spans="3:3" x14ac:dyDescent="0.2">
      <c r="C204" s="656" t="s">
        <v>228</v>
      </c>
    </row>
    <row r="205" spans="3:3" x14ac:dyDescent="0.2">
      <c r="C205" s="661" t="s">
        <v>447</v>
      </c>
    </row>
    <row r="206" spans="3:3" x14ac:dyDescent="0.2">
      <c r="C206" s="658" t="s">
        <v>548</v>
      </c>
    </row>
    <row r="207" spans="3:3" x14ac:dyDescent="0.2">
      <c r="C207" s="658" t="s">
        <v>547</v>
      </c>
    </row>
    <row r="209" spans="3:8" x14ac:dyDescent="0.2">
      <c r="C209" s="656" t="s">
        <v>38</v>
      </c>
    </row>
    <row r="210" spans="3:8" x14ac:dyDescent="0.2">
      <c r="C210" s="654" t="s">
        <v>70</v>
      </c>
    </row>
    <row r="212" spans="3:8" x14ac:dyDescent="0.2">
      <c r="C212" s="656" t="s">
        <v>141</v>
      </c>
    </row>
    <row r="213" spans="3:8" x14ac:dyDescent="0.2">
      <c r="C213" s="654" t="s">
        <v>142</v>
      </c>
    </row>
    <row r="214" spans="3:8" x14ac:dyDescent="0.2">
      <c r="C214" s="654" t="s">
        <v>143</v>
      </c>
    </row>
    <row r="215" spans="3:8" x14ac:dyDescent="0.2">
      <c r="C215" s="654" t="s">
        <v>540</v>
      </c>
      <c r="H215" s="20" t="s">
        <v>541</v>
      </c>
    </row>
    <row r="216" spans="3:8" x14ac:dyDescent="0.2">
      <c r="C216" s="654" t="s">
        <v>539</v>
      </c>
      <c r="H216" s="662" t="s">
        <v>422</v>
      </c>
    </row>
    <row r="229" ht="11.25" customHeight="1" x14ac:dyDescent="0.2"/>
  </sheetData>
  <sheetProtection password="DFB1" sheet="1" objects="1" scenarios="1"/>
  <phoneticPr fontId="0" type="noConversion"/>
  <hyperlinks>
    <hyperlink ref="H216" r:id="rId1"/>
    <hyperlink ref="H215" r:id="rId2"/>
  </hyperlinks>
  <pageMargins left="0.74803149606299213" right="0.74803149606299213" top="0.98425196850393704" bottom="0.98425196850393704" header="0.51181102362204722" footer="0.51181102362204722"/>
  <pageSetup paperSize="9" scale="67" orientation="portrait" r:id="rId3"/>
  <headerFooter alignWithMargins="0">
    <oddHeader>&amp;L&amp;"Arial,Vet"&amp;9&amp;F&amp;R&amp;"Arial,Vet"&amp;9&amp;A</oddHeader>
    <oddFooter>&amp;L&amp;"Arial,Vet"&amp;9PO-Raad&amp;C&amp;"Arial,Vet"&amp;9pagina &amp;P&amp;R&amp;"Arial,Vet"&amp;9&amp;D</oddFooter>
  </headerFooter>
  <rowBreaks count="2" manualBreakCount="2">
    <brk id="83" min="1" max="15" man="1"/>
    <brk id="163" min="1" max="15"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13"/>
  <sheetViews>
    <sheetView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45.7109375" style="34" customWidth="1"/>
    <col min="5" max="5" width="2.7109375" style="34" customWidth="1"/>
    <col min="6" max="7" width="14" style="34" customWidth="1"/>
    <col min="8" max="8" width="16.85546875" style="34" customWidth="1"/>
    <col min="9" max="10" width="16.85546875" style="34" hidden="1" customWidth="1"/>
    <col min="11" max="12" width="2.7109375" style="34" customWidth="1"/>
    <col min="13" max="13" width="15.42578125" style="34" customWidth="1"/>
    <col min="14" max="15" width="5.7109375" style="34" customWidth="1"/>
    <col min="16" max="16384" width="9.140625" style="34"/>
  </cols>
  <sheetData>
    <row r="1" spans="2:13" ht="12.75" customHeight="1" x14ac:dyDescent="0.2"/>
    <row r="2" spans="2:13" x14ac:dyDescent="0.2">
      <c r="B2" s="153"/>
      <c r="C2" s="154"/>
      <c r="D2" s="154"/>
      <c r="E2" s="154"/>
      <c r="F2" s="154"/>
      <c r="G2" s="154"/>
      <c r="H2" s="154"/>
      <c r="I2" s="154"/>
      <c r="J2" s="154"/>
      <c r="K2" s="154"/>
      <c r="L2" s="156"/>
    </row>
    <row r="3" spans="2:13" x14ac:dyDescent="0.2">
      <c r="B3" s="157"/>
      <c r="C3" s="158"/>
      <c r="D3" s="158"/>
      <c r="E3" s="158"/>
      <c r="F3" s="158"/>
      <c r="G3" s="158"/>
      <c r="H3" s="158"/>
      <c r="I3" s="158"/>
      <c r="J3" s="158"/>
      <c r="K3" s="158"/>
      <c r="L3" s="161"/>
    </row>
    <row r="4" spans="2:13" s="48" customFormat="1" ht="18.75" x14ac:dyDescent="0.3">
      <c r="B4" s="321"/>
      <c r="C4" s="183" t="s">
        <v>276</v>
      </c>
      <c r="D4" s="183"/>
      <c r="E4" s="196"/>
      <c r="F4" s="196"/>
      <c r="G4" s="325"/>
      <c r="H4" s="196"/>
      <c r="I4" s="196"/>
      <c r="J4" s="196"/>
      <c r="K4" s="196"/>
      <c r="L4" s="197"/>
    </row>
    <row r="5" spans="2:13" ht="18.75" x14ac:dyDescent="0.3">
      <c r="B5" s="157"/>
      <c r="C5" s="194" t="str">
        <f>geg!F10</f>
        <v>Zorgzaam</v>
      </c>
      <c r="D5" s="158"/>
      <c r="E5" s="158"/>
      <c r="F5" s="158"/>
      <c r="G5" s="158"/>
      <c r="H5" s="158"/>
      <c r="I5" s="158"/>
      <c r="J5" s="158"/>
      <c r="K5" s="158"/>
      <c r="L5" s="161"/>
    </row>
    <row r="6" spans="2:13" x14ac:dyDescent="0.2">
      <c r="B6" s="157"/>
      <c r="C6" s="158"/>
      <c r="D6" s="158"/>
      <c r="E6" s="326"/>
      <c r="F6" s="326"/>
      <c r="G6" s="243"/>
      <c r="H6" s="243"/>
      <c r="I6" s="243"/>
      <c r="J6" s="243"/>
      <c r="K6" s="327"/>
      <c r="L6" s="328"/>
      <c r="M6" s="61"/>
    </row>
    <row r="7" spans="2:13" x14ac:dyDescent="0.2">
      <c r="B7" s="157"/>
      <c r="C7" s="158"/>
      <c r="D7" s="158"/>
      <c r="E7" s="326"/>
      <c r="F7" s="326"/>
      <c r="G7" s="243"/>
      <c r="H7" s="467"/>
      <c r="I7" s="243"/>
      <c r="J7" s="243"/>
      <c r="K7" s="327"/>
      <c r="L7" s="328"/>
      <c r="M7" s="61"/>
    </row>
    <row r="8" spans="2:13" s="48" customFormat="1" x14ac:dyDescent="0.2">
      <c r="B8" s="195"/>
      <c r="C8" s="196"/>
      <c r="D8" s="329"/>
      <c r="E8" s="330"/>
      <c r="F8" s="320">
        <f>tab!C4</f>
        <v>2012</v>
      </c>
      <c r="G8" s="320">
        <f>tab!D4</f>
        <v>2013</v>
      </c>
      <c r="H8" s="528">
        <v>41851</v>
      </c>
      <c r="I8" s="320">
        <f>H8+1</f>
        <v>41852</v>
      </c>
      <c r="J8" s="320">
        <f>I8+1</f>
        <v>41853</v>
      </c>
      <c r="K8" s="331"/>
      <c r="L8" s="332"/>
      <c r="M8" s="62"/>
    </row>
    <row r="9" spans="2:13" x14ac:dyDescent="0.2">
      <c r="B9" s="157"/>
      <c r="C9" s="158"/>
      <c r="D9" s="158"/>
      <c r="E9" s="326"/>
      <c r="F9" s="326"/>
      <c r="G9" s="158"/>
      <c r="H9" s="158"/>
      <c r="I9" s="158"/>
      <c r="J9" s="158"/>
      <c r="K9" s="327"/>
      <c r="L9" s="328"/>
      <c r="M9" s="61"/>
    </row>
    <row r="10" spans="2:13" x14ac:dyDescent="0.2">
      <c r="B10" s="157"/>
      <c r="C10" s="499"/>
      <c r="D10" s="499"/>
      <c r="E10" s="789"/>
      <c r="F10" s="789"/>
      <c r="G10" s="499"/>
      <c r="H10" s="499"/>
      <c r="I10" s="499"/>
      <c r="J10" s="499"/>
      <c r="K10" s="790"/>
      <c r="L10" s="328"/>
      <c r="M10" s="61"/>
    </row>
    <row r="11" spans="2:13" x14ac:dyDescent="0.2">
      <c r="B11" s="157"/>
      <c r="C11" s="499"/>
      <c r="D11" s="682" t="s">
        <v>425</v>
      </c>
      <c r="E11" s="789"/>
      <c r="F11" s="789"/>
      <c r="G11" s="499"/>
      <c r="H11" s="499"/>
      <c r="I11" s="499"/>
      <c r="J11" s="499"/>
      <c r="K11" s="790"/>
      <c r="L11" s="328"/>
      <c r="M11" s="61"/>
    </row>
    <row r="12" spans="2:13" x14ac:dyDescent="0.2">
      <c r="B12" s="157"/>
      <c r="C12" s="499"/>
      <c r="D12" s="499"/>
      <c r="E12" s="789"/>
      <c r="F12" s="789"/>
      <c r="G12" s="499"/>
      <c r="H12" s="499"/>
      <c r="I12" s="499"/>
      <c r="J12" s="499"/>
      <c r="K12" s="790"/>
      <c r="L12" s="328"/>
      <c r="M12" s="61"/>
    </row>
    <row r="13" spans="2:13" x14ac:dyDescent="0.2">
      <c r="B13" s="157"/>
      <c r="C13" s="499"/>
      <c r="D13" s="502" t="s">
        <v>385</v>
      </c>
      <c r="E13" s="789"/>
      <c r="F13" s="789"/>
      <c r="G13" s="499"/>
      <c r="H13" s="499"/>
      <c r="I13" s="499"/>
      <c r="J13" s="499"/>
      <c r="K13" s="790"/>
      <c r="L13" s="328"/>
      <c r="M13" s="61"/>
    </row>
    <row r="14" spans="2:13" x14ac:dyDescent="0.2">
      <c r="B14" s="157"/>
      <c r="C14" s="499"/>
      <c r="D14" s="695" t="s">
        <v>115</v>
      </c>
      <c r="E14" s="499"/>
      <c r="F14" s="798">
        <v>0</v>
      </c>
      <c r="G14" s="795">
        <f>pers!F112+mat!I21</f>
        <v>945603.91666666674</v>
      </c>
      <c r="H14" s="795">
        <f>pers!G112+mat!J21</f>
        <v>553020.41666666674</v>
      </c>
      <c r="I14" s="786">
        <f>pers!H112+mat!K21</f>
        <v>947435.00000000012</v>
      </c>
      <c r="J14" s="786">
        <f>pers!I112+mat!L21</f>
        <v>947435.00000000012</v>
      </c>
      <c r="K14" s="499"/>
      <c r="L14" s="161"/>
    </row>
    <row r="15" spans="2:13" ht="12" customHeight="1" x14ac:dyDescent="0.2">
      <c r="B15" s="157"/>
      <c r="C15" s="499"/>
      <c r="D15" s="695" t="s">
        <v>277</v>
      </c>
      <c r="E15" s="499"/>
      <c r="F15" s="861">
        <v>0</v>
      </c>
      <c r="G15" s="796">
        <f>pers!F113+mat!I31</f>
        <v>0</v>
      </c>
      <c r="H15" s="796">
        <f>pers!G113+mat!J31</f>
        <v>0</v>
      </c>
      <c r="I15" s="785">
        <f>pers!H113+mat!K31</f>
        <v>0</v>
      </c>
      <c r="J15" s="785">
        <f>pers!I113+mat!L31</f>
        <v>0</v>
      </c>
      <c r="K15" s="499"/>
      <c r="L15" s="161"/>
    </row>
    <row r="16" spans="2:13" ht="12" hidden="1" customHeight="1" x14ac:dyDescent="0.2">
      <c r="B16" s="157"/>
      <c r="C16" s="499"/>
      <c r="D16" s="695" t="s">
        <v>297</v>
      </c>
      <c r="E16" s="499"/>
      <c r="F16" s="798"/>
      <c r="G16" s="795">
        <v>0</v>
      </c>
      <c r="H16" s="795">
        <v>0</v>
      </c>
      <c r="I16" s="786">
        <v>0</v>
      </c>
      <c r="J16" s="786">
        <v>0</v>
      </c>
      <c r="K16" s="499"/>
      <c r="L16" s="161"/>
    </row>
    <row r="17" spans="2:12" ht="12" customHeight="1" x14ac:dyDescent="0.2">
      <c r="B17" s="157"/>
      <c r="C17" s="499"/>
      <c r="D17" s="695" t="s">
        <v>298</v>
      </c>
      <c r="E17" s="499"/>
      <c r="F17" s="798">
        <v>0</v>
      </c>
      <c r="G17" s="795">
        <f>pers!F114+mat!I38</f>
        <v>0</v>
      </c>
      <c r="H17" s="795">
        <f>pers!G114+mat!J38</f>
        <v>0</v>
      </c>
      <c r="I17" s="786">
        <f>pers!H114+mat!K38</f>
        <v>0</v>
      </c>
      <c r="J17" s="786">
        <f>pers!I114+mat!L38</f>
        <v>0</v>
      </c>
      <c r="K17" s="499"/>
      <c r="L17" s="161"/>
    </row>
    <row r="18" spans="2:12" ht="12" customHeight="1" x14ac:dyDescent="0.2">
      <c r="B18" s="157"/>
      <c r="C18" s="499"/>
      <c r="D18" s="695" t="s">
        <v>117</v>
      </c>
      <c r="E18" s="499"/>
      <c r="F18" s="798">
        <v>0</v>
      </c>
      <c r="G18" s="795">
        <f>pers!F115+(mat!I43-mat!I38)</f>
        <v>0</v>
      </c>
      <c r="H18" s="795">
        <f>pers!G115+(mat!J43-mat!J38)</f>
        <v>0</v>
      </c>
      <c r="I18" s="786">
        <f>pers!H115+(mat!K43-mat!K38)</f>
        <v>0</v>
      </c>
      <c r="J18" s="786">
        <f>pers!I115+(mat!L43-mat!L38)</f>
        <v>0</v>
      </c>
      <c r="K18" s="499"/>
      <c r="L18" s="161"/>
    </row>
    <row r="19" spans="2:12" x14ac:dyDescent="0.2">
      <c r="B19" s="157"/>
      <c r="C19" s="499"/>
      <c r="D19" s="735"/>
      <c r="E19" s="502"/>
      <c r="F19" s="797">
        <f>SUM(F14:F18)</f>
        <v>0</v>
      </c>
      <c r="G19" s="797">
        <f>SUM(G14:G18)</f>
        <v>945603.91666666674</v>
      </c>
      <c r="H19" s="797">
        <f>SUM(H14:H18)</f>
        <v>553020.41666666674</v>
      </c>
      <c r="I19" s="787">
        <f>SUM(I14:I18)</f>
        <v>947435.00000000012</v>
      </c>
      <c r="J19" s="787">
        <f>SUM(J14:J18)</f>
        <v>947435.00000000012</v>
      </c>
      <c r="K19" s="499"/>
      <c r="L19" s="161"/>
    </row>
    <row r="20" spans="2:12" x14ac:dyDescent="0.2">
      <c r="B20" s="333"/>
      <c r="C20" s="735"/>
      <c r="D20" s="502" t="s">
        <v>299</v>
      </c>
      <c r="E20" s="502"/>
      <c r="F20" s="791"/>
      <c r="G20" s="791"/>
      <c r="H20" s="791"/>
      <c r="I20" s="791"/>
      <c r="J20" s="791"/>
      <c r="K20" s="499"/>
      <c r="L20" s="161"/>
    </row>
    <row r="21" spans="2:12" x14ac:dyDescent="0.2">
      <c r="B21" s="157"/>
      <c r="C21" s="499"/>
      <c r="D21" s="792" t="s">
        <v>307</v>
      </c>
      <c r="E21" s="500"/>
      <c r="F21" s="861">
        <v>0</v>
      </c>
      <c r="G21" s="796">
        <f>pers!F116</f>
        <v>342371.5</v>
      </c>
      <c r="H21" s="796">
        <f>pers!G116</f>
        <v>200025</v>
      </c>
      <c r="I21" s="785">
        <f>pers!H116</f>
        <v>342900</v>
      </c>
      <c r="J21" s="785">
        <f>pers!I116</f>
        <v>342900</v>
      </c>
      <c r="K21" s="499"/>
      <c r="L21" s="161"/>
    </row>
    <row r="22" spans="2:12" x14ac:dyDescent="0.2">
      <c r="B22" s="157"/>
      <c r="C22" s="499"/>
      <c r="D22" s="499" t="s">
        <v>118</v>
      </c>
      <c r="E22" s="499"/>
      <c r="F22" s="861">
        <f>mat!H59</f>
        <v>0</v>
      </c>
      <c r="G22" s="796">
        <f>mat!I59</f>
        <v>0</v>
      </c>
      <c r="H22" s="796">
        <f>mat!J59</f>
        <v>0</v>
      </c>
      <c r="I22" s="785">
        <f>mat!K59</f>
        <v>0</v>
      </c>
      <c r="J22" s="785">
        <f>mat!L59</f>
        <v>0</v>
      </c>
      <c r="K22" s="499"/>
      <c r="L22" s="161"/>
    </row>
    <row r="23" spans="2:12" x14ac:dyDescent="0.2">
      <c r="B23" s="157"/>
      <c r="C23" s="499"/>
      <c r="D23" s="499" t="s">
        <v>119</v>
      </c>
      <c r="E23" s="499"/>
      <c r="F23" s="861">
        <f>mat!H69</f>
        <v>0</v>
      </c>
      <c r="G23" s="796">
        <f>mat!I69</f>
        <v>0</v>
      </c>
      <c r="H23" s="796">
        <f>mat!J69</f>
        <v>0</v>
      </c>
      <c r="I23" s="785">
        <f>mat!K69</f>
        <v>0</v>
      </c>
      <c r="J23" s="785">
        <f>mat!L69</f>
        <v>0</v>
      </c>
      <c r="K23" s="499"/>
      <c r="L23" s="161"/>
    </row>
    <row r="24" spans="2:12" x14ac:dyDescent="0.2">
      <c r="B24" s="157"/>
      <c r="C24" s="499"/>
      <c r="D24" s="499" t="s">
        <v>300</v>
      </c>
      <c r="E24" s="499"/>
      <c r="F24" s="798">
        <f>mat!H86</f>
        <v>21736</v>
      </c>
      <c r="G24" s="795">
        <f>mat!I86</f>
        <v>22129</v>
      </c>
      <c r="H24" s="795">
        <f>mat!J86</f>
        <v>13091.166666666668</v>
      </c>
      <c r="I24" s="786">
        <f>mat!K86</f>
        <v>22129</v>
      </c>
      <c r="J24" s="786">
        <f>mat!L86</f>
        <v>22129</v>
      </c>
      <c r="K24" s="499"/>
      <c r="L24" s="161"/>
    </row>
    <row r="25" spans="2:12" x14ac:dyDescent="0.2">
      <c r="B25" s="157"/>
      <c r="C25" s="499"/>
      <c r="D25" s="735"/>
      <c r="E25" s="499"/>
      <c r="F25" s="797">
        <f>SUM(F21:F24)</f>
        <v>21736</v>
      </c>
      <c r="G25" s="797">
        <f>SUM(G21:G24)</f>
        <v>364500.5</v>
      </c>
      <c r="H25" s="797">
        <f>SUM(H21:H24)</f>
        <v>213116.16666666666</v>
      </c>
      <c r="I25" s="787">
        <f>SUM(I21:I24)</f>
        <v>365029</v>
      </c>
      <c r="J25" s="787">
        <f>SUM(J21:J24)</f>
        <v>365029</v>
      </c>
      <c r="K25" s="499"/>
      <c r="L25" s="161"/>
    </row>
    <row r="26" spans="2:12" x14ac:dyDescent="0.2">
      <c r="B26" s="157"/>
      <c r="C26" s="499"/>
      <c r="D26" s="793"/>
      <c r="E26" s="500"/>
      <c r="F26" s="794"/>
      <c r="G26" s="794"/>
      <c r="H26" s="794"/>
      <c r="I26" s="794"/>
      <c r="J26" s="794"/>
      <c r="K26" s="499"/>
      <c r="L26" s="161"/>
    </row>
    <row r="27" spans="2:12" x14ac:dyDescent="0.2">
      <c r="B27" s="170"/>
      <c r="C27" s="502"/>
      <c r="D27" s="735" t="s">
        <v>301</v>
      </c>
      <c r="E27" s="500"/>
      <c r="F27" s="797">
        <f>F19-F25</f>
        <v>-21736</v>
      </c>
      <c r="G27" s="797">
        <f>G19-G25</f>
        <v>581103.41666666674</v>
      </c>
      <c r="H27" s="797">
        <f>H19-H25</f>
        <v>339904.25000000012</v>
      </c>
      <c r="I27" s="787">
        <f>I19-I25</f>
        <v>582406.00000000012</v>
      </c>
      <c r="J27" s="787">
        <f>J19-J25</f>
        <v>582406.00000000012</v>
      </c>
      <c r="K27" s="499"/>
      <c r="L27" s="161"/>
    </row>
    <row r="28" spans="2:12" x14ac:dyDescent="0.2">
      <c r="B28" s="157"/>
      <c r="C28" s="499"/>
      <c r="D28" s="767"/>
      <c r="E28" s="500"/>
      <c r="F28" s="794"/>
      <c r="G28" s="794"/>
      <c r="H28" s="794"/>
      <c r="I28" s="794"/>
      <c r="J28" s="794"/>
      <c r="K28" s="499"/>
      <c r="L28" s="161"/>
    </row>
    <row r="29" spans="2:12" x14ac:dyDescent="0.2">
      <c r="B29" s="157"/>
      <c r="C29" s="158"/>
      <c r="D29" s="334"/>
      <c r="E29" s="310"/>
      <c r="F29" s="335"/>
      <c r="G29" s="335"/>
      <c r="H29" s="335"/>
      <c r="I29" s="335"/>
      <c r="J29" s="335"/>
      <c r="K29" s="158"/>
      <c r="L29" s="161"/>
    </row>
    <row r="30" spans="2:12" x14ac:dyDescent="0.2">
      <c r="B30" s="157"/>
      <c r="C30" s="499"/>
      <c r="D30" s="767"/>
      <c r="E30" s="500"/>
      <c r="F30" s="786"/>
      <c r="G30" s="786"/>
      <c r="H30" s="786"/>
      <c r="I30" s="786"/>
      <c r="J30" s="786"/>
      <c r="K30" s="499"/>
      <c r="L30" s="161"/>
    </row>
    <row r="31" spans="2:12" x14ac:dyDescent="0.2">
      <c r="B31" s="157"/>
      <c r="C31" s="499"/>
      <c r="D31" s="779" t="s">
        <v>238</v>
      </c>
      <c r="E31" s="500"/>
      <c r="F31" s="786"/>
      <c r="G31" s="786"/>
      <c r="H31" s="786"/>
      <c r="I31" s="786"/>
      <c r="J31" s="786"/>
      <c r="K31" s="499"/>
      <c r="L31" s="161"/>
    </row>
    <row r="32" spans="2:12" x14ac:dyDescent="0.2">
      <c r="B32" s="157"/>
      <c r="C32" s="499"/>
      <c r="D32" s="767"/>
      <c r="E32" s="500"/>
      <c r="F32" s="786"/>
      <c r="G32" s="786"/>
      <c r="H32" s="786"/>
      <c r="I32" s="786"/>
      <c r="J32" s="786"/>
      <c r="K32" s="499"/>
      <c r="L32" s="161"/>
    </row>
    <row r="33" spans="2:12" x14ac:dyDescent="0.2">
      <c r="B33" s="157"/>
      <c r="C33" s="499"/>
      <c r="D33" s="695" t="s">
        <v>121</v>
      </c>
      <c r="E33" s="500"/>
      <c r="F33" s="798">
        <v>0</v>
      </c>
      <c r="G33" s="798">
        <v>0</v>
      </c>
      <c r="H33" s="798">
        <f t="shared" ref="H33:J34" si="0">G33</f>
        <v>0</v>
      </c>
      <c r="I33" s="788">
        <f t="shared" si="0"/>
        <v>0</v>
      </c>
      <c r="J33" s="788">
        <f t="shared" si="0"/>
        <v>0</v>
      </c>
      <c r="K33" s="499"/>
      <c r="L33" s="161"/>
    </row>
    <row r="34" spans="2:12" x14ac:dyDescent="0.2">
      <c r="B34" s="157"/>
      <c r="C34" s="499"/>
      <c r="D34" s="695" t="s">
        <v>122</v>
      </c>
      <c r="E34" s="500"/>
      <c r="F34" s="798">
        <v>0</v>
      </c>
      <c r="G34" s="798">
        <v>0</v>
      </c>
      <c r="H34" s="798">
        <f t="shared" si="0"/>
        <v>0</v>
      </c>
      <c r="I34" s="788">
        <f t="shared" si="0"/>
        <v>0</v>
      </c>
      <c r="J34" s="788">
        <f t="shared" si="0"/>
        <v>0</v>
      </c>
      <c r="K34" s="499"/>
      <c r="L34" s="161"/>
    </row>
    <row r="35" spans="2:12" x14ac:dyDescent="0.2">
      <c r="B35" s="157"/>
      <c r="C35" s="499"/>
      <c r="D35" s="695"/>
      <c r="E35" s="500"/>
      <c r="F35" s="786"/>
      <c r="G35" s="786"/>
      <c r="H35" s="786"/>
      <c r="I35" s="786"/>
      <c r="J35" s="786"/>
      <c r="K35" s="499"/>
      <c r="L35" s="161"/>
    </row>
    <row r="36" spans="2:12" s="35" customFormat="1" x14ac:dyDescent="0.2">
      <c r="B36" s="170"/>
      <c r="C36" s="502"/>
      <c r="D36" s="735" t="s">
        <v>302</v>
      </c>
      <c r="E36" s="502"/>
      <c r="F36" s="797">
        <f>F33-F34</f>
        <v>0</v>
      </c>
      <c r="G36" s="797">
        <f>G33-G34</f>
        <v>0</v>
      </c>
      <c r="H36" s="797">
        <f>H33-H34</f>
        <v>0</v>
      </c>
      <c r="I36" s="787">
        <f>I33-I34</f>
        <v>0</v>
      </c>
      <c r="J36" s="787">
        <f>J33-J34</f>
        <v>0</v>
      </c>
      <c r="K36" s="502"/>
      <c r="L36" s="171"/>
    </row>
    <row r="37" spans="2:12" x14ac:dyDescent="0.2">
      <c r="B37" s="157"/>
      <c r="C37" s="499"/>
      <c r="D37" s="695"/>
      <c r="E37" s="500"/>
      <c r="F37" s="786"/>
      <c r="G37" s="786"/>
      <c r="H37" s="786"/>
      <c r="I37" s="786"/>
      <c r="J37" s="786"/>
      <c r="K37" s="499"/>
      <c r="L37" s="161"/>
    </row>
    <row r="38" spans="2:12" x14ac:dyDescent="0.2">
      <c r="B38" s="157"/>
      <c r="C38" s="158"/>
      <c r="D38" s="334"/>
      <c r="E38" s="310"/>
      <c r="F38" s="335"/>
      <c r="G38" s="335"/>
      <c r="H38" s="335"/>
      <c r="I38" s="335"/>
      <c r="J38" s="335"/>
      <c r="K38" s="158"/>
      <c r="L38" s="161"/>
    </row>
    <row r="39" spans="2:12" x14ac:dyDescent="0.2">
      <c r="B39" s="157"/>
      <c r="C39" s="499"/>
      <c r="D39" s="695"/>
      <c r="E39" s="500"/>
      <c r="F39" s="786"/>
      <c r="G39" s="786"/>
      <c r="H39" s="786"/>
      <c r="I39" s="786"/>
      <c r="J39" s="786"/>
      <c r="K39" s="499"/>
      <c r="L39" s="161"/>
    </row>
    <row r="40" spans="2:12" s="35" customFormat="1" x14ac:dyDescent="0.2">
      <c r="B40" s="170"/>
      <c r="C40" s="502"/>
      <c r="D40" s="779" t="s">
        <v>303</v>
      </c>
      <c r="E40" s="502"/>
      <c r="F40" s="797">
        <f>F27+F36</f>
        <v>-21736</v>
      </c>
      <c r="G40" s="797">
        <f>G27+G36</f>
        <v>581103.41666666674</v>
      </c>
      <c r="H40" s="797">
        <f>H27+H36</f>
        <v>339904.25000000012</v>
      </c>
      <c r="I40" s="787">
        <f>I27+I36</f>
        <v>582406.00000000012</v>
      </c>
      <c r="J40" s="787">
        <f>J27+J36</f>
        <v>582406.00000000012</v>
      </c>
      <c r="K40" s="502"/>
      <c r="L40" s="171"/>
    </row>
    <row r="41" spans="2:12" x14ac:dyDescent="0.2">
      <c r="B41" s="157"/>
      <c r="C41" s="499"/>
      <c r="D41" s="695"/>
      <c r="E41" s="500"/>
      <c r="F41" s="500"/>
      <c r="G41" s="786"/>
      <c r="H41" s="786"/>
      <c r="I41" s="786"/>
      <c r="J41" s="786"/>
      <c r="K41" s="499"/>
      <c r="L41" s="161"/>
    </row>
    <row r="42" spans="2:12" x14ac:dyDescent="0.2">
      <c r="B42" s="157"/>
      <c r="C42" s="158"/>
      <c r="D42" s="336"/>
      <c r="E42" s="158"/>
      <c r="F42" s="158"/>
      <c r="G42" s="337"/>
      <c r="H42" s="337"/>
      <c r="I42" s="337"/>
      <c r="J42" s="337"/>
      <c r="K42" s="158"/>
      <c r="L42" s="161"/>
    </row>
    <row r="43" spans="2:12" ht="15" x14ac:dyDescent="0.25">
      <c r="B43" s="172"/>
      <c r="C43" s="173"/>
      <c r="D43" s="338"/>
      <c r="E43" s="173"/>
      <c r="F43" s="173"/>
      <c r="G43" s="339"/>
      <c r="H43" s="339"/>
      <c r="I43" s="339"/>
      <c r="J43" s="339"/>
      <c r="K43" s="175" t="s">
        <v>423</v>
      </c>
      <c r="L43" s="176"/>
    </row>
    <row r="44" spans="2:12" x14ac:dyDescent="0.2">
      <c r="I44" s="64"/>
    </row>
    <row r="45" spans="2:12" x14ac:dyDescent="0.2">
      <c r="I45" s="64"/>
    </row>
    <row r="46" spans="2:12" x14ac:dyDescent="0.2">
      <c r="I46" s="64"/>
    </row>
    <row r="47" spans="2:12" x14ac:dyDescent="0.2">
      <c r="I47" s="64"/>
    </row>
    <row r="48" spans="2:12" x14ac:dyDescent="0.2">
      <c r="I48" s="64"/>
    </row>
    <row r="49" spans="9:9" x14ac:dyDescent="0.2">
      <c r="I49" s="64"/>
    </row>
    <row r="50" spans="9:9" x14ac:dyDescent="0.2">
      <c r="I50" s="64"/>
    </row>
    <row r="51" spans="9:9" x14ac:dyDescent="0.2">
      <c r="I51" s="64"/>
    </row>
    <row r="52" spans="9:9" x14ac:dyDescent="0.2">
      <c r="I52" s="64"/>
    </row>
    <row r="53" spans="9:9" x14ac:dyDescent="0.2">
      <c r="I53" s="64"/>
    </row>
    <row r="54" spans="9:9" x14ac:dyDescent="0.2">
      <c r="I54" s="64"/>
    </row>
    <row r="55" spans="9:9" x14ac:dyDescent="0.2">
      <c r="I55" s="64"/>
    </row>
    <row r="56" spans="9:9" x14ac:dyDescent="0.2">
      <c r="I56" s="64"/>
    </row>
    <row r="57" spans="9:9" x14ac:dyDescent="0.2">
      <c r="I57" s="64"/>
    </row>
    <row r="58" spans="9:9" x14ac:dyDescent="0.2">
      <c r="I58" s="64"/>
    </row>
    <row r="59" spans="9:9" x14ac:dyDescent="0.2">
      <c r="I59" s="64"/>
    </row>
    <row r="60" spans="9:9" x14ac:dyDescent="0.2">
      <c r="I60" s="64"/>
    </row>
    <row r="61" spans="9:9" x14ac:dyDescent="0.2">
      <c r="I61" s="64"/>
    </row>
    <row r="62" spans="9:9" x14ac:dyDescent="0.2">
      <c r="I62" s="64"/>
    </row>
    <row r="63" spans="9:9" x14ac:dyDescent="0.2">
      <c r="I63" s="64"/>
    </row>
    <row r="64" spans="9:9" x14ac:dyDescent="0.2">
      <c r="I64" s="64"/>
    </row>
    <row r="65" spans="9:9" x14ac:dyDescent="0.2">
      <c r="I65" s="64"/>
    </row>
    <row r="66" spans="9:9" x14ac:dyDescent="0.2">
      <c r="I66" s="64"/>
    </row>
    <row r="67" spans="9:9" x14ac:dyDescent="0.2">
      <c r="I67" s="64"/>
    </row>
    <row r="68" spans="9:9" x14ac:dyDescent="0.2">
      <c r="I68" s="64"/>
    </row>
    <row r="69" spans="9:9" x14ac:dyDescent="0.2">
      <c r="I69" s="64"/>
    </row>
    <row r="70" spans="9:9" x14ac:dyDescent="0.2">
      <c r="I70" s="64"/>
    </row>
    <row r="71" spans="9:9" x14ac:dyDescent="0.2">
      <c r="I71" s="64"/>
    </row>
    <row r="72" spans="9:9" x14ac:dyDescent="0.2">
      <c r="I72" s="64"/>
    </row>
    <row r="73" spans="9:9" x14ac:dyDescent="0.2">
      <c r="I73" s="64"/>
    </row>
    <row r="74" spans="9:9" x14ac:dyDescent="0.2">
      <c r="I74" s="64"/>
    </row>
    <row r="75" spans="9:9" x14ac:dyDescent="0.2">
      <c r="I75" s="64"/>
    </row>
    <row r="76" spans="9:9" x14ac:dyDescent="0.2">
      <c r="I76" s="64"/>
    </row>
    <row r="77" spans="9:9" x14ac:dyDescent="0.2">
      <c r="I77" s="64"/>
    </row>
    <row r="78" spans="9:9" x14ac:dyDescent="0.2">
      <c r="I78" s="64"/>
    </row>
    <row r="79" spans="9:9" x14ac:dyDescent="0.2">
      <c r="I79" s="64"/>
    </row>
    <row r="80" spans="9:9" x14ac:dyDescent="0.2">
      <c r="I80" s="64"/>
    </row>
    <row r="81" spans="9:9" x14ac:dyDescent="0.2">
      <c r="I81" s="64"/>
    </row>
    <row r="82" spans="9:9" x14ac:dyDescent="0.2">
      <c r="I82" s="64"/>
    </row>
    <row r="83" spans="9:9" x14ac:dyDescent="0.2">
      <c r="I83" s="64"/>
    </row>
    <row r="84" spans="9:9" x14ac:dyDescent="0.2">
      <c r="I84" s="64"/>
    </row>
    <row r="85" spans="9:9" x14ac:dyDescent="0.2">
      <c r="I85" s="64"/>
    </row>
    <row r="86" spans="9:9" x14ac:dyDescent="0.2">
      <c r="I86" s="64"/>
    </row>
    <row r="87" spans="9:9" x14ac:dyDescent="0.2">
      <c r="I87" s="64"/>
    </row>
    <row r="88" spans="9:9" x14ac:dyDescent="0.2">
      <c r="I88" s="64"/>
    </row>
    <row r="89" spans="9:9" x14ac:dyDescent="0.2">
      <c r="I89" s="64"/>
    </row>
    <row r="90" spans="9:9" x14ac:dyDescent="0.2">
      <c r="I90" s="64"/>
    </row>
    <row r="91" spans="9:9" x14ac:dyDescent="0.2">
      <c r="I91" s="64"/>
    </row>
    <row r="92" spans="9:9" x14ac:dyDescent="0.2">
      <c r="I92" s="64"/>
    </row>
    <row r="93" spans="9:9" x14ac:dyDescent="0.2">
      <c r="I93" s="64"/>
    </row>
    <row r="94" spans="9:9" x14ac:dyDescent="0.2">
      <c r="I94" s="64"/>
    </row>
    <row r="95" spans="9:9" x14ac:dyDescent="0.2">
      <c r="I95" s="64"/>
    </row>
    <row r="96" spans="9:9" x14ac:dyDescent="0.2">
      <c r="I96" s="64"/>
    </row>
    <row r="97" spans="9:9" x14ac:dyDescent="0.2">
      <c r="I97" s="64"/>
    </row>
    <row r="98" spans="9:9" x14ac:dyDescent="0.2">
      <c r="I98" s="64"/>
    </row>
    <row r="99" spans="9:9" x14ac:dyDescent="0.2">
      <c r="I99" s="64"/>
    </row>
    <row r="100" spans="9:9" x14ac:dyDescent="0.2">
      <c r="I100" s="64"/>
    </row>
    <row r="101" spans="9:9" x14ac:dyDescent="0.2">
      <c r="I101" s="64"/>
    </row>
    <row r="102" spans="9:9" x14ac:dyDescent="0.2">
      <c r="I102" s="64"/>
    </row>
    <row r="103" spans="9:9" x14ac:dyDescent="0.2">
      <c r="I103" s="64"/>
    </row>
    <row r="104" spans="9:9" x14ac:dyDescent="0.2">
      <c r="I104" s="64"/>
    </row>
    <row r="105" spans="9:9" x14ac:dyDescent="0.2">
      <c r="I105" s="64"/>
    </row>
    <row r="106" spans="9:9" x14ac:dyDescent="0.2">
      <c r="I106" s="64"/>
    </row>
    <row r="107" spans="9:9" x14ac:dyDescent="0.2">
      <c r="I107" s="64"/>
    </row>
    <row r="108" spans="9:9" x14ac:dyDescent="0.2">
      <c r="I108" s="64"/>
    </row>
    <row r="109" spans="9:9" x14ac:dyDescent="0.2">
      <c r="I109" s="64"/>
    </row>
    <row r="110" spans="9:9" x14ac:dyDescent="0.2">
      <c r="I110" s="64"/>
    </row>
    <row r="111" spans="9:9" x14ac:dyDescent="0.2">
      <c r="I111" s="64"/>
    </row>
    <row r="112" spans="9:9" x14ac:dyDescent="0.2">
      <c r="I112" s="64"/>
    </row>
    <row r="113" spans="9:9" x14ac:dyDescent="0.2">
      <c r="I113" s="64"/>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94" orientation="portrait" r:id="rId1"/>
  <headerFooter alignWithMargins="0">
    <oddHeader>&amp;L&amp;F&amp;R&amp;"Arial,Vet"&amp;A</oddHeader>
    <oddFooter>&amp;L&amp;"Arial,Vet"PO-Raad&amp;C&amp;"Arial,Vet"pagina &amp;P&amp;R&amp;"Arial,Vet"&amp;D</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T139"/>
  <sheetViews>
    <sheetView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35.5703125" style="34" customWidth="1"/>
    <col min="5" max="5" width="2.7109375" style="34" customWidth="1"/>
    <col min="6" max="6" width="16.7109375" style="34" customWidth="1"/>
    <col min="7" max="8" width="16.5703125" style="36" customWidth="1"/>
    <col min="9" max="10" width="16.5703125" style="36" hidden="1" customWidth="1"/>
    <col min="11" max="11" width="2.7109375" style="36" customWidth="1"/>
    <col min="12" max="12" width="2.7109375" style="34" customWidth="1"/>
    <col min="13" max="13" width="11.42578125" style="43" customWidth="1"/>
    <col min="14" max="14" width="33.7109375" style="34" customWidth="1"/>
    <col min="15" max="15" width="2.5703125" style="34" customWidth="1"/>
    <col min="16" max="20" width="10.7109375" style="34" customWidth="1"/>
    <col min="21" max="21" width="2.7109375" style="34" customWidth="1"/>
    <col min="22" max="16384" width="9.140625" style="34"/>
  </cols>
  <sheetData>
    <row r="2" spans="2:16" x14ac:dyDescent="0.2">
      <c r="B2" s="153"/>
      <c r="C2" s="154"/>
      <c r="D2" s="154"/>
      <c r="E2" s="154"/>
      <c r="F2" s="154"/>
      <c r="G2" s="155"/>
      <c r="H2" s="155"/>
      <c r="I2" s="155"/>
      <c r="J2" s="155"/>
      <c r="K2" s="155"/>
      <c r="L2" s="156"/>
    </row>
    <row r="3" spans="2:16" x14ac:dyDescent="0.2">
      <c r="B3" s="157"/>
      <c r="C3" s="158"/>
      <c r="D3" s="158"/>
      <c r="E3" s="158"/>
      <c r="F3" s="158"/>
      <c r="G3" s="160"/>
      <c r="H3" s="160"/>
      <c r="I3" s="160"/>
      <c r="J3" s="160"/>
      <c r="K3" s="160"/>
      <c r="L3" s="161"/>
    </row>
    <row r="4" spans="2:16" s="48" customFormat="1" ht="18.75" x14ac:dyDescent="0.3">
      <c r="B4" s="340"/>
      <c r="C4" s="183" t="s">
        <v>123</v>
      </c>
      <c r="D4" s="196"/>
      <c r="E4" s="196"/>
      <c r="F4" s="196"/>
      <c r="G4" s="341"/>
      <c r="H4" s="341"/>
      <c r="I4" s="341"/>
      <c r="J4" s="342"/>
      <c r="K4" s="341"/>
      <c r="L4" s="197"/>
      <c r="M4" s="49"/>
    </row>
    <row r="5" spans="2:16" ht="18.75" x14ac:dyDescent="0.3">
      <c r="B5" s="343"/>
      <c r="C5" s="194" t="str">
        <f>geg!F10</f>
        <v>Zorgzaam</v>
      </c>
      <c r="D5" s="158"/>
      <c r="E5" s="158"/>
      <c r="F5" s="158"/>
      <c r="G5" s="160"/>
      <c r="H5" s="160"/>
      <c r="I5" s="160"/>
      <c r="J5" s="344"/>
      <c r="K5" s="160"/>
      <c r="L5" s="161"/>
    </row>
    <row r="6" spans="2:16" x14ac:dyDescent="0.2">
      <c r="B6" s="168"/>
      <c r="C6" s="311"/>
      <c r="D6" s="158"/>
      <c r="E6" s="158"/>
      <c r="F6" s="158"/>
      <c r="G6" s="160"/>
      <c r="H6" s="160"/>
      <c r="I6" s="160"/>
      <c r="J6" s="160"/>
      <c r="K6" s="160"/>
      <c r="L6" s="161"/>
    </row>
    <row r="7" spans="2:16" x14ac:dyDescent="0.2">
      <c r="B7" s="168"/>
      <c r="C7" s="311"/>
      <c r="D7" s="158"/>
      <c r="E7" s="158"/>
      <c r="F7" s="158"/>
      <c r="G7" s="160"/>
      <c r="H7" s="470"/>
      <c r="I7" s="160"/>
      <c r="J7" s="160"/>
      <c r="K7" s="160"/>
      <c r="L7" s="161"/>
    </row>
    <row r="8" spans="2:16" s="48" customFormat="1" x14ac:dyDescent="0.2">
      <c r="B8" s="345"/>
      <c r="C8" s="309"/>
      <c r="D8" s="346"/>
      <c r="E8" s="196"/>
      <c r="F8" s="320">
        <f>tab!C4</f>
        <v>2012</v>
      </c>
      <c r="G8" s="320">
        <f>tab!D4</f>
        <v>2013</v>
      </c>
      <c r="H8" s="528">
        <v>41851</v>
      </c>
      <c r="I8" s="320">
        <f>tab!F4</f>
        <v>2015</v>
      </c>
      <c r="J8" s="320">
        <f>tab!G4</f>
        <v>2016</v>
      </c>
      <c r="K8" s="312"/>
      <c r="L8" s="197"/>
      <c r="M8" s="49"/>
    </row>
    <row r="9" spans="2:16" x14ac:dyDescent="0.2">
      <c r="B9" s="170"/>
      <c r="C9" s="159"/>
      <c r="D9" s="310"/>
      <c r="E9" s="158"/>
      <c r="F9" s="158"/>
      <c r="G9" s="243"/>
      <c r="H9" s="243"/>
      <c r="I9" s="243"/>
      <c r="J9" s="243"/>
      <c r="K9" s="243"/>
      <c r="L9" s="161"/>
    </row>
    <row r="10" spans="2:16" x14ac:dyDescent="0.2">
      <c r="B10" s="170"/>
      <c r="C10" s="502"/>
      <c r="D10" s="500"/>
      <c r="E10" s="499"/>
      <c r="F10" s="499"/>
      <c r="G10" s="614"/>
      <c r="H10" s="614"/>
      <c r="I10" s="614"/>
      <c r="J10" s="614"/>
      <c r="K10" s="614"/>
      <c r="L10" s="161"/>
    </row>
    <row r="11" spans="2:16" x14ac:dyDescent="0.2">
      <c r="B11" s="157"/>
      <c r="C11" s="499"/>
      <c r="D11" s="682" t="s">
        <v>239</v>
      </c>
      <c r="E11" s="499"/>
      <c r="F11" s="499"/>
      <c r="G11" s="614"/>
      <c r="H11" s="614"/>
      <c r="I11" s="614"/>
      <c r="J11" s="614"/>
      <c r="K11" s="614"/>
      <c r="L11" s="161"/>
    </row>
    <row r="12" spans="2:16" x14ac:dyDescent="0.2">
      <c r="B12" s="157"/>
      <c r="C12" s="499"/>
      <c r="D12" s="499"/>
      <c r="E12" s="499"/>
      <c r="F12" s="499"/>
      <c r="G12" s="499"/>
      <c r="H12" s="499"/>
      <c r="I12" s="499"/>
      <c r="J12" s="499"/>
      <c r="K12" s="499"/>
      <c r="L12" s="347"/>
      <c r="M12" s="50"/>
      <c r="N12" s="36"/>
      <c r="O12" s="36"/>
      <c r="P12" s="36"/>
    </row>
    <row r="13" spans="2:16" x14ac:dyDescent="0.2">
      <c r="B13" s="157"/>
      <c r="C13" s="499"/>
      <c r="D13" s="682" t="s">
        <v>124</v>
      </c>
      <c r="E13" s="499"/>
      <c r="F13" s="499"/>
      <c r="G13" s="499"/>
      <c r="H13" s="499"/>
      <c r="I13" s="499"/>
      <c r="J13" s="499"/>
      <c r="K13" s="499"/>
      <c r="L13" s="161"/>
    </row>
    <row r="14" spans="2:16" x14ac:dyDescent="0.2">
      <c r="B14" s="157"/>
      <c r="C14" s="499"/>
      <c r="D14" s="499" t="s">
        <v>431</v>
      </c>
      <c r="E14" s="499"/>
      <c r="F14" s="628">
        <v>0</v>
      </c>
      <c r="G14" s="628">
        <v>0</v>
      </c>
      <c r="H14" s="628">
        <v>0</v>
      </c>
      <c r="I14" s="807">
        <f>act!I51</f>
        <v>0</v>
      </c>
      <c r="J14" s="807">
        <f>act!J51</f>
        <v>0</v>
      </c>
      <c r="K14" s="681"/>
      <c r="L14" s="161"/>
    </row>
    <row r="15" spans="2:16" x14ac:dyDescent="0.2">
      <c r="B15" s="157"/>
      <c r="C15" s="499"/>
      <c r="D15" s="499" t="s">
        <v>432</v>
      </c>
      <c r="E15" s="499"/>
      <c r="F15" s="811">
        <f>+act!F51</f>
        <v>0</v>
      </c>
      <c r="G15" s="811">
        <f>+act!G51</f>
        <v>0</v>
      </c>
      <c r="H15" s="811">
        <f>+act!H51</f>
        <v>0</v>
      </c>
      <c r="I15" s="810">
        <f t="shared" ref="H15:J16" si="0">H15</f>
        <v>0</v>
      </c>
      <c r="J15" s="810">
        <f t="shared" si="0"/>
        <v>0</v>
      </c>
      <c r="K15" s="770"/>
      <c r="L15" s="161"/>
    </row>
    <row r="16" spans="2:16" x14ac:dyDescent="0.2">
      <c r="B16" s="157"/>
      <c r="C16" s="499"/>
      <c r="D16" s="499" t="s">
        <v>433</v>
      </c>
      <c r="E16" s="499"/>
      <c r="F16" s="628">
        <v>0</v>
      </c>
      <c r="G16" s="628">
        <f>F16</f>
        <v>0</v>
      </c>
      <c r="H16" s="628">
        <f t="shared" si="0"/>
        <v>0</v>
      </c>
      <c r="I16" s="807">
        <f t="shared" si="0"/>
        <v>0</v>
      </c>
      <c r="J16" s="807">
        <f t="shared" si="0"/>
        <v>0</v>
      </c>
      <c r="K16" s="770"/>
      <c r="L16" s="161"/>
    </row>
    <row r="17" spans="2:20" x14ac:dyDescent="0.2">
      <c r="B17" s="157"/>
      <c r="C17" s="499"/>
      <c r="D17" s="735"/>
      <c r="E17" s="499"/>
      <c r="F17" s="820">
        <f>SUM(F14:F16)</f>
        <v>0</v>
      </c>
      <c r="G17" s="820">
        <f>SUM(G14:G16)</f>
        <v>0</v>
      </c>
      <c r="H17" s="820">
        <f>SUM(H14:H16)</f>
        <v>0</v>
      </c>
      <c r="I17" s="808">
        <f>SUM(I14:I16)</f>
        <v>0</v>
      </c>
      <c r="J17" s="808">
        <f>SUM(J14:J16)</f>
        <v>0</v>
      </c>
      <c r="K17" s="806"/>
      <c r="L17" s="161"/>
    </row>
    <row r="18" spans="2:20" x14ac:dyDescent="0.2">
      <c r="B18" s="157"/>
      <c r="C18" s="499"/>
      <c r="D18" s="682" t="s">
        <v>129</v>
      </c>
      <c r="E18" s="499"/>
      <c r="F18" s="636"/>
      <c r="G18" s="608"/>
      <c r="H18" s="608"/>
      <c r="I18" s="608"/>
      <c r="J18" s="608"/>
      <c r="K18" s="770"/>
      <c r="L18" s="161"/>
    </row>
    <row r="19" spans="2:20" x14ac:dyDescent="0.2">
      <c r="B19" s="157"/>
      <c r="C19" s="499"/>
      <c r="D19" s="499" t="s">
        <v>434</v>
      </c>
      <c r="E19" s="499"/>
      <c r="F19" s="628">
        <v>0</v>
      </c>
      <c r="G19" s="628">
        <f>F19</f>
        <v>0</v>
      </c>
      <c r="H19" s="628">
        <f t="shared" ref="H19:J21" si="1">G19</f>
        <v>0</v>
      </c>
      <c r="I19" s="807">
        <f t="shared" si="1"/>
        <v>0</v>
      </c>
      <c r="J19" s="807">
        <f t="shared" si="1"/>
        <v>0</v>
      </c>
      <c r="K19" s="770"/>
      <c r="L19" s="161"/>
    </row>
    <row r="20" spans="2:20" x14ac:dyDescent="0.2">
      <c r="B20" s="157"/>
      <c r="C20" s="499"/>
      <c r="D20" s="499" t="s">
        <v>435</v>
      </c>
      <c r="E20" s="499"/>
      <c r="F20" s="628">
        <v>0</v>
      </c>
      <c r="G20" s="628">
        <f>F20</f>
        <v>0</v>
      </c>
      <c r="H20" s="628">
        <f t="shared" si="1"/>
        <v>0</v>
      </c>
      <c r="I20" s="807">
        <f t="shared" si="1"/>
        <v>0</v>
      </c>
      <c r="J20" s="807">
        <f t="shared" si="1"/>
        <v>0</v>
      </c>
      <c r="K20" s="770"/>
      <c r="L20" s="161"/>
    </row>
    <row r="21" spans="2:20" x14ac:dyDescent="0.2">
      <c r="B21" s="157"/>
      <c r="C21" s="499"/>
      <c r="D21" s="499" t="s">
        <v>436</v>
      </c>
      <c r="E21" s="499"/>
      <c r="F21" s="628">
        <v>0</v>
      </c>
      <c r="G21" s="628">
        <f>F21</f>
        <v>0</v>
      </c>
      <c r="H21" s="628">
        <f t="shared" si="1"/>
        <v>0</v>
      </c>
      <c r="I21" s="807">
        <f t="shared" si="1"/>
        <v>0</v>
      </c>
      <c r="J21" s="807">
        <f t="shared" si="1"/>
        <v>0</v>
      </c>
      <c r="K21" s="770"/>
      <c r="L21" s="161"/>
    </row>
    <row r="22" spans="2:20" x14ac:dyDescent="0.2">
      <c r="B22" s="157"/>
      <c r="C22" s="499"/>
      <c r="D22" s="499" t="s">
        <v>437</v>
      </c>
      <c r="E22" s="499"/>
      <c r="F22" s="628">
        <v>0</v>
      </c>
      <c r="G22" s="629">
        <f>G56-(G17+(SUM(G19:G21)))</f>
        <v>581103.41666666674</v>
      </c>
      <c r="H22" s="629">
        <f>H56-(H17+(SUM(H19:H21)))</f>
        <v>921007.66666666686</v>
      </c>
      <c r="I22" s="608">
        <f>I56-(I17+(SUM(I19:I21)))</f>
        <v>1503413.666666667</v>
      </c>
      <c r="J22" s="608">
        <f>J56-(J17+(SUM(J19:J21)))</f>
        <v>2085819.666666667</v>
      </c>
      <c r="K22" s="770"/>
      <c r="L22" s="161"/>
    </row>
    <row r="23" spans="2:20" x14ac:dyDescent="0.2">
      <c r="B23" s="157"/>
      <c r="C23" s="499"/>
      <c r="D23" s="735"/>
      <c r="E23" s="499"/>
      <c r="F23" s="820">
        <f>SUM(F20:F22)</f>
        <v>0</v>
      </c>
      <c r="G23" s="820">
        <f>SUM(G19:G22)</f>
        <v>581103.41666666674</v>
      </c>
      <c r="H23" s="820">
        <f>SUM(H19:H22)</f>
        <v>921007.66666666686</v>
      </c>
      <c r="I23" s="808">
        <f>SUM(I19:I22)</f>
        <v>1503413.666666667</v>
      </c>
      <c r="J23" s="808">
        <f>SUM(J19:J22)</f>
        <v>2085819.666666667</v>
      </c>
      <c r="K23" s="806"/>
      <c r="L23" s="161"/>
    </row>
    <row r="24" spans="2:20" x14ac:dyDescent="0.2">
      <c r="B24" s="157"/>
      <c r="C24" s="499"/>
      <c r="D24" s="499"/>
      <c r="E24" s="499"/>
      <c r="F24" s="636"/>
      <c r="G24" s="636"/>
      <c r="H24" s="636"/>
      <c r="I24" s="636"/>
      <c r="J24" s="636"/>
      <c r="K24" s="499"/>
      <c r="L24" s="161"/>
    </row>
    <row r="25" spans="2:20" x14ac:dyDescent="0.2">
      <c r="B25" s="157"/>
      <c r="C25" s="499"/>
      <c r="D25" s="735" t="s">
        <v>340</v>
      </c>
      <c r="E25" s="799"/>
      <c r="F25" s="821">
        <f>F17+F23</f>
        <v>0</v>
      </c>
      <c r="G25" s="821">
        <f>G17+G23</f>
        <v>581103.41666666674</v>
      </c>
      <c r="H25" s="821">
        <f>H17+H23</f>
        <v>921007.66666666686</v>
      </c>
      <c r="I25" s="809">
        <f>I17+I23</f>
        <v>1503413.666666667</v>
      </c>
      <c r="J25" s="809">
        <f>J17+J23</f>
        <v>2085819.666666667</v>
      </c>
      <c r="K25" s="806"/>
      <c r="L25" s="161"/>
    </row>
    <row r="26" spans="2:20" x14ac:dyDescent="0.2">
      <c r="B26" s="157"/>
      <c r="C26" s="499"/>
      <c r="D26" s="499"/>
      <c r="E26" s="799"/>
      <c r="F26" s="805"/>
      <c r="G26" s="607"/>
      <c r="H26" s="607"/>
      <c r="I26" s="607"/>
      <c r="J26" s="607"/>
      <c r="K26" s="681"/>
      <c r="L26" s="161"/>
      <c r="N26" s="56"/>
      <c r="P26" s="57"/>
      <c r="Q26" s="57"/>
      <c r="R26" s="57"/>
      <c r="S26" s="57"/>
      <c r="T26" s="57"/>
    </row>
    <row r="27" spans="2:20" x14ac:dyDescent="0.2">
      <c r="B27" s="157"/>
      <c r="C27" s="158"/>
      <c r="D27" s="158"/>
      <c r="E27" s="349"/>
      <c r="F27" s="356"/>
      <c r="G27" s="357"/>
      <c r="H27" s="357"/>
      <c r="I27" s="357"/>
      <c r="J27" s="357"/>
      <c r="K27" s="160"/>
      <c r="L27" s="161"/>
      <c r="N27" s="56"/>
      <c r="P27" s="57"/>
      <c r="Q27" s="57"/>
      <c r="R27" s="57"/>
      <c r="S27" s="57"/>
      <c r="T27" s="57"/>
    </row>
    <row r="28" spans="2:20" x14ac:dyDescent="0.2">
      <c r="B28" s="157"/>
      <c r="C28" s="499"/>
      <c r="D28" s="499"/>
      <c r="E28" s="799"/>
      <c r="F28" s="805"/>
      <c r="G28" s="805"/>
      <c r="H28" s="805"/>
      <c r="I28" s="805"/>
      <c r="J28" s="805"/>
      <c r="K28" s="799"/>
      <c r="L28" s="161"/>
      <c r="N28" s="56"/>
      <c r="P28" s="57"/>
      <c r="Q28" s="57"/>
      <c r="R28" s="57"/>
      <c r="S28" s="57"/>
      <c r="T28" s="57"/>
    </row>
    <row r="29" spans="2:20" x14ac:dyDescent="0.2">
      <c r="B29" s="157"/>
      <c r="C29" s="499"/>
      <c r="D29" s="682" t="s">
        <v>339</v>
      </c>
      <c r="E29" s="499"/>
      <c r="F29" s="805"/>
      <c r="G29" s="607"/>
      <c r="H29" s="607"/>
      <c r="I29" s="607"/>
      <c r="J29" s="607"/>
      <c r="K29" s="681"/>
      <c r="L29" s="161"/>
      <c r="N29" s="56"/>
      <c r="P29" s="57"/>
      <c r="Q29" s="57"/>
      <c r="R29" s="57"/>
      <c r="S29" s="57"/>
      <c r="T29" s="57"/>
    </row>
    <row r="30" spans="2:20" x14ac:dyDescent="0.2">
      <c r="B30" s="157"/>
      <c r="C30" s="688"/>
      <c r="D30" s="499"/>
      <c r="E30" s="799"/>
      <c r="F30" s="805"/>
      <c r="G30" s="607"/>
      <c r="H30" s="607"/>
      <c r="I30" s="607"/>
      <c r="J30" s="607"/>
      <c r="K30" s="681"/>
      <c r="L30" s="161"/>
      <c r="N30" s="56"/>
      <c r="P30" s="57"/>
      <c r="Q30" s="57"/>
      <c r="R30" s="57"/>
      <c r="S30" s="57"/>
      <c r="T30" s="57"/>
    </row>
    <row r="31" spans="2:20" x14ac:dyDescent="0.2">
      <c r="B31" s="157"/>
      <c r="C31" s="499"/>
      <c r="D31" s="682" t="s">
        <v>438</v>
      </c>
      <c r="E31" s="499"/>
      <c r="F31" s="805"/>
      <c r="G31" s="607"/>
      <c r="H31" s="607"/>
      <c r="I31" s="607"/>
      <c r="J31" s="607"/>
      <c r="K31" s="806"/>
      <c r="L31" s="161"/>
      <c r="N31" s="56"/>
      <c r="P31" s="57"/>
      <c r="Q31" s="57"/>
      <c r="R31" s="57"/>
      <c r="S31" s="57"/>
      <c r="T31" s="57"/>
    </row>
    <row r="32" spans="2:20" x14ac:dyDescent="0.2">
      <c r="B32" s="157"/>
      <c r="C32" s="499"/>
      <c r="D32" s="499" t="s">
        <v>341</v>
      </c>
      <c r="E32" s="499"/>
      <c r="F32" s="812">
        <f>F25-(F33+F34+F35+F41+F45+F54)</f>
        <v>0</v>
      </c>
      <c r="G32" s="629">
        <f>F36+begr!G27-SUM(G33:G35)</f>
        <v>581103.41666666674</v>
      </c>
      <c r="H32" s="629">
        <f>G36+begr!H27-SUM(H33:H35)</f>
        <v>921007.66666666686</v>
      </c>
      <c r="I32" s="608">
        <f>H36+begr!I27-SUM(I33:I35)</f>
        <v>1503413.666666667</v>
      </c>
      <c r="J32" s="608">
        <f>I36+begr!J27-SUM(J33:J35)</f>
        <v>2085819.666666667</v>
      </c>
      <c r="K32" s="499"/>
      <c r="L32" s="161"/>
      <c r="N32" s="56"/>
      <c r="P32" s="57"/>
      <c r="Q32" s="57"/>
      <c r="R32" s="57"/>
      <c r="S32" s="57"/>
      <c r="T32" s="57"/>
    </row>
    <row r="33" spans="2:20" x14ac:dyDescent="0.2">
      <c r="B33" s="157"/>
      <c r="C33" s="499"/>
      <c r="D33" s="690" t="s">
        <v>342</v>
      </c>
      <c r="E33" s="499"/>
      <c r="F33" s="628">
        <v>0</v>
      </c>
      <c r="G33" s="628">
        <f>F33</f>
        <v>0</v>
      </c>
      <c r="H33" s="628">
        <f t="shared" ref="H33:J35" si="2">G33</f>
        <v>0</v>
      </c>
      <c r="I33" s="807">
        <f t="shared" si="2"/>
        <v>0</v>
      </c>
      <c r="J33" s="807">
        <f t="shared" si="2"/>
        <v>0</v>
      </c>
      <c r="K33" s="499"/>
      <c r="L33" s="161"/>
      <c r="N33" s="56"/>
      <c r="P33" s="57"/>
      <c r="Q33" s="57"/>
      <c r="R33" s="57"/>
      <c r="S33" s="57"/>
      <c r="T33" s="57"/>
    </row>
    <row r="34" spans="2:20" x14ac:dyDescent="0.2">
      <c r="B34" s="157"/>
      <c r="C34" s="499"/>
      <c r="D34" s="690" t="s">
        <v>343</v>
      </c>
      <c r="E34" s="499"/>
      <c r="F34" s="628">
        <v>0</v>
      </c>
      <c r="G34" s="628">
        <f>F34</f>
        <v>0</v>
      </c>
      <c r="H34" s="628">
        <f t="shared" si="2"/>
        <v>0</v>
      </c>
      <c r="I34" s="807">
        <f t="shared" si="2"/>
        <v>0</v>
      </c>
      <c r="J34" s="807">
        <f t="shared" si="2"/>
        <v>0</v>
      </c>
      <c r="K34" s="499"/>
      <c r="L34" s="161"/>
      <c r="N34" s="56"/>
      <c r="P34" s="57"/>
      <c r="Q34" s="57"/>
      <c r="R34" s="57"/>
      <c r="S34" s="57"/>
      <c r="T34" s="57"/>
    </row>
    <row r="35" spans="2:20" x14ac:dyDescent="0.2">
      <c r="B35" s="157"/>
      <c r="C35" s="499"/>
      <c r="D35" s="690" t="s">
        <v>344</v>
      </c>
      <c r="E35" s="499"/>
      <c r="F35" s="628">
        <v>0</v>
      </c>
      <c r="G35" s="628">
        <f>F35</f>
        <v>0</v>
      </c>
      <c r="H35" s="628">
        <f t="shared" si="2"/>
        <v>0</v>
      </c>
      <c r="I35" s="807">
        <f t="shared" si="2"/>
        <v>0</v>
      </c>
      <c r="J35" s="807">
        <f t="shared" si="2"/>
        <v>0</v>
      </c>
      <c r="K35" s="499"/>
      <c r="L35" s="161"/>
      <c r="N35" s="56"/>
      <c r="P35" s="57"/>
      <c r="Q35" s="57"/>
      <c r="R35" s="57"/>
      <c r="S35" s="57"/>
      <c r="T35" s="57"/>
    </row>
    <row r="36" spans="2:20" x14ac:dyDescent="0.2">
      <c r="B36" s="157"/>
      <c r="C36" s="499"/>
      <c r="D36" s="502"/>
      <c r="E36" s="499"/>
      <c r="F36" s="820">
        <f>SUM(F32:F35)</f>
        <v>0</v>
      </c>
      <c r="G36" s="820">
        <f>SUM(G32:G35)</f>
        <v>581103.41666666674</v>
      </c>
      <c r="H36" s="820">
        <f>SUM(H32:H35)</f>
        <v>921007.66666666686</v>
      </c>
      <c r="I36" s="808">
        <f>SUM(I32:I35)</f>
        <v>1503413.666666667</v>
      </c>
      <c r="J36" s="808">
        <f>SUM(J32:J35)</f>
        <v>2085819.666666667</v>
      </c>
      <c r="K36" s="499"/>
      <c r="L36" s="161"/>
      <c r="N36" s="56"/>
      <c r="P36" s="57"/>
      <c r="Q36" s="57"/>
      <c r="R36" s="57"/>
      <c r="S36" s="57"/>
      <c r="T36" s="57"/>
    </row>
    <row r="37" spans="2:20" x14ac:dyDescent="0.2">
      <c r="B37" s="157"/>
      <c r="C37" s="499"/>
      <c r="D37" s="682" t="s">
        <v>439</v>
      </c>
      <c r="E37" s="499"/>
      <c r="F37" s="636"/>
      <c r="G37" s="636"/>
      <c r="H37" s="636"/>
      <c r="I37" s="636"/>
      <c r="J37" s="636"/>
      <c r="K37" s="499"/>
      <c r="L37" s="161"/>
      <c r="N37" s="56"/>
      <c r="P37" s="57"/>
      <c r="Q37" s="57"/>
      <c r="R37" s="57"/>
      <c r="S37" s="57"/>
      <c r="T37" s="57"/>
    </row>
    <row r="38" spans="2:20" x14ac:dyDescent="0.2">
      <c r="B38" s="157"/>
      <c r="C38" s="499"/>
      <c r="D38" s="499" t="s">
        <v>386</v>
      </c>
      <c r="E38" s="499"/>
      <c r="F38" s="628">
        <v>0</v>
      </c>
      <c r="G38" s="628">
        <f>+F38</f>
        <v>0</v>
      </c>
      <c r="H38" s="628">
        <f>+G38</f>
        <v>0</v>
      </c>
      <c r="I38" s="807">
        <v>0</v>
      </c>
      <c r="J38" s="807">
        <v>0</v>
      </c>
      <c r="K38" s="499"/>
      <c r="L38" s="161"/>
      <c r="N38" s="56"/>
      <c r="P38" s="57"/>
      <c r="Q38" s="57"/>
      <c r="R38" s="57"/>
      <c r="S38" s="57"/>
      <c r="T38" s="57"/>
    </row>
    <row r="39" spans="2:20" x14ac:dyDescent="0.2">
      <c r="B39" s="157"/>
      <c r="C39" s="499"/>
      <c r="D39" s="690" t="s">
        <v>373</v>
      </c>
      <c r="E39" s="499"/>
      <c r="F39" s="628">
        <v>0</v>
      </c>
      <c r="G39" s="813">
        <f>+F39+0.583333333333333*pers!F67+0.416666666666667*pers!G67-(7/12*'loonkosten CD'!V36+5/12*'loonkosten CD'!V68)</f>
        <v>0</v>
      </c>
      <c r="H39" s="813">
        <f>+G39+0.583333333333333*pers!G67+0.416666666666667*pers!H67-(7/12*'loonkosten CD'!V68+5/12*'loonkosten CD'!V101)</f>
        <v>0</v>
      </c>
      <c r="I39" s="807">
        <f>+H39+0.583333333333333*pers!H67+0.416666666666667*pers!I67-(7/12*'loonkosten CD'!V101+5/12*'loonkosten CD'!V133)</f>
        <v>0</v>
      </c>
      <c r="J39" s="807">
        <f>+I39+0.583333333333333*pers!I67+0.416666666666667*pers!J67-(7/12*'loonkosten CD'!V133+5/12*'loonkosten CD'!V165)</f>
        <v>0</v>
      </c>
      <c r="K39" s="770"/>
      <c r="L39" s="161"/>
      <c r="N39" s="56"/>
      <c r="P39" s="57"/>
      <c r="Q39" s="57"/>
      <c r="R39" s="57"/>
      <c r="S39" s="57"/>
      <c r="T39" s="57"/>
    </row>
    <row r="40" spans="2:20" x14ac:dyDescent="0.2">
      <c r="B40" s="157"/>
      <c r="C40" s="499"/>
      <c r="D40" s="690" t="s">
        <v>440</v>
      </c>
      <c r="E40" s="499"/>
      <c r="F40" s="628">
        <v>0</v>
      </c>
      <c r="G40" s="628">
        <f>F40</f>
        <v>0</v>
      </c>
      <c r="H40" s="628">
        <f>G40</f>
        <v>0</v>
      </c>
      <c r="I40" s="807">
        <f>H40</f>
        <v>0</v>
      </c>
      <c r="J40" s="807">
        <f>I40</f>
        <v>0</v>
      </c>
      <c r="K40" s="770"/>
      <c r="L40" s="161"/>
      <c r="N40" s="56"/>
      <c r="P40" s="57"/>
      <c r="Q40" s="57"/>
      <c r="R40" s="57"/>
      <c r="S40" s="57"/>
      <c r="T40" s="57"/>
    </row>
    <row r="41" spans="2:20" x14ac:dyDescent="0.2">
      <c r="B41" s="157"/>
      <c r="C41" s="499"/>
      <c r="D41" s="502"/>
      <c r="E41" s="499"/>
      <c r="F41" s="820">
        <f>SUM(F38:F40)</f>
        <v>0</v>
      </c>
      <c r="G41" s="820">
        <f>SUM(G38:G40)</f>
        <v>0</v>
      </c>
      <c r="H41" s="820">
        <f>SUM(H38:H40)</f>
        <v>0</v>
      </c>
      <c r="I41" s="808">
        <f>SUM(I38:I40)</f>
        <v>0</v>
      </c>
      <c r="J41" s="808">
        <f>SUM(J38:J40)</f>
        <v>0</v>
      </c>
      <c r="K41" s="806"/>
      <c r="L41" s="161"/>
      <c r="N41" s="56"/>
      <c r="P41" s="57"/>
      <c r="Q41" s="57"/>
      <c r="R41" s="57"/>
      <c r="S41" s="57"/>
      <c r="T41" s="57"/>
    </row>
    <row r="42" spans="2:20" x14ac:dyDescent="0.2">
      <c r="B42" s="157"/>
      <c r="C42" s="499"/>
      <c r="D42" s="682" t="s">
        <v>441</v>
      </c>
      <c r="E42" s="499"/>
      <c r="F42" s="636"/>
      <c r="G42" s="608"/>
      <c r="H42" s="608"/>
      <c r="I42" s="608"/>
      <c r="J42" s="608"/>
      <c r="K42" s="770"/>
      <c r="L42" s="161"/>
      <c r="N42" s="56"/>
      <c r="P42" s="57"/>
      <c r="Q42" s="57"/>
      <c r="R42" s="57"/>
      <c r="S42" s="57"/>
      <c r="T42" s="57"/>
    </row>
    <row r="43" spans="2:20" x14ac:dyDescent="0.2">
      <c r="B43" s="157"/>
      <c r="C43" s="499"/>
      <c r="D43" s="499" t="s">
        <v>314</v>
      </c>
      <c r="E43" s="499"/>
      <c r="F43" s="628">
        <v>0</v>
      </c>
      <c r="G43" s="628">
        <f>F43</f>
        <v>0</v>
      </c>
      <c r="H43" s="628">
        <f t="shared" ref="H43:J44" si="3">G43</f>
        <v>0</v>
      </c>
      <c r="I43" s="807">
        <f t="shared" si="3"/>
        <v>0</v>
      </c>
      <c r="J43" s="807">
        <f t="shared" si="3"/>
        <v>0</v>
      </c>
      <c r="K43" s="770"/>
      <c r="L43" s="161"/>
      <c r="N43" s="56"/>
      <c r="P43" s="57"/>
      <c r="Q43" s="57"/>
      <c r="R43" s="57"/>
      <c r="S43" s="57"/>
      <c r="T43" s="57"/>
    </row>
    <row r="44" spans="2:20" x14ac:dyDescent="0.2">
      <c r="B44" s="157"/>
      <c r="C44" s="499"/>
      <c r="D44" s="499" t="s">
        <v>315</v>
      </c>
      <c r="E44" s="499"/>
      <c r="F44" s="628">
        <v>0</v>
      </c>
      <c r="G44" s="628">
        <f>F44</f>
        <v>0</v>
      </c>
      <c r="H44" s="628">
        <f t="shared" si="3"/>
        <v>0</v>
      </c>
      <c r="I44" s="807">
        <f t="shared" si="3"/>
        <v>0</v>
      </c>
      <c r="J44" s="807">
        <f t="shared" si="3"/>
        <v>0</v>
      </c>
      <c r="K44" s="770"/>
      <c r="L44" s="161"/>
      <c r="N44" s="56"/>
      <c r="P44" s="57"/>
      <c r="Q44" s="57"/>
      <c r="R44" s="57"/>
      <c r="S44" s="57"/>
      <c r="T44" s="57"/>
    </row>
    <row r="45" spans="2:20" x14ac:dyDescent="0.2">
      <c r="B45" s="157"/>
      <c r="C45" s="499"/>
      <c r="D45" s="735"/>
      <c r="E45" s="499"/>
      <c r="F45" s="820">
        <f>SUM(F43:F44)</f>
        <v>0</v>
      </c>
      <c r="G45" s="820">
        <f>SUM(G43:G44)</f>
        <v>0</v>
      </c>
      <c r="H45" s="820">
        <f>SUM(H43:H44)</f>
        <v>0</v>
      </c>
      <c r="I45" s="808">
        <f>SUM(I43:I44)</f>
        <v>0</v>
      </c>
      <c r="J45" s="808">
        <f>SUM(J43:J44)</f>
        <v>0</v>
      </c>
      <c r="K45" s="806"/>
      <c r="L45" s="161"/>
      <c r="N45" s="56"/>
      <c r="P45" s="57"/>
      <c r="Q45" s="57"/>
      <c r="R45" s="57"/>
      <c r="S45" s="57"/>
      <c r="T45" s="57"/>
    </row>
    <row r="46" spans="2:20" x14ac:dyDescent="0.2">
      <c r="B46" s="157"/>
      <c r="C46" s="499"/>
      <c r="D46" s="682" t="s">
        <v>442</v>
      </c>
      <c r="E46" s="499"/>
      <c r="F46" s="636"/>
      <c r="G46" s="608"/>
      <c r="H46" s="608"/>
      <c r="I46" s="608"/>
      <c r="J46" s="608"/>
      <c r="K46" s="770"/>
      <c r="L46" s="161"/>
      <c r="N46" s="56"/>
      <c r="P46" s="57"/>
      <c r="Q46" s="57"/>
      <c r="R46" s="57"/>
      <c r="S46" s="57"/>
      <c r="T46" s="57"/>
    </row>
    <row r="47" spans="2:20" x14ac:dyDescent="0.2">
      <c r="B47" s="157"/>
      <c r="C47" s="499"/>
      <c r="D47" s="499" t="s">
        <v>314</v>
      </c>
      <c r="E47" s="499"/>
      <c r="F47" s="628">
        <v>0</v>
      </c>
      <c r="G47" s="628">
        <f t="shared" ref="G47:G53" si="4">F47</f>
        <v>0</v>
      </c>
      <c r="H47" s="628">
        <f t="shared" ref="H47:H53" si="5">G47</f>
        <v>0</v>
      </c>
      <c r="I47" s="807">
        <f t="shared" ref="I47:I53" si="6">H47</f>
        <v>0</v>
      </c>
      <c r="J47" s="807">
        <f t="shared" ref="J47:J53" si="7">I47</f>
        <v>0</v>
      </c>
      <c r="K47" s="770"/>
      <c r="L47" s="161"/>
      <c r="N47" s="56"/>
      <c r="P47" s="57"/>
      <c r="Q47" s="57"/>
      <c r="R47" s="57"/>
      <c r="S47" s="57"/>
      <c r="T47" s="57"/>
    </row>
    <row r="48" spans="2:20" x14ac:dyDescent="0.2">
      <c r="B48" s="157"/>
      <c r="C48" s="499"/>
      <c r="D48" s="499" t="s">
        <v>316</v>
      </c>
      <c r="E48" s="499"/>
      <c r="F48" s="628">
        <v>0</v>
      </c>
      <c r="G48" s="628">
        <f t="shared" si="4"/>
        <v>0</v>
      </c>
      <c r="H48" s="628">
        <f t="shared" si="5"/>
        <v>0</v>
      </c>
      <c r="I48" s="807">
        <f t="shared" si="6"/>
        <v>0</v>
      </c>
      <c r="J48" s="807">
        <f t="shared" si="7"/>
        <v>0</v>
      </c>
      <c r="K48" s="770"/>
      <c r="L48" s="161"/>
      <c r="N48" s="56"/>
      <c r="P48" s="57"/>
      <c r="Q48" s="57"/>
      <c r="R48" s="57"/>
      <c r="S48" s="57"/>
      <c r="T48" s="57"/>
    </row>
    <row r="49" spans="2:20" x14ac:dyDescent="0.2">
      <c r="B49" s="157"/>
      <c r="C49" s="499"/>
      <c r="D49" s="499" t="s">
        <v>317</v>
      </c>
      <c r="E49" s="499"/>
      <c r="F49" s="628">
        <v>0</v>
      </c>
      <c r="G49" s="628">
        <f t="shared" si="4"/>
        <v>0</v>
      </c>
      <c r="H49" s="628">
        <f t="shared" si="5"/>
        <v>0</v>
      </c>
      <c r="I49" s="807">
        <f t="shared" si="6"/>
        <v>0</v>
      </c>
      <c r="J49" s="807">
        <f t="shared" si="7"/>
        <v>0</v>
      </c>
      <c r="K49" s="770"/>
      <c r="L49" s="161"/>
      <c r="N49" s="56"/>
      <c r="P49" s="57"/>
      <c r="Q49" s="57"/>
      <c r="R49" s="57"/>
      <c r="S49" s="57"/>
      <c r="T49" s="57"/>
    </row>
    <row r="50" spans="2:20" x14ac:dyDescent="0.2">
      <c r="B50" s="157"/>
      <c r="C50" s="499"/>
      <c r="D50" s="499" t="s">
        <v>318</v>
      </c>
      <c r="E50" s="499"/>
      <c r="F50" s="628">
        <v>0</v>
      </c>
      <c r="G50" s="628">
        <f t="shared" si="4"/>
        <v>0</v>
      </c>
      <c r="H50" s="628">
        <f t="shared" si="5"/>
        <v>0</v>
      </c>
      <c r="I50" s="807">
        <f t="shared" si="6"/>
        <v>0</v>
      </c>
      <c r="J50" s="807">
        <f t="shared" si="7"/>
        <v>0</v>
      </c>
      <c r="K50" s="770"/>
      <c r="L50" s="161"/>
      <c r="N50" s="56"/>
      <c r="P50" s="57"/>
      <c r="Q50" s="57"/>
      <c r="R50" s="57"/>
      <c r="S50" s="57"/>
      <c r="T50" s="57"/>
    </row>
    <row r="51" spans="2:20" x14ac:dyDescent="0.2">
      <c r="B51" s="157"/>
      <c r="C51" s="499"/>
      <c r="D51" s="499" t="s">
        <v>319</v>
      </c>
      <c r="E51" s="499"/>
      <c r="F51" s="628">
        <v>0</v>
      </c>
      <c r="G51" s="628">
        <f t="shared" si="4"/>
        <v>0</v>
      </c>
      <c r="H51" s="628">
        <f t="shared" si="5"/>
        <v>0</v>
      </c>
      <c r="I51" s="807">
        <f t="shared" si="6"/>
        <v>0</v>
      </c>
      <c r="J51" s="807">
        <f t="shared" si="7"/>
        <v>0</v>
      </c>
      <c r="K51" s="770"/>
      <c r="L51" s="161"/>
      <c r="N51" s="56"/>
      <c r="P51" s="57"/>
      <c r="Q51" s="57"/>
      <c r="R51" s="57"/>
      <c r="S51" s="57"/>
      <c r="T51" s="57"/>
    </row>
    <row r="52" spans="2:20" x14ac:dyDescent="0.2">
      <c r="B52" s="157"/>
      <c r="C52" s="499"/>
      <c r="D52" s="499" t="s">
        <v>320</v>
      </c>
      <c r="E52" s="499"/>
      <c r="F52" s="628">
        <v>0</v>
      </c>
      <c r="G52" s="628">
        <f>F52</f>
        <v>0</v>
      </c>
      <c r="H52" s="628">
        <f t="shared" si="5"/>
        <v>0</v>
      </c>
      <c r="I52" s="807">
        <f t="shared" si="6"/>
        <v>0</v>
      </c>
      <c r="J52" s="807">
        <f t="shared" si="7"/>
        <v>0</v>
      </c>
      <c r="K52" s="770"/>
      <c r="L52" s="161"/>
      <c r="N52" s="56"/>
      <c r="P52" s="57"/>
      <c r="Q52" s="57"/>
      <c r="R52" s="57"/>
      <c r="S52" s="57"/>
      <c r="T52" s="57"/>
    </row>
    <row r="53" spans="2:20" x14ac:dyDescent="0.2">
      <c r="B53" s="157"/>
      <c r="C53" s="499"/>
      <c r="D53" s="499" t="s">
        <v>321</v>
      </c>
      <c r="E53" s="499"/>
      <c r="F53" s="628">
        <v>0</v>
      </c>
      <c r="G53" s="628">
        <f t="shared" si="4"/>
        <v>0</v>
      </c>
      <c r="H53" s="628">
        <f t="shared" si="5"/>
        <v>0</v>
      </c>
      <c r="I53" s="807">
        <f t="shared" si="6"/>
        <v>0</v>
      </c>
      <c r="J53" s="807">
        <f t="shared" si="7"/>
        <v>0</v>
      </c>
      <c r="K53" s="770"/>
      <c r="L53" s="161"/>
      <c r="N53" s="56"/>
      <c r="P53" s="57"/>
      <c r="Q53" s="57"/>
      <c r="R53" s="57"/>
      <c r="S53" s="57"/>
      <c r="T53" s="57"/>
    </row>
    <row r="54" spans="2:20" x14ac:dyDescent="0.2">
      <c r="B54" s="157"/>
      <c r="C54" s="499"/>
      <c r="D54" s="735"/>
      <c r="E54" s="499"/>
      <c r="F54" s="820">
        <f>SUM(F47:F53)</f>
        <v>0</v>
      </c>
      <c r="G54" s="820">
        <f>SUM(G47:G53)</f>
        <v>0</v>
      </c>
      <c r="H54" s="820">
        <f>SUM(H47:H53)</f>
        <v>0</v>
      </c>
      <c r="I54" s="808">
        <f>SUM(I47:I53)</f>
        <v>0</v>
      </c>
      <c r="J54" s="808">
        <f>SUM(J47:J53)</f>
        <v>0</v>
      </c>
      <c r="K54" s="806"/>
      <c r="L54" s="161"/>
      <c r="N54" s="56"/>
      <c r="P54" s="57"/>
      <c r="Q54" s="57"/>
      <c r="R54" s="57"/>
      <c r="S54" s="57"/>
      <c r="T54" s="57"/>
    </row>
    <row r="55" spans="2:20" x14ac:dyDescent="0.2">
      <c r="B55" s="157"/>
      <c r="C55" s="499"/>
      <c r="D55" s="499"/>
      <c r="E55" s="499"/>
      <c r="F55" s="636"/>
      <c r="G55" s="636"/>
      <c r="H55" s="636"/>
      <c r="I55" s="636"/>
      <c r="J55" s="636"/>
      <c r="K55" s="499"/>
      <c r="L55" s="161"/>
      <c r="N55" s="56"/>
      <c r="P55" s="57"/>
      <c r="Q55" s="57"/>
      <c r="R55" s="57"/>
      <c r="S55" s="57"/>
      <c r="T55" s="57"/>
    </row>
    <row r="56" spans="2:20" x14ac:dyDescent="0.2">
      <c r="B56" s="157"/>
      <c r="C56" s="499"/>
      <c r="D56" s="779" t="s">
        <v>345</v>
      </c>
      <c r="E56" s="499"/>
      <c r="F56" s="821">
        <f>F36+F41+F45+F54</f>
        <v>0</v>
      </c>
      <c r="G56" s="821">
        <f>G36+G41+G45+G54</f>
        <v>581103.41666666674</v>
      </c>
      <c r="H56" s="821">
        <f>H36+H41+H45+H54</f>
        <v>921007.66666666686</v>
      </c>
      <c r="I56" s="809">
        <f>I36+I41+I45+I54</f>
        <v>1503413.666666667</v>
      </c>
      <c r="J56" s="809">
        <f>J36+J41+J45+J54</f>
        <v>2085819.666666667</v>
      </c>
      <c r="K56" s="806"/>
      <c r="L56" s="161"/>
      <c r="N56" s="56"/>
      <c r="P56" s="57"/>
      <c r="Q56" s="57"/>
      <c r="R56" s="57"/>
      <c r="S56" s="57"/>
      <c r="T56" s="57"/>
    </row>
    <row r="57" spans="2:20" x14ac:dyDescent="0.2">
      <c r="B57" s="157"/>
      <c r="C57" s="499"/>
      <c r="D57" s="735"/>
      <c r="E57" s="499"/>
      <c r="F57" s="806"/>
      <c r="G57" s="806"/>
      <c r="H57" s="806"/>
      <c r="I57" s="806"/>
      <c r="J57" s="806"/>
      <c r="K57" s="806"/>
      <c r="L57" s="161"/>
      <c r="N57" s="56"/>
      <c r="P57" s="57"/>
      <c r="Q57" s="57"/>
      <c r="R57" s="57"/>
      <c r="S57" s="57"/>
      <c r="T57" s="57"/>
    </row>
    <row r="58" spans="2:20" x14ac:dyDescent="0.2">
      <c r="B58" s="157"/>
      <c r="C58" s="158"/>
      <c r="D58" s="322"/>
      <c r="E58" s="158"/>
      <c r="F58" s="348"/>
      <c r="G58" s="348"/>
      <c r="H58" s="348"/>
      <c r="I58" s="348"/>
      <c r="J58" s="348"/>
      <c r="K58" s="348"/>
      <c r="L58" s="161"/>
      <c r="N58" s="56"/>
      <c r="P58" s="57"/>
      <c r="Q58" s="57"/>
      <c r="R58" s="57"/>
      <c r="S58" s="57"/>
      <c r="T58" s="57"/>
    </row>
    <row r="59" spans="2:20" x14ac:dyDescent="0.2">
      <c r="B59" s="157"/>
      <c r="C59" s="158"/>
      <c r="D59" s="158"/>
      <c r="E59" s="158"/>
      <c r="F59" s="158"/>
      <c r="G59" s="158"/>
      <c r="H59" s="158"/>
      <c r="I59" s="158"/>
      <c r="J59" s="158"/>
      <c r="K59" s="158"/>
      <c r="L59" s="161"/>
    </row>
    <row r="60" spans="2:20" x14ac:dyDescent="0.2">
      <c r="B60" s="157"/>
      <c r="C60" s="499"/>
      <c r="D60" s="499"/>
      <c r="E60" s="499"/>
      <c r="F60" s="799"/>
      <c r="G60" s="799"/>
      <c r="H60" s="799"/>
      <c r="I60" s="799"/>
      <c r="J60" s="799"/>
      <c r="K60" s="799"/>
      <c r="L60" s="350"/>
    </row>
    <row r="61" spans="2:20" x14ac:dyDescent="0.2">
      <c r="B61" s="157"/>
      <c r="C61" s="499"/>
      <c r="D61" s="682" t="s">
        <v>240</v>
      </c>
      <c r="E61" s="499"/>
      <c r="F61" s="709" t="s">
        <v>391</v>
      </c>
      <c r="G61" s="709">
        <f>G8</f>
        <v>2013</v>
      </c>
      <c r="H61" s="838">
        <f>H8</f>
        <v>41851</v>
      </c>
      <c r="I61" s="709">
        <f>I8</f>
        <v>2015</v>
      </c>
      <c r="J61" s="709">
        <f>J8</f>
        <v>2016</v>
      </c>
      <c r="K61" s="499"/>
      <c r="L61" s="350"/>
    </row>
    <row r="62" spans="2:20" x14ac:dyDescent="0.2">
      <c r="B62" s="157"/>
      <c r="C62" s="499"/>
      <c r="D62" s="499"/>
      <c r="E62" s="499"/>
      <c r="F62" s="799"/>
      <c r="G62" s="799"/>
      <c r="H62" s="799"/>
      <c r="I62" s="799"/>
      <c r="J62" s="799"/>
      <c r="K62" s="799"/>
      <c r="L62" s="350"/>
    </row>
    <row r="63" spans="2:20" x14ac:dyDescent="0.2">
      <c r="B63" s="157"/>
      <c r="C63" s="499"/>
      <c r="D63" s="499" t="s">
        <v>241</v>
      </c>
      <c r="E63" s="499"/>
      <c r="F63" s="814" t="s">
        <v>392</v>
      </c>
      <c r="G63" s="817">
        <f>G32/G56</f>
        <v>1</v>
      </c>
      <c r="H63" s="817">
        <f>H32/H56</f>
        <v>1</v>
      </c>
      <c r="I63" s="800">
        <f>I32/I56</f>
        <v>1</v>
      </c>
      <c r="J63" s="800">
        <f>J32/J56</f>
        <v>1</v>
      </c>
      <c r="K63" s="681"/>
      <c r="L63" s="351"/>
    </row>
    <row r="64" spans="2:20" x14ac:dyDescent="0.2">
      <c r="B64" s="157"/>
      <c r="C64" s="499"/>
      <c r="D64" s="499" t="s">
        <v>242</v>
      </c>
      <c r="E64" s="499"/>
      <c r="F64" s="633" t="s">
        <v>393</v>
      </c>
      <c r="G64" s="818" t="e">
        <f>G23/G54</f>
        <v>#DIV/0!</v>
      </c>
      <c r="H64" s="818" t="e">
        <f>H23/H54</f>
        <v>#DIV/0!</v>
      </c>
      <c r="I64" s="801" t="e">
        <f>I23/I54</f>
        <v>#DIV/0!</v>
      </c>
      <c r="J64" s="801" t="e">
        <f>J23/J54</f>
        <v>#DIV/0!</v>
      </c>
      <c r="K64" s="681"/>
      <c r="L64" s="350"/>
    </row>
    <row r="65" spans="2:13" x14ac:dyDescent="0.2">
      <c r="B65" s="157"/>
      <c r="C65" s="499"/>
      <c r="D65" s="499" t="s">
        <v>374</v>
      </c>
      <c r="E65" s="499"/>
      <c r="F65" s="815" t="s">
        <v>394</v>
      </c>
      <c r="G65" s="817">
        <f>begr!G27/begr!G19</f>
        <v>0.61453152469493266</v>
      </c>
      <c r="H65" s="817">
        <f>begr!H27/begr!H19</f>
        <v>0.61463237116773128</v>
      </c>
      <c r="I65" s="800">
        <f>begr!I27/begr!I19</f>
        <v>0.61471868782555006</v>
      </c>
      <c r="J65" s="800">
        <f>begr!J27/begr!J19</f>
        <v>0.61471868782555006</v>
      </c>
      <c r="K65" s="681"/>
      <c r="L65" s="350"/>
    </row>
    <row r="66" spans="2:13" s="59" customFormat="1" x14ac:dyDescent="0.2">
      <c r="B66" s="352"/>
      <c r="C66" s="802"/>
      <c r="D66" s="499" t="s">
        <v>313</v>
      </c>
      <c r="E66" s="499"/>
      <c r="F66" s="816">
        <v>0.05</v>
      </c>
      <c r="G66" s="819">
        <f>G32/begr!G25</f>
        <v>1.594245869804477</v>
      </c>
      <c r="H66" s="819">
        <f>H32/begr!H25</f>
        <v>4.3216227143725225</v>
      </c>
      <c r="I66" s="803">
        <f>I32/begr!I25</f>
        <v>4.1186143201407752</v>
      </c>
      <c r="J66" s="803">
        <f>J32/begr!J25</f>
        <v>5.7141204306141891</v>
      </c>
      <c r="K66" s="804"/>
      <c r="L66" s="353"/>
      <c r="M66" s="58"/>
    </row>
    <row r="67" spans="2:13" x14ac:dyDescent="0.2">
      <c r="B67" s="157"/>
      <c r="C67" s="499"/>
      <c r="D67" s="499"/>
      <c r="E67" s="499"/>
      <c r="F67" s="499"/>
      <c r="G67" s="499"/>
      <c r="H67" s="499"/>
      <c r="I67" s="499"/>
      <c r="J67" s="499"/>
      <c r="K67" s="499"/>
      <c r="L67" s="161"/>
    </row>
    <row r="68" spans="2:13" x14ac:dyDescent="0.2">
      <c r="B68" s="157"/>
      <c r="C68" s="158"/>
      <c r="D68" s="158"/>
      <c r="E68" s="158"/>
      <c r="F68" s="158"/>
      <c r="G68" s="158"/>
      <c r="H68" s="158"/>
      <c r="I68" s="158"/>
      <c r="J68" s="158"/>
      <c r="K68" s="158"/>
      <c r="L68" s="161"/>
    </row>
    <row r="69" spans="2:13" x14ac:dyDescent="0.2">
      <c r="B69" s="157"/>
      <c r="C69" s="158"/>
      <c r="D69" s="158"/>
      <c r="E69" s="158"/>
      <c r="F69" s="158"/>
      <c r="G69" s="158"/>
      <c r="H69" s="158"/>
      <c r="I69" s="158"/>
      <c r="J69" s="158"/>
      <c r="K69" s="158"/>
      <c r="L69" s="161"/>
    </row>
    <row r="70" spans="2:13" ht="15" x14ac:dyDescent="0.25">
      <c r="B70" s="172"/>
      <c r="C70" s="173"/>
      <c r="D70" s="354"/>
      <c r="E70" s="173"/>
      <c r="F70" s="173"/>
      <c r="G70" s="355"/>
      <c r="H70" s="355"/>
      <c r="I70" s="355"/>
      <c r="J70" s="355"/>
      <c r="K70" s="175" t="s">
        <v>423</v>
      </c>
      <c r="L70" s="176"/>
    </row>
    <row r="71" spans="2:13" x14ac:dyDescent="0.2">
      <c r="B71" s="33"/>
      <c r="C71" s="33"/>
      <c r="D71" s="33"/>
      <c r="E71" s="33"/>
      <c r="F71" s="33"/>
      <c r="G71" s="33"/>
      <c r="H71" s="33"/>
      <c r="I71" s="33"/>
      <c r="J71" s="33"/>
      <c r="K71" s="33"/>
      <c r="L71" s="33"/>
    </row>
    <row r="72" spans="2:13" x14ac:dyDescent="0.2">
      <c r="B72" s="33"/>
      <c r="C72" s="33"/>
      <c r="D72" s="33"/>
      <c r="E72" s="33"/>
      <c r="F72" s="33"/>
      <c r="G72" s="33"/>
      <c r="H72" s="33"/>
      <c r="I72" s="33"/>
      <c r="J72" s="33"/>
      <c r="K72" s="33"/>
      <c r="L72" s="33"/>
    </row>
    <row r="73" spans="2:13" s="37" customFormat="1" ht="18.75" x14ac:dyDescent="0.3">
      <c r="B73" s="33"/>
      <c r="C73" s="33"/>
      <c r="D73" s="33"/>
      <c r="E73" s="33"/>
      <c r="F73" s="33"/>
      <c r="G73" s="33"/>
      <c r="H73" s="33"/>
      <c r="I73" s="33"/>
      <c r="J73" s="33"/>
      <c r="K73" s="33"/>
      <c r="L73" s="33"/>
      <c r="M73" s="60"/>
    </row>
    <row r="74" spans="2:13" x14ac:dyDescent="0.2">
      <c r="B74" s="33"/>
      <c r="C74" s="33"/>
      <c r="D74" s="33"/>
      <c r="E74" s="33"/>
      <c r="F74" s="33"/>
      <c r="G74" s="33"/>
      <c r="H74" s="33"/>
      <c r="I74" s="33"/>
      <c r="J74" s="33"/>
      <c r="K74" s="33"/>
      <c r="L74" s="33"/>
    </row>
    <row r="75" spans="2:13" x14ac:dyDescent="0.2">
      <c r="B75" s="33"/>
      <c r="C75" s="33"/>
      <c r="D75" s="33"/>
      <c r="E75" s="33"/>
      <c r="F75" s="33"/>
      <c r="G75" s="33"/>
      <c r="H75" s="33"/>
      <c r="I75" s="33"/>
      <c r="J75" s="33"/>
      <c r="K75" s="33"/>
      <c r="L75" s="33"/>
    </row>
    <row r="76" spans="2:13" x14ac:dyDescent="0.2">
      <c r="B76" s="33"/>
      <c r="C76" s="33"/>
      <c r="D76" s="33"/>
      <c r="E76" s="33"/>
      <c r="F76" s="33"/>
      <c r="G76" s="33"/>
      <c r="H76" s="33"/>
      <c r="I76" s="33"/>
      <c r="J76" s="33"/>
      <c r="K76" s="33"/>
      <c r="L76" s="33"/>
    </row>
    <row r="77" spans="2:13" x14ac:dyDescent="0.2">
      <c r="B77" s="33"/>
      <c r="C77" s="33"/>
      <c r="D77" s="33"/>
      <c r="E77" s="33"/>
      <c r="F77" s="33"/>
      <c r="G77" s="33"/>
      <c r="H77" s="33"/>
      <c r="I77" s="33"/>
      <c r="J77" s="33"/>
      <c r="K77" s="33"/>
      <c r="L77" s="33"/>
    </row>
    <row r="78" spans="2:13" s="35" customFormat="1" x14ac:dyDescent="0.2">
      <c r="B78" s="41"/>
      <c r="C78" s="41"/>
      <c r="D78" s="41"/>
      <c r="E78" s="41"/>
      <c r="F78" s="41"/>
      <c r="G78" s="41"/>
      <c r="H78" s="41"/>
      <c r="I78" s="41"/>
      <c r="J78" s="41"/>
      <c r="K78" s="41"/>
      <c r="L78" s="41"/>
      <c r="M78" s="47"/>
    </row>
    <row r="79" spans="2:13" x14ac:dyDescent="0.2">
      <c r="B79" s="33"/>
      <c r="C79" s="33"/>
      <c r="D79" s="33"/>
      <c r="E79" s="33"/>
      <c r="F79" s="33"/>
      <c r="G79" s="33"/>
      <c r="H79" s="33"/>
      <c r="I79" s="33"/>
      <c r="J79" s="33"/>
      <c r="K79" s="33"/>
      <c r="L79" s="33"/>
    </row>
    <row r="80" spans="2:13" x14ac:dyDescent="0.2">
      <c r="B80" s="33"/>
      <c r="C80" s="33"/>
      <c r="D80" s="33"/>
      <c r="E80" s="33"/>
      <c r="F80" s="33"/>
      <c r="G80" s="33"/>
      <c r="H80" s="33"/>
      <c r="I80" s="33"/>
      <c r="J80" s="33"/>
      <c r="K80" s="33"/>
      <c r="L80" s="33"/>
    </row>
    <row r="81" spans="2:13" x14ac:dyDescent="0.2">
      <c r="B81" s="33"/>
      <c r="C81" s="33"/>
      <c r="D81" s="33"/>
      <c r="E81" s="33"/>
      <c r="F81" s="33"/>
      <c r="G81" s="33"/>
      <c r="H81" s="33"/>
      <c r="I81" s="33"/>
      <c r="J81" s="33"/>
      <c r="K81" s="33"/>
      <c r="L81" s="33"/>
    </row>
    <row r="82" spans="2:13" x14ac:dyDescent="0.2">
      <c r="B82" s="33"/>
      <c r="C82" s="33"/>
      <c r="D82" s="33"/>
      <c r="E82" s="33"/>
      <c r="F82" s="33"/>
      <c r="G82" s="33"/>
      <c r="H82" s="33"/>
      <c r="I82" s="33"/>
      <c r="J82" s="33"/>
      <c r="K82" s="33"/>
      <c r="L82" s="33"/>
    </row>
    <row r="83" spans="2:13" s="35" customFormat="1" x14ac:dyDescent="0.2">
      <c r="B83" s="41"/>
      <c r="C83" s="41"/>
      <c r="D83" s="41"/>
      <c r="E83" s="41"/>
      <c r="F83" s="41"/>
      <c r="G83" s="41"/>
      <c r="H83" s="41"/>
      <c r="I83" s="41"/>
      <c r="J83" s="41"/>
      <c r="K83" s="41"/>
      <c r="L83" s="41"/>
      <c r="M83" s="47"/>
    </row>
    <row r="84" spans="2:13" x14ac:dyDescent="0.2">
      <c r="B84" s="33"/>
      <c r="C84" s="33"/>
      <c r="D84" s="33"/>
      <c r="E84" s="33"/>
      <c r="F84" s="33"/>
      <c r="G84" s="33"/>
      <c r="H84" s="33"/>
      <c r="I84" s="33"/>
      <c r="J84" s="33"/>
      <c r="K84" s="33"/>
      <c r="L84" s="33"/>
    </row>
    <row r="85" spans="2:13" x14ac:dyDescent="0.2">
      <c r="B85" s="33"/>
      <c r="C85" s="33"/>
      <c r="D85" s="33"/>
      <c r="E85" s="33"/>
      <c r="F85" s="33"/>
      <c r="G85" s="33"/>
      <c r="H85" s="33"/>
      <c r="I85" s="33"/>
      <c r="J85" s="33"/>
      <c r="K85" s="33"/>
      <c r="L85" s="33"/>
    </row>
    <row r="86" spans="2:13" x14ac:dyDescent="0.2">
      <c r="B86" s="33"/>
      <c r="C86" s="33"/>
      <c r="D86" s="33"/>
      <c r="E86" s="33"/>
      <c r="F86" s="33"/>
      <c r="G86" s="33"/>
      <c r="H86" s="33"/>
      <c r="I86" s="33"/>
      <c r="J86" s="33"/>
      <c r="K86" s="33"/>
      <c r="L86" s="33"/>
    </row>
    <row r="87" spans="2:13" x14ac:dyDescent="0.2">
      <c r="B87" s="33"/>
      <c r="C87" s="33"/>
      <c r="D87" s="33"/>
      <c r="E87" s="33"/>
      <c r="F87" s="33"/>
      <c r="G87" s="33"/>
      <c r="H87" s="33"/>
      <c r="I87" s="33"/>
      <c r="J87" s="33"/>
      <c r="K87" s="33"/>
      <c r="L87" s="33"/>
    </row>
    <row r="88" spans="2:13" s="35" customFormat="1" x14ac:dyDescent="0.2">
      <c r="B88" s="41"/>
      <c r="C88" s="41"/>
      <c r="D88" s="41"/>
      <c r="E88" s="41"/>
      <c r="F88" s="41"/>
      <c r="G88" s="41"/>
      <c r="H88" s="41"/>
      <c r="I88" s="41"/>
      <c r="J88" s="41"/>
      <c r="K88" s="41"/>
      <c r="L88" s="41"/>
      <c r="M88" s="47"/>
    </row>
    <row r="89" spans="2:13" x14ac:dyDescent="0.2">
      <c r="B89" s="33"/>
      <c r="C89" s="33"/>
      <c r="D89" s="33"/>
      <c r="E89" s="33"/>
      <c r="F89" s="33"/>
      <c r="G89" s="33"/>
      <c r="H89" s="33"/>
      <c r="I89" s="33"/>
      <c r="J89" s="33"/>
      <c r="K89" s="33"/>
      <c r="L89" s="33"/>
    </row>
    <row r="90" spans="2:13" x14ac:dyDescent="0.2">
      <c r="B90" s="33"/>
      <c r="C90" s="33"/>
      <c r="D90" s="33"/>
      <c r="E90" s="33"/>
      <c r="F90" s="33"/>
      <c r="G90" s="33"/>
      <c r="H90" s="33"/>
      <c r="I90" s="33"/>
      <c r="J90" s="33"/>
      <c r="K90" s="33"/>
      <c r="L90" s="33"/>
    </row>
    <row r="91" spans="2:13" x14ac:dyDescent="0.2">
      <c r="B91" s="33"/>
      <c r="C91" s="33"/>
      <c r="D91" s="33"/>
      <c r="E91" s="33"/>
      <c r="F91" s="33"/>
      <c r="G91" s="33"/>
      <c r="H91" s="33"/>
      <c r="I91" s="33"/>
      <c r="J91" s="33"/>
      <c r="K91" s="33"/>
      <c r="L91" s="33"/>
    </row>
    <row r="92" spans="2:13" x14ac:dyDescent="0.2">
      <c r="B92" s="33"/>
      <c r="C92" s="33"/>
      <c r="D92" s="33"/>
      <c r="E92" s="33"/>
      <c r="F92" s="33"/>
      <c r="G92" s="33"/>
      <c r="H92" s="33"/>
      <c r="I92" s="33"/>
      <c r="J92" s="33"/>
      <c r="K92" s="33"/>
      <c r="L92" s="33"/>
    </row>
    <row r="93" spans="2:13" s="35" customFormat="1" x14ac:dyDescent="0.2">
      <c r="B93" s="41"/>
      <c r="C93" s="41"/>
      <c r="D93" s="41"/>
      <c r="E93" s="41"/>
      <c r="F93" s="41"/>
      <c r="G93" s="41"/>
      <c r="H93" s="41"/>
      <c r="I93" s="41"/>
      <c r="J93" s="41"/>
      <c r="K93" s="41"/>
      <c r="L93" s="41"/>
      <c r="M93" s="47"/>
    </row>
    <row r="94" spans="2:13" x14ac:dyDescent="0.2">
      <c r="B94" s="33"/>
      <c r="C94" s="33"/>
      <c r="D94" s="33"/>
      <c r="E94" s="33"/>
      <c r="F94" s="33"/>
      <c r="G94" s="33"/>
      <c r="H94" s="33"/>
      <c r="I94" s="33"/>
      <c r="J94" s="33"/>
      <c r="K94" s="33"/>
      <c r="L94" s="33"/>
    </row>
    <row r="95" spans="2:13" x14ac:dyDescent="0.2">
      <c r="B95" s="33"/>
      <c r="C95" s="33"/>
      <c r="D95" s="33"/>
      <c r="E95" s="33"/>
      <c r="F95" s="33"/>
      <c r="G95" s="33"/>
      <c r="H95" s="33"/>
      <c r="I95" s="33"/>
      <c r="J95" s="33"/>
      <c r="K95" s="33"/>
      <c r="L95" s="33"/>
    </row>
    <row r="96" spans="2:13" x14ac:dyDescent="0.2">
      <c r="B96" s="33"/>
      <c r="C96" s="33"/>
      <c r="D96" s="33"/>
      <c r="E96" s="33"/>
      <c r="F96" s="33"/>
      <c r="G96" s="33"/>
      <c r="H96" s="33"/>
      <c r="I96" s="33"/>
      <c r="J96" s="33"/>
      <c r="K96" s="33"/>
      <c r="L96" s="33"/>
    </row>
    <row r="97" spans="2:13" x14ac:dyDescent="0.2">
      <c r="B97" s="33"/>
      <c r="C97" s="33"/>
      <c r="D97" s="33"/>
      <c r="E97" s="33"/>
      <c r="F97" s="33"/>
      <c r="G97" s="33"/>
      <c r="H97" s="33"/>
      <c r="I97" s="33"/>
      <c r="J97" s="33"/>
      <c r="K97" s="33"/>
      <c r="L97" s="33"/>
    </row>
    <row r="98" spans="2:13" s="35" customFormat="1" x14ac:dyDescent="0.2">
      <c r="B98" s="41"/>
      <c r="C98" s="41"/>
      <c r="D98" s="41"/>
      <c r="E98" s="41"/>
      <c r="F98" s="41"/>
      <c r="G98" s="41"/>
      <c r="H98" s="41"/>
      <c r="I98" s="41"/>
      <c r="J98" s="41"/>
      <c r="K98" s="41"/>
      <c r="L98" s="41"/>
      <c r="M98" s="47"/>
    </row>
    <row r="99" spans="2:13" x14ac:dyDescent="0.2">
      <c r="B99" s="33"/>
      <c r="C99" s="33"/>
      <c r="D99" s="33"/>
      <c r="E99" s="33"/>
      <c r="F99" s="33"/>
      <c r="G99" s="33"/>
      <c r="H99" s="33"/>
      <c r="I99" s="33"/>
      <c r="J99" s="33"/>
      <c r="K99" s="33"/>
      <c r="L99" s="33"/>
    </row>
    <row r="100" spans="2:13" x14ac:dyDescent="0.2">
      <c r="B100" s="33"/>
      <c r="C100" s="33"/>
      <c r="D100" s="33"/>
      <c r="E100" s="33"/>
      <c r="F100" s="33"/>
      <c r="G100" s="33"/>
      <c r="H100" s="33"/>
      <c r="I100" s="33"/>
      <c r="J100" s="33"/>
      <c r="K100" s="33"/>
      <c r="L100" s="33"/>
    </row>
    <row r="101" spans="2:13" x14ac:dyDescent="0.2">
      <c r="B101" s="33"/>
      <c r="C101" s="33"/>
      <c r="D101" s="33"/>
      <c r="E101" s="33"/>
      <c r="F101" s="33"/>
      <c r="G101" s="33"/>
      <c r="H101" s="33"/>
      <c r="I101" s="33"/>
      <c r="J101" s="33"/>
      <c r="K101" s="33"/>
      <c r="L101" s="33"/>
    </row>
    <row r="102" spans="2:13" x14ac:dyDescent="0.2">
      <c r="B102" s="33"/>
      <c r="C102" s="33"/>
      <c r="D102" s="33"/>
      <c r="E102" s="33"/>
      <c r="F102" s="33"/>
      <c r="G102" s="33"/>
      <c r="H102" s="33"/>
      <c r="I102" s="33"/>
      <c r="J102" s="33"/>
      <c r="K102" s="33"/>
      <c r="L102" s="33"/>
    </row>
    <row r="103" spans="2:13" s="35" customFormat="1" x14ac:dyDescent="0.2">
      <c r="B103" s="41"/>
      <c r="C103" s="41"/>
      <c r="D103" s="41"/>
      <c r="E103" s="41"/>
      <c r="F103" s="41"/>
      <c r="G103" s="41"/>
      <c r="H103" s="41"/>
      <c r="I103" s="41"/>
      <c r="J103" s="41"/>
      <c r="K103" s="41"/>
      <c r="L103" s="41"/>
      <c r="M103" s="47"/>
    </row>
    <row r="104" spans="2:13" x14ac:dyDescent="0.2">
      <c r="B104" s="33"/>
      <c r="C104" s="33"/>
      <c r="D104" s="33"/>
      <c r="E104" s="33"/>
      <c r="F104" s="33"/>
      <c r="G104" s="33"/>
      <c r="H104" s="33"/>
      <c r="I104" s="33"/>
      <c r="J104" s="33"/>
      <c r="K104" s="33"/>
      <c r="L104" s="33"/>
    </row>
    <row r="105" spans="2:13" x14ac:dyDescent="0.2">
      <c r="B105" s="33"/>
      <c r="C105" s="33"/>
      <c r="D105" s="33"/>
      <c r="E105" s="33"/>
      <c r="F105" s="33"/>
      <c r="G105" s="33"/>
      <c r="H105" s="33"/>
      <c r="I105" s="33"/>
      <c r="J105" s="33"/>
      <c r="K105" s="33"/>
      <c r="L105" s="33"/>
    </row>
    <row r="106" spans="2:13" x14ac:dyDescent="0.2">
      <c r="B106" s="33"/>
      <c r="C106" s="33"/>
      <c r="D106" s="33"/>
      <c r="E106" s="33"/>
      <c r="F106" s="33"/>
      <c r="G106" s="33"/>
      <c r="H106" s="33"/>
      <c r="I106" s="33"/>
      <c r="J106" s="33"/>
      <c r="K106" s="33"/>
      <c r="L106" s="33"/>
    </row>
    <row r="107" spans="2:13" x14ac:dyDescent="0.2">
      <c r="B107" s="33"/>
      <c r="C107" s="33"/>
      <c r="D107" s="33"/>
      <c r="E107" s="33"/>
      <c r="F107" s="33"/>
      <c r="G107" s="33"/>
      <c r="H107" s="33"/>
      <c r="I107" s="33"/>
      <c r="J107" s="33"/>
      <c r="K107" s="33"/>
      <c r="L107" s="33"/>
    </row>
    <row r="108" spans="2:13" x14ac:dyDescent="0.2">
      <c r="B108" s="33"/>
      <c r="C108" s="33"/>
      <c r="D108" s="33"/>
      <c r="E108" s="33"/>
      <c r="F108" s="33"/>
      <c r="G108" s="33"/>
      <c r="H108" s="33"/>
      <c r="I108" s="33"/>
      <c r="J108" s="33"/>
      <c r="K108" s="33"/>
      <c r="L108" s="33"/>
    </row>
    <row r="109" spans="2:13" x14ac:dyDescent="0.2">
      <c r="B109" s="33"/>
      <c r="C109" s="33"/>
      <c r="D109" s="33"/>
      <c r="E109" s="33"/>
      <c r="F109" s="33"/>
      <c r="G109" s="33"/>
      <c r="H109" s="33"/>
      <c r="I109" s="33"/>
      <c r="J109" s="33"/>
      <c r="K109" s="33"/>
      <c r="L109" s="33"/>
    </row>
    <row r="110" spans="2:13" x14ac:dyDescent="0.2">
      <c r="B110" s="33"/>
      <c r="C110" s="33"/>
      <c r="D110" s="33"/>
      <c r="E110" s="33"/>
      <c r="F110" s="33"/>
      <c r="G110" s="33"/>
      <c r="H110" s="33"/>
      <c r="I110" s="33"/>
      <c r="J110" s="33"/>
      <c r="K110" s="33"/>
      <c r="L110" s="33"/>
    </row>
    <row r="111" spans="2:13" x14ac:dyDescent="0.2">
      <c r="B111" s="33"/>
      <c r="C111" s="33"/>
      <c r="D111" s="33"/>
      <c r="E111" s="33"/>
      <c r="F111" s="33"/>
      <c r="G111" s="33"/>
      <c r="H111" s="33"/>
      <c r="I111" s="33"/>
      <c r="J111" s="33"/>
      <c r="K111" s="33"/>
      <c r="L111" s="33"/>
    </row>
    <row r="112" spans="2:13" x14ac:dyDescent="0.2">
      <c r="B112" s="33"/>
      <c r="C112" s="33"/>
      <c r="D112" s="33"/>
      <c r="E112" s="33"/>
      <c r="F112" s="33"/>
      <c r="G112" s="33"/>
      <c r="H112" s="33"/>
      <c r="I112" s="33"/>
      <c r="J112" s="33"/>
      <c r="K112" s="33"/>
      <c r="L112" s="33"/>
    </row>
    <row r="114" spans="7:13" s="35" customFormat="1" x14ac:dyDescent="0.2">
      <c r="G114" s="51"/>
      <c r="H114" s="51"/>
      <c r="I114" s="51"/>
      <c r="J114" s="51"/>
      <c r="K114" s="51"/>
      <c r="M114" s="47"/>
    </row>
    <row r="119" spans="7:13" s="35" customFormat="1" x14ac:dyDescent="0.2">
      <c r="G119" s="51"/>
      <c r="H119" s="51"/>
      <c r="I119" s="51"/>
      <c r="J119" s="51"/>
      <c r="K119" s="51"/>
      <c r="M119" s="47"/>
    </row>
    <row r="124" spans="7:13" s="35" customFormat="1" x14ac:dyDescent="0.2">
      <c r="G124" s="51"/>
      <c r="H124" s="51"/>
      <c r="I124" s="51"/>
      <c r="J124" s="51"/>
      <c r="K124" s="51"/>
      <c r="M124" s="47"/>
    </row>
    <row r="129" spans="4:13" s="35" customFormat="1" x14ac:dyDescent="0.2">
      <c r="G129" s="51"/>
      <c r="H129" s="51"/>
      <c r="I129" s="51"/>
      <c r="J129" s="51"/>
      <c r="K129" s="51"/>
      <c r="M129" s="47"/>
    </row>
    <row r="134" spans="4:13" s="35" customFormat="1" x14ac:dyDescent="0.2">
      <c r="G134" s="51"/>
      <c r="H134" s="51"/>
      <c r="I134" s="51"/>
      <c r="J134" s="51"/>
      <c r="K134" s="51"/>
      <c r="M134" s="47"/>
    </row>
    <row r="137" spans="4:13" x14ac:dyDescent="0.2">
      <c r="D137" s="35"/>
      <c r="E137" s="35"/>
      <c r="F137" s="35"/>
      <c r="G137" s="51"/>
      <c r="H137" s="51"/>
      <c r="I137" s="51"/>
    </row>
    <row r="138" spans="4:13" x14ac:dyDescent="0.2">
      <c r="D138" s="35"/>
      <c r="E138" s="35"/>
      <c r="F138" s="35"/>
      <c r="G138" s="51"/>
      <c r="H138" s="51"/>
      <c r="I138" s="51"/>
    </row>
    <row r="139" spans="4:13" s="35" customFormat="1" x14ac:dyDescent="0.2">
      <c r="G139" s="51"/>
      <c r="H139" s="51"/>
      <c r="I139" s="51"/>
      <c r="J139" s="51"/>
      <c r="K139" s="51"/>
      <c r="M139" s="47"/>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80" orientation="portrait" r:id="rId1"/>
  <headerFooter alignWithMargins="0">
    <oddHeader>&amp;L&amp;"Arial,Vet"&amp;F&amp;R&amp;"Arial,Vet"&amp;A</oddHeader>
    <oddFooter>&amp;L&amp;"Arial,Vet"PO-Raad&amp;C&amp;"Arial,Vet"pagina &amp;P&amp;R&amp;"Arial,Vet"&amp;D</oddFooter>
  </headerFooter>
  <colBreaks count="1" manualBreakCount="1">
    <brk id="12" max="1048575" man="1"/>
  </col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45.7109375" style="34" customWidth="1"/>
    <col min="5" max="5" width="2.7109375" style="34" customWidth="1"/>
    <col min="6" max="7" width="16.85546875" style="36" customWidth="1"/>
    <col min="8" max="9" width="16.85546875" style="36" hidden="1" customWidth="1"/>
    <col min="10" max="10" width="2.7109375" style="36" customWidth="1"/>
    <col min="11" max="11" width="2.7109375" style="34" customWidth="1"/>
    <col min="12" max="12" width="11.42578125" style="43" customWidth="1"/>
    <col min="13" max="13" width="33.7109375" style="34" customWidth="1"/>
    <col min="14" max="14" width="2.5703125" style="34" customWidth="1"/>
    <col min="15" max="19" width="10.7109375" style="34" customWidth="1"/>
    <col min="20" max="20" width="2.7109375" style="34" customWidth="1"/>
    <col min="21" max="16384" width="9.140625" style="34"/>
  </cols>
  <sheetData>
    <row r="1" spans="2:15" ht="12" customHeight="1" x14ac:dyDescent="0.2"/>
    <row r="2" spans="2:15" x14ac:dyDescent="0.2">
      <c r="B2" s="359"/>
      <c r="C2" s="360"/>
      <c r="D2" s="360"/>
      <c r="E2" s="361"/>
      <c r="F2" s="361"/>
      <c r="G2" s="361"/>
      <c r="H2" s="361"/>
      <c r="I2" s="361"/>
      <c r="J2" s="361"/>
      <c r="K2" s="362"/>
    </row>
    <row r="3" spans="2:15" x14ac:dyDescent="0.2">
      <c r="B3" s="363"/>
      <c r="C3" s="364"/>
      <c r="D3" s="364"/>
      <c r="E3" s="357"/>
      <c r="F3" s="357"/>
      <c r="G3" s="357"/>
      <c r="H3" s="357"/>
      <c r="I3" s="357"/>
      <c r="J3" s="357"/>
      <c r="K3" s="366"/>
    </row>
    <row r="4" spans="2:15" s="45" customFormat="1" ht="18.75" x14ac:dyDescent="0.3">
      <c r="B4" s="340"/>
      <c r="C4" s="276" t="s">
        <v>322</v>
      </c>
      <c r="D4" s="196"/>
      <c r="E4" s="341"/>
      <c r="F4" s="374"/>
      <c r="G4" s="341"/>
      <c r="H4" s="341"/>
      <c r="I4" s="341"/>
      <c r="J4" s="341"/>
      <c r="K4" s="197"/>
      <c r="L4" s="44"/>
    </row>
    <row r="5" spans="2:15" s="35" customFormat="1" ht="18.75" x14ac:dyDescent="0.3">
      <c r="B5" s="343"/>
      <c r="C5" s="375" t="str">
        <f>geg!F10</f>
        <v>Zorgzaam</v>
      </c>
      <c r="D5" s="317"/>
      <c r="E5" s="376"/>
      <c r="F5" s="377"/>
      <c r="G5" s="376"/>
      <c r="H5" s="376"/>
      <c r="I5" s="376"/>
      <c r="J5" s="376"/>
      <c r="K5" s="378"/>
      <c r="L5" s="47"/>
    </row>
    <row r="6" spans="2:15" x14ac:dyDescent="0.2">
      <c r="B6" s="168"/>
      <c r="C6" s="311"/>
      <c r="D6" s="364"/>
      <c r="E6" s="357"/>
      <c r="F6" s="357"/>
      <c r="G6" s="357"/>
      <c r="H6" s="357"/>
      <c r="I6" s="357"/>
      <c r="J6" s="357"/>
      <c r="K6" s="366"/>
    </row>
    <row r="7" spans="2:15" x14ac:dyDescent="0.2">
      <c r="B7" s="168"/>
      <c r="C7" s="311"/>
      <c r="D7" s="364"/>
      <c r="E7" s="357"/>
      <c r="F7" s="357"/>
      <c r="G7" s="471"/>
      <c r="H7" s="357"/>
      <c r="I7" s="357"/>
      <c r="J7" s="357"/>
      <c r="K7" s="366"/>
    </row>
    <row r="8" spans="2:15" s="48" customFormat="1" x14ac:dyDescent="0.2">
      <c r="B8" s="379"/>
      <c r="C8" s="380"/>
      <c r="D8" s="381"/>
      <c r="E8" s="312"/>
      <c r="F8" s="320">
        <f>tab!D4</f>
        <v>2013</v>
      </c>
      <c r="G8" s="528">
        <v>41486</v>
      </c>
      <c r="H8" s="320">
        <f>tab!F4</f>
        <v>2015</v>
      </c>
      <c r="I8" s="320">
        <f>tab!G4</f>
        <v>2016</v>
      </c>
      <c r="J8" s="312"/>
      <c r="K8" s="197"/>
      <c r="L8" s="49"/>
    </row>
    <row r="9" spans="2:15" x14ac:dyDescent="0.2">
      <c r="B9" s="367"/>
      <c r="C9" s="316"/>
      <c r="D9" s="310"/>
      <c r="E9" s="243"/>
      <c r="F9" s="243"/>
      <c r="G9" s="243"/>
      <c r="H9" s="243"/>
      <c r="I9" s="243"/>
      <c r="J9" s="243"/>
      <c r="K9" s="366"/>
    </row>
    <row r="10" spans="2:15" x14ac:dyDescent="0.2">
      <c r="B10" s="363"/>
      <c r="C10" s="636"/>
      <c r="D10" s="636"/>
      <c r="E10" s="607"/>
      <c r="F10" s="607"/>
      <c r="G10" s="607"/>
      <c r="H10" s="607"/>
      <c r="I10" s="607"/>
      <c r="J10" s="607"/>
      <c r="K10" s="366"/>
    </row>
    <row r="11" spans="2:15" x14ac:dyDescent="0.2">
      <c r="B11" s="367"/>
      <c r="C11" s="825"/>
      <c r="D11" s="682" t="s">
        <v>323</v>
      </c>
      <c r="E11" s="826"/>
      <c r="F11" s="836">
        <f>bal!F22</f>
        <v>0</v>
      </c>
      <c r="G11" s="836">
        <f>F51</f>
        <v>581103.41666666674</v>
      </c>
      <c r="H11" s="834">
        <f>G51</f>
        <v>921007.66666666686</v>
      </c>
      <c r="I11" s="834">
        <f>H51</f>
        <v>1503413.666666667</v>
      </c>
      <c r="J11" s="826"/>
      <c r="K11" s="382"/>
    </row>
    <row r="12" spans="2:15" x14ac:dyDescent="0.2">
      <c r="B12" s="363"/>
      <c r="C12" s="636"/>
      <c r="D12" s="835"/>
      <c r="E12" s="607"/>
      <c r="F12" s="607"/>
      <c r="G12" s="607"/>
      <c r="H12" s="607"/>
      <c r="I12" s="607"/>
      <c r="J12" s="607"/>
      <c r="K12" s="366"/>
    </row>
    <row r="13" spans="2:15" x14ac:dyDescent="0.2">
      <c r="B13" s="363"/>
      <c r="C13" s="364"/>
      <c r="D13" s="364"/>
      <c r="E13" s="357"/>
      <c r="F13" s="357"/>
      <c r="G13" s="357"/>
      <c r="H13" s="357"/>
      <c r="I13" s="357"/>
      <c r="J13" s="357"/>
      <c r="K13" s="366"/>
    </row>
    <row r="14" spans="2:15" x14ac:dyDescent="0.2">
      <c r="B14" s="363"/>
      <c r="C14" s="636"/>
      <c r="D14" s="636"/>
      <c r="E14" s="607"/>
      <c r="F14" s="607"/>
      <c r="G14" s="607"/>
      <c r="H14" s="607"/>
      <c r="I14" s="607"/>
      <c r="J14" s="607"/>
      <c r="K14" s="366"/>
    </row>
    <row r="15" spans="2:15" x14ac:dyDescent="0.2">
      <c r="B15" s="363"/>
      <c r="C15" s="636"/>
      <c r="D15" s="682" t="s">
        <v>324</v>
      </c>
      <c r="E15" s="607"/>
      <c r="F15" s="607"/>
      <c r="G15" s="607"/>
      <c r="H15" s="607"/>
      <c r="I15" s="607"/>
      <c r="J15" s="607"/>
      <c r="K15" s="366"/>
      <c r="L15" s="50"/>
      <c r="M15" s="36"/>
      <c r="N15" s="36"/>
      <c r="O15" s="36"/>
    </row>
    <row r="16" spans="2:15" x14ac:dyDescent="0.2">
      <c r="B16" s="363"/>
      <c r="C16" s="636"/>
      <c r="D16" s="825"/>
      <c r="E16" s="607"/>
      <c r="F16" s="607"/>
      <c r="G16" s="607"/>
      <c r="H16" s="607"/>
      <c r="I16" s="607"/>
      <c r="J16" s="607"/>
      <c r="K16" s="366"/>
      <c r="L16" s="50"/>
      <c r="M16" s="36"/>
      <c r="N16" s="36"/>
      <c r="O16" s="36"/>
    </row>
    <row r="17" spans="2:11" x14ac:dyDescent="0.2">
      <c r="B17" s="363"/>
      <c r="C17" s="636"/>
      <c r="D17" s="636" t="s">
        <v>303</v>
      </c>
      <c r="E17" s="607"/>
      <c r="F17" s="837">
        <f>begr!G40</f>
        <v>581103.41666666674</v>
      </c>
      <c r="G17" s="837">
        <f>begr!H40</f>
        <v>339904.25000000012</v>
      </c>
      <c r="H17" s="831">
        <f>begr!I40</f>
        <v>582406.00000000012</v>
      </c>
      <c r="I17" s="831">
        <f>begr!J40</f>
        <v>582406.00000000012</v>
      </c>
      <c r="J17" s="607"/>
      <c r="K17" s="366"/>
    </row>
    <row r="18" spans="2:11" x14ac:dyDescent="0.2">
      <c r="B18" s="363"/>
      <c r="C18" s="636"/>
      <c r="D18" s="636"/>
      <c r="E18" s="607"/>
      <c r="F18" s="607"/>
      <c r="G18" s="607"/>
      <c r="H18" s="607"/>
      <c r="I18" s="607"/>
      <c r="J18" s="607"/>
      <c r="K18" s="366"/>
    </row>
    <row r="19" spans="2:11" x14ac:dyDescent="0.2">
      <c r="B19" s="363"/>
      <c r="C19" s="636"/>
      <c r="D19" s="636" t="s">
        <v>118</v>
      </c>
      <c r="E19" s="607"/>
      <c r="F19" s="629">
        <f>act!G42</f>
        <v>0</v>
      </c>
      <c r="G19" s="629">
        <f>act!H42</f>
        <v>0</v>
      </c>
      <c r="H19" s="608">
        <f>act!I42</f>
        <v>0</v>
      </c>
      <c r="I19" s="608">
        <f>act!J42</f>
        <v>0</v>
      </c>
      <c r="J19" s="607"/>
      <c r="K19" s="366"/>
    </row>
    <row r="20" spans="2:11" x14ac:dyDescent="0.2">
      <c r="B20" s="363"/>
      <c r="C20" s="636"/>
      <c r="D20" s="636"/>
      <c r="E20" s="607"/>
      <c r="F20" s="608"/>
      <c r="G20" s="608"/>
      <c r="H20" s="608"/>
      <c r="I20" s="608"/>
      <c r="J20" s="607"/>
      <c r="K20" s="366"/>
    </row>
    <row r="21" spans="2:11" x14ac:dyDescent="0.2">
      <c r="B21" s="363"/>
      <c r="C21" s="636"/>
      <c r="D21" s="832" t="s">
        <v>325</v>
      </c>
      <c r="E21" s="607"/>
      <c r="F21" s="608"/>
      <c r="G21" s="608"/>
      <c r="H21" s="608"/>
      <c r="I21" s="608"/>
      <c r="J21" s="607"/>
      <c r="K21" s="366"/>
    </row>
    <row r="22" spans="2:11" x14ac:dyDescent="0.2">
      <c r="B22" s="363"/>
      <c r="C22" s="636"/>
      <c r="D22" s="636" t="s">
        <v>326</v>
      </c>
      <c r="E22" s="607"/>
      <c r="F22" s="629">
        <f>bal!F19-bal!G19</f>
        <v>0</v>
      </c>
      <c r="G22" s="629">
        <f>bal!G19-bal!H19</f>
        <v>0</v>
      </c>
      <c r="H22" s="608">
        <f>bal!H19-bal!I19</f>
        <v>0</v>
      </c>
      <c r="I22" s="608">
        <f>bal!I19-bal!J19</f>
        <v>0</v>
      </c>
      <c r="J22" s="607"/>
      <c r="K22" s="366"/>
    </row>
    <row r="23" spans="2:11" x14ac:dyDescent="0.2">
      <c r="B23" s="363"/>
      <c r="C23" s="636"/>
      <c r="D23" s="636" t="s">
        <v>327</v>
      </c>
      <c r="E23" s="607"/>
      <c r="F23" s="629">
        <f>bal!F20-bal!G20</f>
        <v>0</v>
      </c>
      <c r="G23" s="629">
        <f>bal!G20-bal!H20</f>
        <v>0</v>
      </c>
      <c r="H23" s="608">
        <f>bal!H20-bal!I20</f>
        <v>0</v>
      </c>
      <c r="I23" s="608">
        <f>bal!I20-bal!J20</f>
        <v>0</v>
      </c>
      <c r="J23" s="607"/>
      <c r="K23" s="366"/>
    </row>
    <row r="24" spans="2:11" x14ac:dyDescent="0.2">
      <c r="B24" s="363"/>
      <c r="C24" s="636"/>
      <c r="D24" s="636" t="s">
        <v>328</v>
      </c>
      <c r="E24" s="607"/>
      <c r="F24" s="629">
        <f>bal!F21-bal!G21</f>
        <v>0</v>
      </c>
      <c r="G24" s="629">
        <f>bal!G21-bal!H21</f>
        <v>0</v>
      </c>
      <c r="H24" s="608">
        <f>bal!H21-bal!I21</f>
        <v>0</v>
      </c>
      <c r="I24" s="608">
        <f>bal!I21-bal!J21</f>
        <v>0</v>
      </c>
      <c r="J24" s="607"/>
      <c r="K24" s="366"/>
    </row>
    <row r="25" spans="2:11" x14ac:dyDescent="0.2">
      <c r="B25" s="363"/>
      <c r="C25" s="636"/>
      <c r="D25" s="636" t="s">
        <v>329</v>
      </c>
      <c r="E25" s="607"/>
      <c r="F25" s="629">
        <f>bal!G54-bal!F54</f>
        <v>0</v>
      </c>
      <c r="G25" s="629">
        <f>bal!H54-bal!G54</f>
        <v>0</v>
      </c>
      <c r="H25" s="608">
        <f>bal!I54-bal!H54</f>
        <v>0</v>
      </c>
      <c r="I25" s="608">
        <f>bal!J54-bal!I54</f>
        <v>0</v>
      </c>
      <c r="J25" s="607"/>
      <c r="K25" s="366"/>
    </row>
    <row r="26" spans="2:11" x14ac:dyDescent="0.2">
      <c r="B26" s="363"/>
      <c r="C26" s="636"/>
      <c r="D26" s="636"/>
      <c r="E26" s="607"/>
      <c r="F26" s="820">
        <f>SUM(F22:F25)</f>
        <v>0</v>
      </c>
      <c r="G26" s="820">
        <f>SUM(G22:G25)</f>
        <v>0</v>
      </c>
      <c r="H26" s="808">
        <f>SUM(H22:H25)</f>
        <v>0</v>
      </c>
      <c r="I26" s="808">
        <f>SUM(I22:I25)</f>
        <v>0</v>
      </c>
      <c r="J26" s="607"/>
      <c r="K26" s="366"/>
    </row>
    <row r="27" spans="2:11" x14ac:dyDescent="0.2">
      <c r="B27" s="363"/>
      <c r="C27" s="636"/>
      <c r="D27" s="833"/>
      <c r="E27" s="607"/>
      <c r="F27" s="608"/>
      <c r="G27" s="608"/>
      <c r="H27" s="608"/>
      <c r="I27" s="608"/>
      <c r="J27" s="607"/>
      <c r="K27" s="366"/>
    </row>
    <row r="28" spans="2:11" x14ac:dyDescent="0.2">
      <c r="B28" s="363"/>
      <c r="C28" s="636"/>
      <c r="D28" s="636" t="s">
        <v>330</v>
      </c>
      <c r="E28" s="607"/>
      <c r="F28" s="629">
        <f>bal!G41-bal!F41</f>
        <v>0</v>
      </c>
      <c r="G28" s="629">
        <f>bal!H41-bal!G41</f>
        <v>0</v>
      </c>
      <c r="H28" s="608">
        <f>bal!I41-bal!H41</f>
        <v>0</v>
      </c>
      <c r="I28" s="608">
        <f>bal!J41-bal!I41</f>
        <v>0</v>
      </c>
      <c r="J28" s="607"/>
      <c r="K28" s="366"/>
    </row>
    <row r="29" spans="2:11" x14ac:dyDescent="0.2">
      <c r="B29" s="363"/>
      <c r="C29" s="636"/>
      <c r="D29" s="636"/>
      <c r="E29" s="607"/>
      <c r="F29" s="608"/>
      <c r="G29" s="608"/>
      <c r="H29" s="608"/>
      <c r="I29" s="608"/>
      <c r="J29" s="607"/>
      <c r="K29" s="366"/>
    </row>
    <row r="30" spans="2:11" x14ac:dyDescent="0.2">
      <c r="B30" s="363"/>
      <c r="C30" s="636"/>
      <c r="D30" s="825" t="s">
        <v>54</v>
      </c>
      <c r="E30" s="607"/>
      <c r="F30" s="821">
        <f>F17+F19+F26+F28</f>
        <v>581103.41666666674</v>
      </c>
      <c r="G30" s="821">
        <f>G17+G19+G26+G28</f>
        <v>339904.25000000012</v>
      </c>
      <c r="H30" s="809">
        <f>H17+H19+H26+H28</f>
        <v>582406.00000000012</v>
      </c>
      <c r="I30" s="809">
        <f>I17+I19+I26+I28</f>
        <v>582406.00000000012</v>
      </c>
      <c r="J30" s="607"/>
      <c r="K30" s="366"/>
    </row>
    <row r="31" spans="2:11" x14ac:dyDescent="0.2">
      <c r="B31" s="363"/>
      <c r="C31" s="636"/>
      <c r="D31" s="636"/>
      <c r="E31" s="607"/>
      <c r="F31" s="608"/>
      <c r="G31" s="608"/>
      <c r="H31" s="608"/>
      <c r="I31" s="608"/>
      <c r="J31" s="607"/>
      <c r="K31" s="366"/>
    </row>
    <row r="32" spans="2:11" x14ac:dyDescent="0.2">
      <c r="B32" s="363"/>
      <c r="C32" s="364"/>
      <c r="D32" s="364"/>
      <c r="E32" s="357"/>
      <c r="F32" s="357"/>
      <c r="G32" s="357"/>
      <c r="H32" s="357"/>
      <c r="I32" s="357"/>
      <c r="J32" s="357"/>
      <c r="K32" s="366"/>
    </row>
    <row r="33" spans="2:11" x14ac:dyDescent="0.2">
      <c r="B33" s="363"/>
      <c r="C33" s="636"/>
      <c r="D33" s="636"/>
      <c r="E33" s="607"/>
      <c r="F33" s="608"/>
      <c r="G33" s="608"/>
      <c r="H33" s="608"/>
      <c r="I33" s="608"/>
      <c r="J33" s="607"/>
      <c r="K33" s="366"/>
    </row>
    <row r="34" spans="2:11" x14ac:dyDescent="0.2">
      <c r="B34" s="363"/>
      <c r="C34" s="636"/>
      <c r="D34" s="682" t="s">
        <v>331</v>
      </c>
      <c r="E34" s="607"/>
      <c r="F34" s="608"/>
      <c r="G34" s="608"/>
      <c r="H34" s="608"/>
      <c r="I34" s="608"/>
      <c r="J34" s="607"/>
      <c r="K34" s="366"/>
    </row>
    <row r="35" spans="2:11" x14ac:dyDescent="0.2">
      <c r="B35" s="363"/>
      <c r="C35" s="636"/>
      <c r="D35" s="825"/>
      <c r="E35" s="607"/>
      <c r="F35" s="608"/>
      <c r="G35" s="608"/>
      <c r="H35" s="608"/>
      <c r="I35" s="608"/>
      <c r="J35" s="607"/>
      <c r="K35" s="366"/>
    </row>
    <row r="36" spans="2:11" x14ac:dyDescent="0.2">
      <c r="B36" s="363"/>
      <c r="C36" s="636"/>
      <c r="D36" s="636" t="s">
        <v>387</v>
      </c>
      <c r="E36" s="607"/>
      <c r="F36" s="629">
        <f>act!G25</f>
        <v>0</v>
      </c>
      <c r="G36" s="629">
        <f>act!H25</f>
        <v>0</v>
      </c>
      <c r="H36" s="608">
        <f>bal!I15-bal!H15</f>
        <v>0</v>
      </c>
      <c r="I36" s="608">
        <f>bal!J15-bal!I15</f>
        <v>0</v>
      </c>
      <c r="J36" s="607"/>
      <c r="K36" s="366"/>
    </row>
    <row r="37" spans="2:11" x14ac:dyDescent="0.2">
      <c r="B37" s="363"/>
      <c r="C37" s="636"/>
      <c r="D37" s="636" t="s">
        <v>388</v>
      </c>
      <c r="E37" s="607"/>
      <c r="F37" s="629">
        <f>bal!G14-bal!F14</f>
        <v>0</v>
      </c>
      <c r="G37" s="629">
        <f>bal!H14-bal!G14</f>
        <v>0</v>
      </c>
      <c r="H37" s="608">
        <f>act!I25</f>
        <v>0</v>
      </c>
      <c r="I37" s="608">
        <f>act!J25</f>
        <v>0</v>
      </c>
      <c r="J37" s="607"/>
      <c r="K37" s="366"/>
    </row>
    <row r="38" spans="2:11" x14ac:dyDescent="0.2">
      <c r="B38" s="363"/>
      <c r="C38" s="636"/>
      <c r="D38" s="636" t="s">
        <v>389</v>
      </c>
      <c r="E38" s="607"/>
      <c r="F38" s="629">
        <f>bal!G16-bal!F16</f>
        <v>0</v>
      </c>
      <c r="G38" s="629">
        <f>bal!H16-bal!G16</f>
        <v>0</v>
      </c>
      <c r="H38" s="608">
        <f>bal!I16-bal!H16</f>
        <v>0</v>
      </c>
      <c r="I38" s="608">
        <f>bal!J16-bal!I16</f>
        <v>0</v>
      </c>
      <c r="J38" s="607"/>
      <c r="K38" s="366"/>
    </row>
    <row r="39" spans="2:11" x14ac:dyDescent="0.2">
      <c r="B39" s="363"/>
      <c r="C39" s="636"/>
      <c r="D39" s="636"/>
      <c r="E39" s="607"/>
      <c r="F39" s="608"/>
      <c r="G39" s="608"/>
      <c r="H39" s="608"/>
      <c r="I39" s="608"/>
      <c r="J39" s="607"/>
      <c r="K39" s="366"/>
    </row>
    <row r="40" spans="2:11" x14ac:dyDescent="0.2">
      <c r="B40" s="363"/>
      <c r="C40" s="636"/>
      <c r="D40" s="825"/>
      <c r="E40" s="607"/>
      <c r="F40" s="773">
        <f>SUM(F36:F38)</f>
        <v>0</v>
      </c>
      <c r="G40" s="773">
        <f>SUM(G36:G38)</f>
        <v>0</v>
      </c>
      <c r="H40" s="771">
        <f>SUM(H36:H38)</f>
        <v>0</v>
      </c>
      <c r="I40" s="771">
        <f>SUM(I36:I38)</f>
        <v>0</v>
      </c>
      <c r="J40" s="607"/>
      <c r="K40" s="366"/>
    </row>
    <row r="41" spans="2:11" x14ac:dyDescent="0.2">
      <c r="B41" s="363"/>
      <c r="C41" s="636"/>
      <c r="D41" s="636"/>
      <c r="E41" s="607"/>
      <c r="F41" s="608"/>
      <c r="G41" s="608"/>
      <c r="H41" s="608"/>
      <c r="I41" s="608"/>
      <c r="J41" s="607"/>
      <c r="K41" s="366"/>
    </row>
    <row r="42" spans="2:11" x14ac:dyDescent="0.2">
      <c r="B42" s="363"/>
      <c r="C42" s="364"/>
      <c r="D42" s="364"/>
      <c r="E42" s="357"/>
      <c r="F42" s="357"/>
      <c r="G42" s="357"/>
      <c r="H42" s="357"/>
      <c r="I42" s="357"/>
      <c r="J42" s="357"/>
      <c r="K42" s="366"/>
    </row>
    <row r="43" spans="2:11" x14ac:dyDescent="0.2">
      <c r="B43" s="363"/>
      <c r="C43" s="636"/>
      <c r="D43" s="636"/>
      <c r="E43" s="607"/>
      <c r="F43" s="608"/>
      <c r="G43" s="608"/>
      <c r="H43" s="608"/>
      <c r="I43" s="608"/>
      <c r="J43" s="607"/>
      <c r="K43" s="366"/>
    </row>
    <row r="44" spans="2:11" x14ac:dyDescent="0.2">
      <c r="B44" s="363"/>
      <c r="C44" s="636"/>
      <c r="D44" s="682" t="s">
        <v>332</v>
      </c>
      <c r="E44" s="607"/>
      <c r="F44" s="821">
        <f>bal!G45-bal!F45</f>
        <v>0</v>
      </c>
      <c r="G44" s="821">
        <f>bal!H45-bal!G45</f>
        <v>0</v>
      </c>
      <c r="H44" s="809">
        <f>bal!I45-bal!H45</f>
        <v>0</v>
      </c>
      <c r="I44" s="809">
        <f>bal!J45-bal!I45</f>
        <v>0</v>
      </c>
      <c r="J44" s="607"/>
      <c r="K44" s="366"/>
    </row>
    <row r="45" spans="2:11" x14ac:dyDescent="0.2">
      <c r="B45" s="363"/>
      <c r="C45" s="636"/>
      <c r="D45" s="825"/>
      <c r="E45" s="607"/>
      <c r="F45" s="608"/>
      <c r="G45" s="608"/>
      <c r="H45" s="608"/>
      <c r="I45" s="608"/>
      <c r="J45" s="607"/>
      <c r="K45" s="366"/>
    </row>
    <row r="46" spans="2:11" x14ac:dyDescent="0.2">
      <c r="B46" s="363"/>
      <c r="C46" s="364"/>
      <c r="D46" s="364"/>
      <c r="E46" s="357"/>
      <c r="F46" s="357"/>
      <c r="G46" s="357"/>
      <c r="H46" s="357"/>
      <c r="I46" s="357"/>
      <c r="J46" s="357"/>
      <c r="K46" s="366"/>
    </row>
    <row r="47" spans="2:11" x14ac:dyDescent="0.2">
      <c r="B47" s="363"/>
      <c r="C47" s="636"/>
      <c r="D47" s="636"/>
      <c r="E47" s="607"/>
      <c r="F47" s="608"/>
      <c r="G47" s="608"/>
      <c r="H47" s="608"/>
      <c r="I47" s="608"/>
      <c r="J47" s="607"/>
      <c r="K47" s="366"/>
    </row>
    <row r="48" spans="2:11" x14ac:dyDescent="0.2">
      <c r="B48" s="363"/>
      <c r="C48" s="636"/>
      <c r="D48" s="779" t="s">
        <v>333</v>
      </c>
      <c r="E48" s="607"/>
      <c r="F48" s="821">
        <f>F30-F40+F44</f>
        <v>581103.41666666674</v>
      </c>
      <c r="G48" s="821">
        <f>G30-G40+G44</f>
        <v>339904.25000000012</v>
      </c>
      <c r="H48" s="809">
        <f>H30-H40+H44</f>
        <v>582406.00000000012</v>
      </c>
      <c r="I48" s="809">
        <f>I30-I40+I44</f>
        <v>582406.00000000012</v>
      </c>
      <c r="J48" s="607"/>
      <c r="K48" s="366"/>
    </row>
    <row r="49" spans="2:13" x14ac:dyDescent="0.2">
      <c r="B49" s="363"/>
      <c r="C49" s="636"/>
      <c r="D49" s="822" t="s">
        <v>334</v>
      </c>
      <c r="E49" s="823"/>
      <c r="F49" s="824">
        <f>bal!G22-bal!F22</f>
        <v>581103.41666666674</v>
      </c>
      <c r="G49" s="824">
        <f>bal!H22-bal!G22</f>
        <v>339904.25000000012</v>
      </c>
      <c r="H49" s="824">
        <f>bal!I22-bal!H22</f>
        <v>582406.00000000012</v>
      </c>
      <c r="I49" s="824">
        <f>bal!J22-bal!I22</f>
        <v>582406</v>
      </c>
      <c r="J49" s="607"/>
      <c r="K49" s="366"/>
    </row>
    <row r="50" spans="2:13" x14ac:dyDescent="0.2">
      <c r="B50" s="363"/>
      <c r="C50" s="636"/>
      <c r="D50" s="636"/>
      <c r="E50" s="607"/>
      <c r="F50" s="608"/>
      <c r="G50" s="608"/>
      <c r="H50" s="608"/>
      <c r="I50" s="608"/>
      <c r="J50" s="607"/>
      <c r="K50" s="366"/>
      <c r="M50" s="43"/>
    </row>
    <row r="51" spans="2:13" x14ac:dyDescent="0.2">
      <c r="B51" s="367"/>
      <c r="C51" s="825"/>
      <c r="D51" s="682" t="s">
        <v>335</v>
      </c>
      <c r="E51" s="826"/>
      <c r="F51" s="772">
        <f>F11+F48</f>
        <v>581103.41666666674</v>
      </c>
      <c r="G51" s="821">
        <f>G11+G48</f>
        <v>921007.66666666686</v>
      </c>
      <c r="H51" s="809">
        <f>H11+H48</f>
        <v>1503413.666666667</v>
      </c>
      <c r="I51" s="809">
        <f>I11+I48</f>
        <v>2085819.666666667</v>
      </c>
      <c r="J51" s="826"/>
      <c r="K51" s="382"/>
      <c r="M51" s="43"/>
    </row>
    <row r="52" spans="2:13" x14ac:dyDescent="0.2">
      <c r="B52" s="367"/>
      <c r="C52" s="825"/>
      <c r="D52" s="827" t="s">
        <v>336</v>
      </c>
      <c r="E52" s="828"/>
      <c r="F52" s="829" t="e">
        <f>bal!G64</f>
        <v>#DIV/0!</v>
      </c>
      <c r="G52" s="830" t="e">
        <f>bal!H64</f>
        <v>#DIV/0!</v>
      </c>
      <c r="H52" s="830" t="e">
        <f>bal!I64</f>
        <v>#DIV/0!</v>
      </c>
      <c r="I52" s="830" t="e">
        <f>bal!J64</f>
        <v>#DIV/0!</v>
      </c>
      <c r="J52" s="826"/>
      <c r="K52" s="382"/>
    </row>
    <row r="53" spans="2:13" x14ac:dyDescent="0.2">
      <c r="B53" s="363"/>
      <c r="C53" s="636"/>
      <c r="D53" s="636"/>
      <c r="E53" s="607"/>
      <c r="F53" s="608"/>
      <c r="G53" s="608"/>
      <c r="H53" s="608"/>
      <c r="I53" s="608"/>
      <c r="J53" s="607"/>
      <c r="K53" s="366"/>
    </row>
    <row r="54" spans="2:13" x14ac:dyDescent="0.2">
      <c r="B54" s="363"/>
      <c r="C54" s="364"/>
      <c r="D54" s="364"/>
      <c r="E54" s="357"/>
      <c r="F54" s="365"/>
      <c r="G54" s="365"/>
      <c r="H54" s="365"/>
      <c r="I54" s="365"/>
      <c r="J54" s="357"/>
      <c r="K54" s="366"/>
    </row>
    <row r="55" spans="2:13" ht="15" x14ac:dyDescent="0.25">
      <c r="B55" s="372"/>
      <c r="C55" s="369"/>
      <c r="D55" s="369"/>
      <c r="E55" s="370"/>
      <c r="F55" s="373"/>
      <c r="G55" s="373"/>
      <c r="H55" s="373"/>
      <c r="I55" s="373"/>
      <c r="J55" s="175" t="s">
        <v>423</v>
      </c>
      <c r="K55" s="371"/>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94" orientation="portrait" r:id="rId1"/>
  <headerFooter alignWithMargins="0">
    <oddHeader>&amp;L&amp;"Arial,Vet"&amp;F&amp;R&amp;"Arial,Vet"&amp;A</oddHeader>
    <oddFooter>&amp;L&amp;"Arial,Vet"PO-Raad&amp;C&amp;"Arial,Vet"pagina &amp;P&amp;R&amp;"Arial,Vet"&amp;D</oddFooter>
  </headerFooter>
  <colBreaks count="1" manualBreakCount="1">
    <brk id="11" min="1" max="64"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65"/>
  <sheetViews>
    <sheetView zoomScale="85" zoomScaleNormal="85" workbookViewId="0">
      <selection activeCell="B2" sqref="B2"/>
    </sheetView>
  </sheetViews>
  <sheetFormatPr defaultColWidth="9.140625" defaultRowHeight="12.75" x14ac:dyDescent="0.2"/>
  <cols>
    <col min="1" max="1" width="5.85546875" style="663" customWidth="1"/>
    <col min="2" max="3" width="2.7109375" style="531" customWidth="1"/>
    <col min="4" max="4" width="3.7109375" style="532" customWidth="1"/>
    <col min="5" max="5" width="20.7109375" style="532" customWidth="1"/>
    <col min="6" max="6" width="6.85546875" style="533" customWidth="1"/>
    <col min="7" max="7" width="8.140625" style="534" customWidth="1"/>
    <col min="8" max="8" width="7.5703125" style="534" customWidth="1"/>
    <col min="9" max="9" width="6.5703125" style="534" hidden="1" customWidth="1"/>
    <col min="10" max="11" width="8.7109375" style="534" hidden="1" customWidth="1"/>
    <col min="12" max="12" width="1.7109375" style="534" customWidth="1"/>
    <col min="13" max="14" width="12.7109375" style="531" customWidth="1"/>
    <col min="15" max="17" width="12.7109375" style="531" hidden="1" customWidth="1"/>
    <col min="18" max="18" width="1.7109375" style="534" customWidth="1"/>
    <col min="19" max="20" width="12.7109375" style="531" customWidth="1"/>
    <col min="21" max="23" width="12.7109375" style="531" hidden="1" customWidth="1"/>
    <col min="24" max="24" width="1.7109375" style="534" customWidth="1"/>
    <col min="25" max="26" width="12.7109375" style="531" customWidth="1"/>
    <col min="27" max="28" width="12.7109375" style="531" hidden="1" customWidth="1"/>
    <col min="29" max="29" width="1.7109375" style="534" customWidth="1"/>
    <col min="30" max="31" width="12.7109375" style="531" customWidth="1"/>
    <col min="32" max="33" width="12.7109375" style="531" hidden="1" customWidth="1"/>
    <col min="34" max="35" width="2.7109375" style="531" customWidth="1"/>
    <col min="36" max="61" width="9.140625" style="663"/>
    <col min="62" max="16384" width="9.140625" style="531"/>
  </cols>
  <sheetData>
    <row r="1" spans="1:61" s="663" customFormat="1" x14ac:dyDescent="0.2">
      <c r="D1" s="670"/>
      <c r="E1" s="670"/>
      <c r="F1" s="671"/>
      <c r="G1" s="668"/>
      <c r="H1" s="668"/>
      <c r="I1" s="668"/>
      <c r="J1" s="668"/>
      <c r="K1" s="668"/>
      <c r="L1" s="668"/>
      <c r="R1" s="668"/>
      <c r="X1" s="668"/>
      <c r="AC1" s="668"/>
    </row>
    <row r="2" spans="1:61" x14ac:dyDescent="0.2">
      <c r="B2" s="556"/>
      <c r="C2" s="557"/>
      <c r="D2" s="558"/>
      <c r="E2" s="558"/>
      <c r="F2" s="559"/>
      <c r="G2" s="560"/>
      <c r="H2" s="560"/>
      <c r="I2" s="560"/>
      <c r="J2" s="560"/>
      <c r="K2" s="560"/>
      <c r="L2" s="560"/>
      <c r="M2" s="557"/>
      <c r="N2" s="557"/>
      <c r="O2" s="557"/>
      <c r="P2" s="557"/>
      <c r="Q2" s="557"/>
      <c r="R2" s="560"/>
      <c r="S2" s="561"/>
      <c r="T2" s="557"/>
      <c r="U2" s="557"/>
      <c r="V2" s="557"/>
      <c r="W2" s="557"/>
      <c r="X2" s="560"/>
      <c r="Y2" s="557"/>
      <c r="Z2" s="557"/>
      <c r="AA2" s="557"/>
      <c r="AB2" s="557"/>
      <c r="AC2" s="560"/>
      <c r="AD2" s="557"/>
      <c r="AE2" s="557"/>
      <c r="AF2" s="557"/>
      <c r="AG2" s="557"/>
      <c r="AH2" s="557"/>
      <c r="AI2" s="562"/>
    </row>
    <row r="3" spans="1:61" x14ac:dyDescent="0.2">
      <c r="B3" s="563"/>
      <c r="C3" s="542"/>
      <c r="D3" s="543"/>
      <c r="E3" s="543"/>
      <c r="F3" s="544"/>
      <c r="G3" s="545"/>
      <c r="H3" s="545"/>
      <c r="I3" s="545"/>
      <c r="J3" s="545"/>
      <c r="K3" s="545"/>
      <c r="L3" s="545"/>
      <c r="M3" s="542"/>
      <c r="N3" s="542"/>
      <c r="O3" s="542"/>
      <c r="P3" s="542"/>
      <c r="Q3" s="542"/>
      <c r="R3" s="545"/>
      <c r="S3" s="546"/>
      <c r="T3" s="542"/>
      <c r="U3" s="542"/>
      <c r="V3" s="542"/>
      <c r="W3" s="542"/>
      <c r="X3" s="545"/>
      <c r="Y3" s="542"/>
      <c r="Z3" s="542"/>
      <c r="AA3" s="542"/>
      <c r="AB3" s="542"/>
      <c r="AC3" s="545"/>
      <c r="AD3" s="542"/>
      <c r="AE3" s="542"/>
      <c r="AF3" s="542"/>
      <c r="AG3" s="542"/>
      <c r="AH3" s="542"/>
      <c r="AI3" s="564"/>
    </row>
    <row r="4" spans="1:61" s="536" customFormat="1" ht="18.75" x14ac:dyDescent="0.3">
      <c r="A4" s="664"/>
      <c r="B4" s="565"/>
      <c r="C4" s="583" t="s">
        <v>449</v>
      </c>
      <c r="D4" s="547"/>
      <c r="E4" s="510"/>
      <c r="F4" s="548"/>
      <c r="G4" s="549"/>
      <c r="H4" s="549"/>
      <c r="I4" s="549"/>
      <c r="J4" s="549"/>
      <c r="K4" s="549"/>
      <c r="L4" s="549"/>
      <c r="M4" s="510"/>
      <c r="N4" s="510"/>
      <c r="O4" s="510"/>
      <c r="P4" s="510"/>
      <c r="Q4" s="510"/>
      <c r="R4" s="549"/>
      <c r="S4" s="510"/>
      <c r="T4" s="510"/>
      <c r="U4" s="510"/>
      <c r="V4" s="510"/>
      <c r="W4" s="510"/>
      <c r="X4" s="549"/>
      <c r="Y4" s="510"/>
      <c r="Z4" s="510"/>
      <c r="AA4" s="510"/>
      <c r="AB4" s="510"/>
      <c r="AC4" s="549"/>
      <c r="AD4" s="510"/>
      <c r="AE4" s="510"/>
      <c r="AF4" s="510"/>
      <c r="AG4" s="510"/>
      <c r="AH4" s="510"/>
      <c r="AI4" s="566"/>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4"/>
    </row>
    <row r="5" spans="1:61" s="535" customFormat="1" x14ac:dyDescent="0.2">
      <c r="A5" s="665"/>
      <c r="B5" s="567"/>
      <c r="C5" s="550" t="s">
        <v>450</v>
      </c>
      <c r="D5" s="551"/>
      <c r="E5" s="546"/>
      <c r="F5" s="552"/>
      <c r="G5" s="553"/>
      <c r="H5" s="553"/>
      <c r="I5" s="553"/>
      <c r="J5" s="553"/>
      <c r="K5" s="553"/>
      <c r="L5" s="553"/>
      <c r="M5" s="546"/>
      <c r="N5" s="546"/>
      <c r="O5" s="546"/>
      <c r="P5" s="546"/>
      <c r="Q5" s="546"/>
      <c r="R5" s="553"/>
      <c r="S5" s="546"/>
      <c r="T5" s="546"/>
      <c r="U5" s="546"/>
      <c r="V5" s="546"/>
      <c r="W5" s="546"/>
      <c r="X5" s="553"/>
      <c r="Y5" s="546"/>
      <c r="Z5" s="546"/>
      <c r="AA5" s="546"/>
      <c r="AB5" s="546"/>
      <c r="AC5" s="553"/>
      <c r="AD5" s="546"/>
      <c r="AE5" s="546"/>
      <c r="AF5" s="546"/>
      <c r="AG5" s="546"/>
      <c r="AH5" s="546"/>
      <c r="AI5" s="568"/>
      <c r="AJ5" s="665"/>
      <c r="AK5" s="665"/>
      <c r="AL5" s="665"/>
      <c r="AM5" s="665"/>
      <c r="AN5" s="665"/>
      <c r="AO5" s="665"/>
      <c r="AP5" s="665"/>
      <c r="AQ5" s="665"/>
      <c r="AR5" s="665"/>
      <c r="AS5" s="665"/>
      <c r="AT5" s="665"/>
      <c r="AU5" s="665"/>
      <c r="AV5" s="665"/>
      <c r="AW5" s="665"/>
      <c r="AX5" s="665"/>
      <c r="AY5" s="665"/>
      <c r="AZ5" s="665"/>
      <c r="BA5" s="665"/>
      <c r="BB5" s="665"/>
      <c r="BC5" s="665"/>
      <c r="BD5" s="665"/>
      <c r="BE5" s="665"/>
      <c r="BF5" s="665"/>
      <c r="BG5" s="665"/>
      <c r="BH5" s="665"/>
      <c r="BI5" s="665"/>
    </row>
    <row r="6" spans="1:61" s="535" customFormat="1" x14ac:dyDescent="0.2">
      <c r="A6" s="665"/>
      <c r="B6" s="567"/>
      <c r="C6" s="551"/>
      <c r="D6" s="551"/>
      <c r="E6" s="546"/>
      <c r="F6" s="552"/>
      <c r="G6" s="553"/>
      <c r="H6" s="553"/>
      <c r="I6" s="553"/>
      <c r="J6" s="553"/>
      <c r="K6" s="553"/>
      <c r="L6" s="553"/>
      <c r="M6" s="546"/>
      <c r="N6" s="546"/>
      <c r="O6" s="546"/>
      <c r="P6" s="546"/>
      <c r="Q6" s="546"/>
      <c r="R6" s="553"/>
      <c r="S6" s="546"/>
      <c r="T6" s="546"/>
      <c r="U6" s="546"/>
      <c r="V6" s="546"/>
      <c r="W6" s="546"/>
      <c r="X6" s="553"/>
      <c r="Y6" s="546"/>
      <c r="Z6" s="546"/>
      <c r="AA6" s="546"/>
      <c r="AB6" s="546"/>
      <c r="AC6" s="553"/>
      <c r="AD6" s="546"/>
      <c r="AE6" s="546"/>
      <c r="AF6" s="546"/>
      <c r="AG6" s="546"/>
      <c r="AH6" s="546"/>
      <c r="AI6" s="568"/>
      <c r="AJ6" s="665"/>
      <c r="AK6" s="665"/>
      <c r="AL6" s="665"/>
      <c r="AM6" s="665"/>
      <c r="AN6" s="665"/>
      <c r="AO6" s="665"/>
      <c r="AP6" s="665"/>
      <c r="AQ6" s="665"/>
      <c r="AR6" s="665"/>
      <c r="AS6" s="665"/>
      <c r="AT6" s="665"/>
      <c r="AU6" s="665"/>
      <c r="AV6" s="665"/>
      <c r="AW6" s="665"/>
      <c r="AX6" s="665"/>
      <c r="AY6" s="665"/>
      <c r="AZ6" s="665"/>
      <c r="BA6" s="665"/>
      <c r="BB6" s="665"/>
      <c r="BC6" s="665"/>
      <c r="BD6" s="665"/>
      <c r="BE6" s="665"/>
      <c r="BF6" s="665"/>
      <c r="BG6" s="665"/>
      <c r="BH6" s="665"/>
      <c r="BI6" s="665"/>
    </row>
    <row r="7" spans="1:61" s="535" customFormat="1" x14ac:dyDescent="0.2">
      <c r="A7" s="665"/>
      <c r="B7" s="567"/>
      <c r="C7" s="551"/>
      <c r="D7" s="551"/>
      <c r="E7" s="546"/>
      <c r="F7" s="552"/>
      <c r="G7" s="553"/>
      <c r="H7" s="553"/>
      <c r="I7" s="553"/>
      <c r="J7" s="553"/>
      <c r="K7" s="553"/>
      <c r="L7" s="553"/>
      <c r="M7" s="546"/>
      <c r="N7" s="546"/>
      <c r="O7" s="546"/>
      <c r="P7" s="546"/>
      <c r="Q7" s="546"/>
      <c r="R7" s="553"/>
      <c r="S7" s="546"/>
      <c r="T7" s="546"/>
      <c r="U7" s="546"/>
      <c r="V7" s="546"/>
      <c r="W7" s="546"/>
      <c r="X7" s="553"/>
      <c r="Y7" s="546"/>
      <c r="Z7" s="546"/>
      <c r="AA7" s="546"/>
      <c r="AB7" s="546"/>
      <c r="AC7" s="553"/>
      <c r="AD7" s="546"/>
      <c r="AE7" s="546"/>
      <c r="AF7" s="546"/>
      <c r="AG7" s="546"/>
      <c r="AH7" s="546"/>
      <c r="AI7" s="568"/>
      <c r="AJ7" s="665"/>
      <c r="AK7" s="665"/>
      <c r="AL7" s="665"/>
      <c r="AM7" s="665"/>
      <c r="AN7" s="665"/>
      <c r="AO7" s="665"/>
      <c r="AP7" s="665"/>
      <c r="AQ7" s="665"/>
      <c r="AR7" s="665"/>
      <c r="AS7" s="665"/>
      <c r="AT7" s="665"/>
      <c r="AU7" s="665"/>
      <c r="AV7" s="665"/>
      <c r="AW7" s="665"/>
      <c r="AX7" s="665"/>
      <c r="AY7" s="665"/>
      <c r="AZ7" s="665"/>
      <c r="BA7" s="665"/>
      <c r="BB7" s="665"/>
      <c r="BC7" s="665"/>
      <c r="BD7" s="665"/>
      <c r="BE7" s="665"/>
      <c r="BF7" s="665"/>
      <c r="BG7" s="665"/>
      <c r="BH7" s="665"/>
      <c r="BI7" s="665"/>
    </row>
    <row r="8" spans="1:61" x14ac:dyDescent="0.2">
      <c r="B8" s="563"/>
      <c r="C8" s="542"/>
      <c r="D8" s="543"/>
      <c r="E8" s="584" t="s">
        <v>451</v>
      </c>
      <c r="F8" s="585" t="s">
        <v>452</v>
      </c>
      <c r="G8" s="587" t="s">
        <v>453</v>
      </c>
      <c r="H8" s="586"/>
      <c r="I8" s="586"/>
      <c r="J8" s="586"/>
      <c r="K8" s="586"/>
      <c r="L8" s="586"/>
      <c r="M8" s="588" t="s">
        <v>454</v>
      </c>
      <c r="N8" s="589"/>
      <c r="O8" s="589"/>
      <c r="P8" s="589"/>
      <c r="Q8" s="589"/>
      <c r="R8" s="586"/>
      <c r="S8" s="588" t="s">
        <v>455</v>
      </c>
      <c r="T8" s="589"/>
      <c r="U8" s="589"/>
      <c r="V8" s="589"/>
      <c r="W8" s="589"/>
      <c r="X8" s="586"/>
      <c r="Y8" s="588" t="s">
        <v>456</v>
      </c>
      <c r="Z8" s="589"/>
      <c r="AA8" s="589"/>
      <c r="AB8" s="589"/>
      <c r="AC8" s="586"/>
      <c r="AD8" s="588" t="s">
        <v>457</v>
      </c>
      <c r="AE8" s="589"/>
      <c r="AF8" s="542"/>
      <c r="AG8" s="542"/>
      <c r="AH8" s="542"/>
      <c r="AI8" s="564"/>
    </row>
    <row r="9" spans="1:61" s="494" customFormat="1" x14ac:dyDescent="0.2">
      <c r="A9" s="666"/>
      <c r="B9" s="569"/>
      <c r="C9" s="487"/>
      <c r="D9" s="550"/>
      <c r="E9" s="590"/>
      <c r="F9" s="591"/>
      <c r="G9" s="590" t="s">
        <v>458</v>
      </c>
      <c r="H9" s="592"/>
      <c r="I9" s="592"/>
      <c r="J9" s="592"/>
      <c r="K9" s="592"/>
      <c r="L9" s="592"/>
      <c r="M9" s="593"/>
      <c r="N9" s="593"/>
      <c r="O9" s="593"/>
      <c r="P9" s="593"/>
      <c r="Q9" s="593"/>
      <c r="R9" s="592"/>
      <c r="S9" s="593"/>
      <c r="T9" s="593"/>
      <c r="U9" s="593"/>
      <c r="V9" s="593"/>
      <c r="W9" s="593"/>
      <c r="X9" s="592"/>
      <c r="Y9" s="593"/>
      <c r="Z9" s="593"/>
      <c r="AA9" s="593"/>
      <c r="AB9" s="593"/>
      <c r="AC9" s="592"/>
      <c r="AD9" s="593"/>
      <c r="AE9" s="593"/>
      <c r="AF9" s="487"/>
      <c r="AG9" s="487"/>
      <c r="AH9" s="487"/>
      <c r="AI9" s="570"/>
      <c r="AJ9" s="666"/>
      <c r="AK9" s="666"/>
      <c r="AL9" s="666"/>
      <c r="AM9" s="666"/>
      <c r="AN9" s="666"/>
      <c r="AO9" s="666"/>
      <c r="AP9" s="666"/>
      <c r="AQ9" s="666"/>
      <c r="AR9" s="666"/>
      <c r="AS9" s="666"/>
      <c r="AT9" s="666"/>
      <c r="AU9" s="666"/>
      <c r="AV9" s="666"/>
      <c r="AW9" s="666"/>
      <c r="AX9" s="666"/>
      <c r="AY9" s="666"/>
      <c r="AZ9" s="666"/>
      <c r="BA9" s="666"/>
      <c r="BB9" s="666"/>
      <c r="BC9" s="666"/>
      <c r="BD9" s="666"/>
      <c r="BE9" s="666"/>
      <c r="BF9" s="666"/>
      <c r="BG9" s="666"/>
      <c r="BH9" s="666"/>
      <c r="BI9" s="666"/>
    </row>
    <row r="10" spans="1:61" s="540" customFormat="1" x14ac:dyDescent="0.2">
      <c r="A10" s="667"/>
      <c r="B10" s="571"/>
      <c r="C10" s="555"/>
      <c r="D10" s="554"/>
      <c r="E10" s="594"/>
      <c r="F10" s="585"/>
      <c r="G10" s="595" t="str">
        <f>tab!C2</f>
        <v>2012/13</v>
      </c>
      <c r="H10" s="595" t="str">
        <f>tab!D2</f>
        <v>2013/14</v>
      </c>
      <c r="I10" s="595" t="str">
        <f>tab!E2</f>
        <v>2014/15</v>
      </c>
      <c r="J10" s="595" t="str">
        <f>tab!F2</f>
        <v>2015/16</v>
      </c>
      <c r="K10" s="595" t="str">
        <f>tab!G2</f>
        <v>2016/17</v>
      </c>
      <c r="L10" s="594"/>
      <c r="M10" s="595" t="str">
        <f>tab!C2</f>
        <v>2012/13</v>
      </c>
      <c r="N10" s="595" t="str">
        <f>tab!D2</f>
        <v>2013/14</v>
      </c>
      <c r="O10" s="595" t="str">
        <f>tab!E2</f>
        <v>2014/15</v>
      </c>
      <c r="P10" s="595" t="str">
        <f>tab!F2</f>
        <v>2015/16</v>
      </c>
      <c r="Q10" s="595" t="str">
        <f>tab!G2</f>
        <v>2016/17</v>
      </c>
      <c r="R10" s="594"/>
      <c r="S10" s="595" t="str">
        <f>tab!C2</f>
        <v>2012/13</v>
      </c>
      <c r="T10" s="595" t="str">
        <f>tab!D2</f>
        <v>2013/14</v>
      </c>
      <c r="U10" s="595" t="str">
        <f>tab!E2</f>
        <v>2014/15</v>
      </c>
      <c r="V10" s="595" t="str">
        <f>tab!F2</f>
        <v>2015/16</v>
      </c>
      <c r="W10" s="595" t="str">
        <f>tab!G2</f>
        <v>2016/17</v>
      </c>
      <c r="X10" s="594"/>
      <c r="Y10" s="594">
        <f>tab!D4</f>
        <v>2013</v>
      </c>
      <c r="Z10" s="594">
        <f>tab!E4</f>
        <v>2014</v>
      </c>
      <c r="AA10" s="594">
        <f>tab!F4</f>
        <v>2015</v>
      </c>
      <c r="AB10" s="594">
        <f>tab!G4</f>
        <v>2016</v>
      </c>
      <c r="AC10" s="594"/>
      <c r="AD10" s="594">
        <f>tab!D4</f>
        <v>2013</v>
      </c>
      <c r="AE10" s="594">
        <f>tab!E4</f>
        <v>2014</v>
      </c>
      <c r="AF10" s="555">
        <f>tab!F4</f>
        <v>2015</v>
      </c>
      <c r="AG10" s="555">
        <f>tab!G4</f>
        <v>2016</v>
      </c>
      <c r="AH10" s="555"/>
      <c r="AI10" s="572"/>
      <c r="AJ10" s="667"/>
      <c r="AK10" s="667"/>
      <c r="AL10" s="667"/>
      <c r="AM10" s="667"/>
      <c r="AN10" s="667"/>
      <c r="AO10" s="667"/>
      <c r="AP10" s="667"/>
      <c r="AQ10" s="667"/>
      <c r="AR10" s="667"/>
      <c r="AS10" s="667"/>
      <c r="AT10" s="667"/>
      <c r="AU10" s="667"/>
      <c r="AV10" s="667"/>
      <c r="AW10" s="667"/>
      <c r="AX10" s="667"/>
      <c r="AY10" s="667"/>
      <c r="AZ10" s="667"/>
      <c r="BA10" s="667"/>
      <c r="BB10" s="667"/>
      <c r="BC10" s="667"/>
      <c r="BD10" s="667"/>
      <c r="BE10" s="667"/>
      <c r="BF10" s="667"/>
      <c r="BG10" s="667"/>
      <c r="BH10" s="667"/>
      <c r="BI10" s="667"/>
    </row>
    <row r="11" spans="1:61" s="534" customFormat="1" x14ac:dyDescent="0.2">
      <c r="A11" s="668"/>
      <c r="B11" s="573"/>
      <c r="C11" s="545"/>
      <c r="D11" s="543"/>
      <c r="E11" s="596"/>
      <c r="F11" s="597"/>
      <c r="G11" s="586"/>
      <c r="H11" s="586"/>
      <c r="I11" s="586"/>
      <c r="J11" s="586"/>
      <c r="K11" s="586"/>
      <c r="L11" s="586"/>
      <c r="M11" s="586"/>
      <c r="N11" s="586"/>
      <c r="O11" s="586"/>
      <c r="P11" s="586"/>
      <c r="Q11" s="586"/>
      <c r="R11" s="586"/>
      <c r="S11" s="586"/>
      <c r="T11" s="586"/>
      <c r="U11" s="586"/>
      <c r="V11" s="586"/>
      <c r="W11" s="586"/>
      <c r="X11" s="586"/>
      <c r="Y11" s="586"/>
      <c r="Z11" s="598">
        <v>40755</v>
      </c>
      <c r="AA11" s="592"/>
      <c r="AB11" s="592"/>
      <c r="AC11" s="592"/>
      <c r="AD11" s="592"/>
      <c r="AE11" s="598">
        <v>40755</v>
      </c>
      <c r="AF11" s="545"/>
      <c r="AG11" s="545"/>
      <c r="AH11" s="545"/>
      <c r="AI11" s="574"/>
      <c r="AJ11" s="668"/>
      <c r="AK11" s="668"/>
      <c r="AL11" s="668"/>
      <c r="AM11" s="668"/>
      <c r="AN11" s="668"/>
      <c r="AO11" s="668"/>
      <c r="AP11" s="668"/>
      <c r="AQ11" s="668"/>
      <c r="AR11" s="668"/>
      <c r="AS11" s="668"/>
      <c r="AT11" s="668"/>
      <c r="AU11" s="668"/>
      <c r="AV11" s="668"/>
      <c r="AW11" s="668"/>
      <c r="AX11" s="668"/>
      <c r="AY11" s="668"/>
      <c r="AZ11" s="668"/>
      <c r="BA11" s="668"/>
      <c r="BB11" s="668"/>
      <c r="BC11" s="668"/>
      <c r="BD11" s="668"/>
      <c r="BE11" s="668"/>
      <c r="BF11" s="668"/>
      <c r="BG11" s="668"/>
      <c r="BH11" s="668"/>
      <c r="BI11" s="668"/>
    </row>
    <row r="12" spans="1:61" s="534" customFormat="1" x14ac:dyDescent="0.2">
      <c r="A12" s="668"/>
      <c r="B12" s="573"/>
      <c r="C12" s="599"/>
      <c r="D12" s="600"/>
      <c r="E12" s="600"/>
      <c r="F12" s="601"/>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3"/>
      <c r="AI12" s="574"/>
      <c r="AJ12" s="668"/>
      <c r="AK12" s="668"/>
      <c r="AL12" s="668"/>
      <c r="AM12" s="668"/>
      <c r="AN12" s="668"/>
      <c r="AO12" s="668"/>
      <c r="AP12" s="668"/>
      <c r="AQ12" s="668"/>
      <c r="AR12" s="668"/>
      <c r="AS12" s="668"/>
      <c r="AT12" s="668"/>
      <c r="AU12" s="668"/>
      <c r="AV12" s="668"/>
      <c r="AW12" s="668"/>
      <c r="AX12" s="668"/>
      <c r="AY12" s="668"/>
      <c r="AZ12" s="668"/>
      <c r="BA12" s="668"/>
      <c r="BB12" s="668"/>
      <c r="BC12" s="668"/>
      <c r="BD12" s="668"/>
      <c r="BE12" s="668"/>
      <c r="BF12" s="668"/>
      <c r="BG12" s="668"/>
      <c r="BH12" s="668"/>
      <c r="BI12" s="668"/>
    </row>
    <row r="13" spans="1:61" s="534" customFormat="1" x14ac:dyDescent="0.2">
      <c r="A13" s="668"/>
      <c r="B13" s="573"/>
      <c r="C13" s="604"/>
      <c r="D13" s="605">
        <v>1</v>
      </c>
      <c r="E13" s="624" t="s">
        <v>464</v>
      </c>
      <c r="F13" s="625" t="s">
        <v>465</v>
      </c>
      <c r="G13" s="626">
        <v>150</v>
      </c>
      <c r="H13" s="626">
        <f t="shared" ref="H13:K28" si="0">G13</f>
        <v>150</v>
      </c>
      <c r="I13" s="626">
        <f t="shared" si="0"/>
        <v>150</v>
      </c>
      <c r="J13" s="606">
        <f t="shared" si="0"/>
        <v>150</v>
      </c>
      <c r="K13" s="606">
        <f t="shared" si="0"/>
        <v>150</v>
      </c>
      <c r="L13" s="607"/>
      <c r="M13" s="629">
        <f>ROUND(G13*tab!C$42,0)</f>
        <v>22274</v>
      </c>
      <c r="N13" s="629">
        <f>ROUND(H13*tab!$D$42,0)</f>
        <v>22332</v>
      </c>
      <c r="O13" s="608">
        <f>ROUND(I13*tab!$D$42,0)</f>
        <v>22332</v>
      </c>
      <c r="P13" s="608">
        <f>ROUND(J13*tab!$D$42,0)</f>
        <v>22332</v>
      </c>
      <c r="Q13" s="608">
        <f>ROUND(K13*tab!$D$42,0)</f>
        <v>22332</v>
      </c>
      <c r="R13" s="607"/>
      <c r="S13" s="627">
        <v>0</v>
      </c>
      <c r="T13" s="627">
        <f t="shared" ref="T13:W28" si="1">S13</f>
        <v>0</v>
      </c>
      <c r="U13" s="609">
        <f t="shared" si="1"/>
        <v>0</v>
      </c>
      <c r="V13" s="609">
        <f t="shared" si="1"/>
        <v>0</v>
      </c>
      <c r="W13" s="609">
        <f t="shared" si="1"/>
        <v>0</v>
      </c>
      <c r="X13" s="607"/>
      <c r="Y13" s="629">
        <f>+H13*tab!$D$61</f>
        <v>1107</v>
      </c>
      <c r="Z13" s="629">
        <f>+I13*tab!$E$61*7/12</f>
        <v>654.5</v>
      </c>
      <c r="AA13" s="608">
        <f>+J13*tab!$D$61</f>
        <v>1107</v>
      </c>
      <c r="AB13" s="608">
        <f>+K13*tab!$D$61</f>
        <v>1107</v>
      </c>
      <c r="AC13" s="607"/>
      <c r="AD13" s="628">
        <v>0</v>
      </c>
      <c r="AE13" s="627">
        <f>AD13*7/12</f>
        <v>0</v>
      </c>
      <c r="AF13" s="609">
        <f t="shared" ref="AF13:AG28" si="2">AE13</f>
        <v>0</v>
      </c>
      <c r="AG13" s="609">
        <f t="shared" si="2"/>
        <v>0</v>
      </c>
      <c r="AH13" s="610"/>
      <c r="AI13" s="574"/>
      <c r="AJ13" s="668"/>
      <c r="AK13" s="668"/>
      <c r="AL13" s="668"/>
      <c r="AM13" s="668"/>
      <c r="AN13" s="668"/>
      <c r="AO13" s="668"/>
      <c r="AP13" s="668"/>
      <c r="AQ13" s="668"/>
      <c r="AR13" s="668"/>
      <c r="AS13" s="668"/>
      <c r="AT13" s="668"/>
      <c r="AU13" s="668"/>
      <c r="AV13" s="668"/>
      <c r="AW13" s="668"/>
      <c r="AX13" s="668"/>
      <c r="AY13" s="668"/>
      <c r="AZ13" s="668"/>
      <c r="BA13" s="668"/>
      <c r="BB13" s="668"/>
      <c r="BC13" s="668"/>
      <c r="BD13" s="668"/>
      <c r="BE13" s="668"/>
      <c r="BF13" s="668"/>
      <c r="BG13" s="668"/>
      <c r="BH13" s="668"/>
      <c r="BI13" s="668"/>
    </row>
    <row r="14" spans="1:61" s="534" customFormat="1" x14ac:dyDescent="0.2">
      <c r="A14" s="668"/>
      <c r="B14" s="573"/>
      <c r="C14" s="604"/>
      <c r="D14" s="605">
        <v>2</v>
      </c>
      <c r="E14" s="624" t="s">
        <v>466</v>
      </c>
      <c r="F14" s="625" t="s">
        <v>465</v>
      </c>
      <c r="G14" s="626">
        <v>150</v>
      </c>
      <c r="H14" s="626">
        <f t="shared" si="0"/>
        <v>150</v>
      </c>
      <c r="I14" s="626">
        <f t="shared" si="0"/>
        <v>150</v>
      </c>
      <c r="J14" s="606">
        <f t="shared" si="0"/>
        <v>150</v>
      </c>
      <c r="K14" s="606">
        <f t="shared" si="0"/>
        <v>150</v>
      </c>
      <c r="L14" s="607"/>
      <c r="M14" s="629">
        <f>ROUND(G14*tab!C$42,0)</f>
        <v>22274</v>
      </c>
      <c r="N14" s="629">
        <f>ROUND(H14*tab!$D$42,0)</f>
        <v>22332</v>
      </c>
      <c r="O14" s="608">
        <f>ROUND(I14*tab!$D$42,0)</f>
        <v>22332</v>
      </c>
      <c r="P14" s="608">
        <f>ROUND(J14*tab!$D$42,0)</f>
        <v>22332</v>
      </c>
      <c r="Q14" s="608">
        <f>ROUND(K14*tab!$D$42,0)</f>
        <v>22332</v>
      </c>
      <c r="R14" s="607"/>
      <c r="S14" s="627">
        <v>0</v>
      </c>
      <c r="T14" s="627">
        <f t="shared" si="1"/>
        <v>0</v>
      </c>
      <c r="U14" s="609">
        <f t="shared" si="1"/>
        <v>0</v>
      </c>
      <c r="V14" s="609">
        <f t="shared" si="1"/>
        <v>0</v>
      </c>
      <c r="W14" s="609">
        <f t="shared" si="1"/>
        <v>0</v>
      </c>
      <c r="X14" s="607"/>
      <c r="Y14" s="629">
        <f>+H14*tab!$D$61</f>
        <v>1107</v>
      </c>
      <c r="Z14" s="629">
        <f>+I14*tab!$E$61*7/12</f>
        <v>654.5</v>
      </c>
      <c r="AA14" s="608">
        <f>+J14*tab!$D$61</f>
        <v>1107</v>
      </c>
      <c r="AB14" s="608">
        <f>+K14*tab!$D$61</f>
        <v>1107</v>
      </c>
      <c r="AC14" s="607"/>
      <c r="AD14" s="628">
        <v>0</v>
      </c>
      <c r="AE14" s="627">
        <f t="shared" ref="AE14:AE77" si="3">AD14*7/12</f>
        <v>0</v>
      </c>
      <c r="AF14" s="609">
        <f t="shared" si="2"/>
        <v>0</v>
      </c>
      <c r="AG14" s="609">
        <f t="shared" si="2"/>
        <v>0</v>
      </c>
      <c r="AH14" s="610"/>
      <c r="AI14" s="574"/>
      <c r="AJ14" s="668"/>
      <c r="AK14" s="668"/>
      <c r="AL14" s="668"/>
      <c r="AM14" s="668"/>
      <c r="AN14" s="668"/>
      <c r="AO14" s="668"/>
      <c r="AP14" s="668"/>
      <c r="AQ14" s="668"/>
      <c r="AR14" s="668"/>
      <c r="AS14" s="668"/>
      <c r="AT14" s="668"/>
      <c r="AU14" s="668"/>
      <c r="AV14" s="668"/>
      <c r="AW14" s="668"/>
      <c r="AX14" s="668"/>
      <c r="AY14" s="668"/>
      <c r="AZ14" s="668"/>
      <c r="BA14" s="668"/>
      <c r="BB14" s="668"/>
      <c r="BC14" s="668"/>
      <c r="BD14" s="668"/>
      <c r="BE14" s="668"/>
      <c r="BF14" s="668"/>
      <c r="BG14" s="668"/>
      <c r="BH14" s="668"/>
      <c r="BI14" s="668"/>
    </row>
    <row r="15" spans="1:61" s="534" customFormat="1" x14ac:dyDescent="0.2">
      <c r="A15" s="668"/>
      <c r="B15" s="573"/>
      <c r="C15" s="604"/>
      <c r="D15" s="605">
        <v>3</v>
      </c>
      <c r="E15" s="624" t="s">
        <v>467</v>
      </c>
      <c r="F15" s="625" t="s">
        <v>465</v>
      </c>
      <c r="G15" s="626">
        <v>150</v>
      </c>
      <c r="H15" s="626">
        <f t="shared" si="0"/>
        <v>150</v>
      </c>
      <c r="I15" s="626">
        <f t="shared" si="0"/>
        <v>150</v>
      </c>
      <c r="J15" s="606">
        <f t="shared" si="0"/>
        <v>150</v>
      </c>
      <c r="K15" s="606">
        <f t="shared" si="0"/>
        <v>150</v>
      </c>
      <c r="L15" s="607"/>
      <c r="M15" s="629">
        <f>ROUND(G15*tab!C$42,0)</f>
        <v>22274</v>
      </c>
      <c r="N15" s="629">
        <f>ROUND(H15*tab!$D$42,0)</f>
        <v>22332</v>
      </c>
      <c r="O15" s="608">
        <f>ROUND(I15*tab!$D$42,0)</f>
        <v>22332</v>
      </c>
      <c r="P15" s="608">
        <f>ROUND(J15*tab!$D$42,0)</f>
        <v>22332</v>
      </c>
      <c r="Q15" s="608">
        <f>ROUND(K15*tab!$D$42,0)</f>
        <v>22332</v>
      </c>
      <c r="R15" s="607"/>
      <c r="S15" s="627">
        <v>0</v>
      </c>
      <c r="T15" s="627">
        <f t="shared" si="1"/>
        <v>0</v>
      </c>
      <c r="U15" s="609">
        <f t="shared" si="1"/>
        <v>0</v>
      </c>
      <c r="V15" s="609">
        <f t="shared" si="1"/>
        <v>0</v>
      </c>
      <c r="W15" s="609">
        <f t="shared" si="1"/>
        <v>0</v>
      </c>
      <c r="X15" s="607"/>
      <c r="Y15" s="629">
        <f>+H15*tab!$D$61</f>
        <v>1107</v>
      </c>
      <c r="Z15" s="629">
        <f>+I15*tab!$E$61*7/12</f>
        <v>654.5</v>
      </c>
      <c r="AA15" s="608">
        <f>+J15*tab!$D$61</f>
        <v>1107</v>
      </c>
      <c r="AB15" s="608">
        <f>+K15*tab!$D$61</f>
        <v>1107</v>
      </c>
      <c r="AC15" s="607"/>
      <c r="AD15" s="628">
        <v>0</v>
      </c>
      <c r="AE15" s="627">
        <f t="shared" si="3"/>
        <v>0</v>
      </c>
      <c r="AF15" s="609">
        <f t="shared" si="2"/>
        <v>0</v>
      </c>
      <c r="AG15" s="609">
        <f t="shared" si="2"/>
        <v>0</v>
      </c>
      <c r="AH15" s="610"/>
      <c r="AI15" s="574"/>
      <c r="AJ15" s="668"/>
      <c r="AK15" s="668"/>
      <c r="AL15" s="668"/>
      <c r="AM15" s="668"/>
      <c r="AN15" s="668"/>
      <c r="AO15" s="668"/>
      <c r="AP15" s="668"/>
      <c r="AQ15" s="668"/>
      <c r="AR15" s="668"/>
      <c r="AS15" s="668"/>
      <c r="AT15" s="668"/>
      <c r="AU15" s="668"/>
      <c r="AV15" s="668"/>
      <c r="AW15" s="668"/>
      <c r="AX15" s="668"/>
      <c r="AY15" s="668"/>
      <c r="AZ15" s="668"/>
      <c r="BA15" s="668"/>
      <c r="BB15" s="668"/>
      <c r="BC15" s="668"/>
      <c r="BD15" s="668"/>
      <c r="BE15" s="668"/>
      <c r="BF15" s="668"/>
      <c r="BG15" s="668"/>
      <c r="BH15" s="668"/>
      <c r="BI15" s="668"/>
    </row>
    <row r="16" spans="1:61" s="534" customFormat="1" x14ac:dyDescent="0.2">
      <c r="A16" s="668"/>
      <c r="B16" s="573"/>
      <c r="C16" s="604"/>
      <c r="D16" s="605">
        <v>4</v>
      </c>
      <c r="E16" s="624" t="s">
        <v>468</v>
      </c>
      <c r="F16" s="625" t="s">
        <v>465</v>
      </c>
      <c r="G16" s="626">
        <v>150</v>
      </c>
      <c r="H16" s="626">
        <f t="shared" si="0"/>
        <v>150</v>
      </c>
      <c r="I16" s="626">
        <f t="shared" si="0"/>
        <v>150</v>
      </c>
      <c r="J16" s="606">
        <f t="shared" si="0"/>
        <v>150</v>
      </c>
      <c r="K16" s="606">
        <f t="shared" si="0"/>
        <v>150</v>
      </c>
      <c r="L16" s="607"/>
      <c r="M16" s="629">
        <f>ROUND(G16*tab!C$42,0)</f>
        <v>22274</v>
      </c>
      <c r="N16" s="629">
        <f>ROUND(H16*tab!$D$42,0)</f>
        <v>22332</v>
      </c>
      <c r="O16" s="608">
        <f>ROUND(I16*tab!$D$42,0)</f>
        <v>22332</v>
      </c>
      <c r="P16" s="608">
        <f>ROUND(J16*tab!$D$42,0)</f>
        <v>22332</v>
      </c>
      <c r="Q16" s="608">
        <f>ROUND(K16*tab!$D$42,0)</f>
        <v>22332</v>
      </c>
      <c r="R16" s="607"/>
      <c r="S16" s="627">
        <v>0</v>
      </c>
      <c r="T16" s="627">
        <f t="shared" si="1"/>
        <v>0</v>
      </c>
      <c r="U16" s="609">
        <f t="shared" si="1"/>
        <v>0</v>
      </c>
      <c r="V16" s="609">
        <f t="shared" si="1"/>
        <v>0</v>
      </c>
      <c r="W16" s="609">
        <f t="shared" si="1"/>
        <v>0</v>
      </c>
      <c r="X16" s="607"/>
      <c r="Y16" s="629">
        <f>+H16*tab!$D$61</f>
        <v>1107</v>
      </c>
      <c r="Z16" s="629">
        <f>+I16*tab!$E$61*7/12</f>
        <v>654.5</v>
      </c>
      <c r="AA16" s="608">
        <f>+J16*tab!$D$61</f>
        <v>1107</v>
      </c>
      <c r="AB16" s="608">
        <f>+K16*tab!$D$61</f>
        <v>1107</v>
      </c>
      <c r="AC16" s="607"/>
      <c r="AD16" s="628">
        <v>0</v>
      </c>
      <c r="AE16" s="627">
        <f t="shared" si="3"/>
        <v>0</v>
      </c>
      <c r="AF16" s="609">
        <f t="shared" si="2"/>
        <v>0</v>
      </c>
      <c r="AG16" s="609">
        <f t="shared" si="2"/>
        <v>0</v>
      </c>
      <c r="AH16" s="610"/>
      <c r="AI16" s="574"/>
      <c r="AJ16" s="668"/>
      <c r="AK16" s="668"/>
      <c r="AL16" s="668"/>
      <c r="AM16" s="668"/>
      <c r="AN16" s="668"/>
      <c r="AO16" s="668"/>
      <c r="AP16" s="668"/>
      <c r="AQ16" s="668"/>
      <c r="AR16" s="668"/>
      <c r="AS16" s="668"/>
      <c r="AT16" s="668"/>
      <c r="AU16" s="668"/>
      <c r="AV16" s="668"/>
      <c r="AW16" s="668"/>
      <c r="AX16" s="668"/>
      <c r="AY16" s="668"/>
      <c r="AZ16" s="668"/>
      <c r="BA16" s="668"/>
      <c r="BB16" s="668"/>
      <c r="BC16" s="668"/>
      <c r="BD16" s="668"/>
      <c r="BE16" s="668"/>
      <c r="BF16" s="668"/>
      <c r="BG16" s="668"/>
      <c r="BH16" s="668"/>
      <c r="BI16" s="668"/>
    </row>
    <row r="17" spans="1:61" s="534" customFormat="1" x14ac:dyDescent="0.2">
      <c r="A17" s="668"/>
      <c r="B17" s="573"/>
      <c r="C17" s="604"/>
      <c r="D17" s="605">
        <v>5</v>
      </c>
      <c r="E17" s="624" t="s">
        <v>469</v>
      </c>
      <c r="F17" s="625" t="s">
        <v>465</v>
      </c>
      <c r="G17" s="626">
        <v>150</v>
      </c>
      <c r="H17" s="626">
        <f t="shared" si="0"/>
        <v>150</v>
      </c>
      <c r="I17" s="626">
        <f t="shared" si="0"/>
        <v>150</v>
      </c>
      <c r="J17" s="606">
        <f t="shared" si="0"/>
        <v>150</v>
      </c>
      <c r="K17" s="606">
        <f t="shared" si="0"/>
        <v>150</v>
      </c>
      <c r="L17" s="607"/>
      <c r="M17" s="629">
        <f>ROUND(G17*tab!C$42,0)</f>
        <v>22274</v>
      </c>
      <c r="N17" s="629">
        <f>ROUND(H17*tab!$D$42,0)</f>
        <v>22332</v>
      </c>
      <c r="O17" s="608">
        <f>ROUND(I17*tab!$D$42,0)</f>
        <v>22332</v>
      </c>
      <c r="P17" s="608">
        <f>ROUND(J17*tab!$D$42,0)</f>
        <v>22332</v>
      </c>
      <c r="Q17" s="608">
        <f>ROUND(K17*tab!$D$42,0)</f>
        <v>22332</v>
      </c>
      <c r="R17" s="607"/>
      <c r="S17" s="627">
        <v>0</v>
      </c>
      <c r="T17" s="627">
        <f t="shared" si="1"/>
        <v>0</v>
      </c>
      <c r="U17" s="609">
        <f t="shared" si="1"/>
        <v>0</v>
      </c>
      <c r="V17" s="609">
        <f t="shared" si="1"/>
        <v>0</v>
      </c>
      <c r="W17" s="609">
        <f t="shared" si="1"/>
        <v>0</v>
      </c>
      <c r="X17" s="607"/>
      <c r="Y17" s="629">
        <f>+H17*tab!$D$61</f>
        <v>1107</v>
      </c>
      <c r="Z17" s="629">
        <f>+I17*tab!$E$61*7/12</f>
        <v>654.5</v>
      </c>
      <c r="AA17" s="608">
        <f>+J17*tab!$D$61</f>
        <v>1107</v>
      </c>
      <c r="AB17" s="608">
        <f>+K17*tab!$D$61</f>
        <v>1107</v>
      </c>
      <c r="AC17" s="607"/>
      <c r="AD17" s="628">
        <v>0</v>
      </c>
      <c r="AE17" s="627">
        <f t="shared" si="3"/>
        <v>0</v>
      </c>
      <c r="AF17" s="609">
        <f t="shared" si="2"/>
        <v>0</v>
      </c>
      <c r="AG17" s="609">
        <f t="shared" si="2"/>
        <v>0</v>
      </c>
      <c r="AH17" s="610"/>
      <c r="AI17" s="574"/>
      <c r="AJ17" s="668"/>
      <c r="AK17" s="668"/>
      <c r="AL17" s="668"/>
      <c r="AM17" s="668"/>
      <c r="AN17" s="668"/>
      <c r="AO17" s="668"/>
      <c r="AP17" s="668"/>
      <c r="AQ17" s="668"/>
      <c r="AR17" s="668"/>
      <c r="AS17" s="668"/>
      <c r="AT17" s="668"/>
      <c r="AU17" s="668"/>
      <c r="AV17" s="668"/>
      <c r="AW17" s="668"/>
      <c r="AX17" s="668"/>
      <c r="AY17" s="668"/>
      <c r="AZ17" s="668"/>
      <c r="BA17" s="668"/>
      <c r="BB17" s="668"/>
      <c r="BC17" s="668"/>
      <c r="BD17" s="668"/>
      <c r="BE17" s="668"/>
      <c r="BF17" s="668"/>
      <c r="BG17" s="668"/>
      <c r="BH17" s="668"/>
      <c r="BI17" s="668"/>
    </row>
    <row r="18" spans="1:61" s="534" customFormat="1" x14ac:dyDescent="0.2">
      <c r="A18" s="668"/>
      <c r="B18" s="573"/>
      <c r="C18" s="604"/>
      <c r="D18" s="605">
        <v>6</v>
      </c>
      <c r="E18" s="624" t="s">
        <v>470</v>
      </c>
      <c r="F18" s="625" t="s">
        <v>465</v>
      </c>
      <c r="G18" s="626">
        <v>150</v>
      </c>
      <c r="H18" s="626">
        <f t="shared" si="0"/>
        <v>150</v>
      </c>
      <c r="I18" s="626">
        <f t="shared" si="0"/>
        <v>150</v>
      </c>
      <c r="J18" s="606">
        <f t="shared" si="0"/>
        <v>150</v>
      </c>
      <c r="K18" s="606">
        <f t="shared" si="0"/>
        <v>150</v>
      </c>
      <c r="L18" s="607"/>
      <c r="M18" s="629">
        <f>ROUND(G18*tab!C$42,0)</f>
        <v>22274</v>
      </c>
      <c r="N18" s="629">
        <f>ROUND(H18*tab!$D$42,0)</f>
        <v>22332</v>
      </c>
      <c r="O18" s="608">
        <f>ROUND(I18*tab!$D$42,0)</f>
        <v>22332</v>
      </c>
      <c r="P18" s="608">
        <f>ROUND(J18*tab!$D$42,0)</f>
        <v>22332</v>
      </c>
      <c r="Q18" s="608">
        <f>ROUND(K18*tab!$D$42,0)</f>
        <v>22332</v>
      </c>
      <c r="R18" s="607"/>
      <c r="S18" s="627">
        <v>0</v>
      </c>
      <c r="T18" s="627">
        <f t="shared" si="1"/>
        <v>0</v>
      </c>
      <c r="U18" s="609">
        <f t="shared" si="1"/>
        <v>0</v>
      </c>
      <c r="V18" s="609">
        <f t="shared" si="1"/>
        <v>0</v>
      </c>
      <c r="W18" s="609">
        <f t="shared" si="1"/>
        <v>0</v>
      </c>
      <c r="X18" s="607"/>
      <c r="Y18" s="629">
        <f>+H18*tab!$D$61</f>
        <v>1107</v>
      </c>
      <c r="Z18" s="629">
        <f>+I18*tab!$E$61*7/12</f>
        <v>654.5</v>
      </c>
      <c r="AA18" s="608">
        <f>+J18*tab!$D$61</f>
        <v>1107</v>
      </c>
      <c r="AB18" s="608">
        <f>+K18*tab!$D$61</f>
        <v>1107</v>
      </c>
      <c r="AC18" s="607"/>
      <c r="AD18" s="628">
        <v>0</v>
      </c>
      <c r="AE18" s="627">
        <f t="shared" si="3"/>
        <v>0</v>
      </c>
      <c r="AF18" s="609">
        <f t="shared" si="2"/>
        <v>0</v>
      </c>
      <c r="AG18" s="609">
        <f t="shared" si="2"/>
        <v>0</v>
      </c>
      <c r="AH18" s="610"/>
      <c r="AI18" s="574"/>
      <c r="AJ18" s="668"/>
      <c r="AK18" s="668"/>
      <c r="AL18" s="668"/>
      <c r="AM18" s="668"/>
      <c r="AN18" s="668"/>
      <c r="AO18" s="668"/>
      <c r="AP18" s="668"/>
      <c r="AQ18" s="668"/>
      <c r="AR18" s="668"/>
      <c r="AS18" s="668"/>
      <c r="AT18" s="668"/>
      <c r="AU18" s="668"/>
      <c r="AV18" s="668"/>
      <c r="AW18" s="668"/>
      <c r="AX18" s="668"/>
      <c r="AY18" s="668"/>
      <c r="AZ18" s="668"/>
      <c r="BA18" s="668"/>
      <c r="BB18" s="668"/>
      <c r="BC18" s="668"/>
      <c r="BD18" s="668"/>
      <c r="BE18" s="668"/>
      <c r="BF18" s="668"/>
      <c r="BG18" s="668"/>
      <c r="BH18" s="668"/>
      <c r="BI18" s="668"/>
    </row>
    <row r="19" spans="1:61" s="534" customFormat="1" x14ac:dyDescent="0.2">
      <c r="A19" s="668"/>
      <c r="B19" s="573"/>
      <c r="C19" s="604"/>
      <c r="D19" s="605">
        <v>7</v>
      </c>
      <c r="E19" s="624" t="s">
        <v>471</v>
      </c>
      <c r="F19" s="625" t="s">
        <v>465</v>
      </c>
      <c r="G19" s="626">
        <v>150</v>
      </c>
      <c r="H19" s="626">
        <f t="shared" si="0"/>
        <v>150</v>
      </c>
      <c r="I19" s="626">
        <f t="shared" si="0"/>
        <v>150</v>
      </c>
      <c r="J19" s="606">
        <f t="shared" si="0"/>
        <v>150</v>
      </c>
      <c r="K19" s="606">
        <f t="shared" si="0"/>
        <v>150</v>
      </c>
      <c r="L19" s="607"/>
      <c r="M19" s="629">
        <f>ROUND(G19*tab!C$42,0)</f>
        <v>22274</v>
      </c>
      <c r="N19" s="629">
        <f>ROUND(H19*tab!$D$42,0)</f>
        <v>22332</v>
      </c>
      <c r="O19" s="608">
        <f>ROUND(I19*tab!$D$42,0)</f>
        <v>22332</v>
      </c>
      <c r="P19" s="608">
        <f>ROUND(J19*tab!$D$42,0)</f>
        <v>22332</v>
      </c>
      <c r="Q19" s="608">
        <f>ROUND(K19*tab!$D$42,0)</f>
        <v>22332</v>
      </c>
      <c r="R19" s="607"/>
      <c r="S19" s="627">
        <v>0</v>
      </c>
      <c r="T19" s="627">
        <f t="shared" si="1"/>
        <v>0</v>
      </c>
      <c r="U19" s="609">
        <f t="shared" si="1"/>
        <v>0</v>
      </c>
      <c r="V19" s="609">
        <f t="shared" si="1"/>
        <v>0</v>
      </c>
      <c r="W19" s="609">
        <f t="shared" si="1"/>
        <v>0</v>
      </c>
      <c r="X19" s="607"/>
      <c r="Y19" s="629">
        <f>+H19*tab!$D$61</f>
        <v>1107</v>
      </c>
      <c r="Z19" s="629">
        <f>+I19*tab!$E$61*7/12</f>
        <v>654.5</v>
      </c>
      <c r="AA19" s="608">
        <f>+J19*tab!$D$61</f>
        <v>1107</v>
      </c>
      <c r="AB19" s="608">
        <f>+K19*tab!$D$61</f>
        <v>1107</v>
      </c>
      <c r="AC19" s="607"/>
      <c r="AD19" s="628">
        <v>0</v>
      </c>
      <c r="AE19" s="627">
        <f t="shared" si="3"/>
        <v>0</v>
      </c>
      <c r="AF19" s="609">
        <f t="shared" si="2"/>
        <v>0</v>
      </c>
      <c r="AG19" s="609">
        <f t="shared" si="2"/>
        <v>0</v>
      </c>
      <c r="AH19" s="610"/>
      <c r="AI19" s="574"/>
      <c r="AJ19" s="668"/>
      <c r="AK19" s="668"/>
      <c r="AL19" s="668"/>
      <c r="AM19" s="668"/>
      <c r="AN19" s="668"/>
      <c r="AO19" s="668"/>
      <c r="AP19" s="668"/>
      <c r="AQ19" s="668"/>
      <c r="AR19" s="668"/>
      <c r="AS19" s="668"/>
      <c r="AT19" s="668"/>
      <c r="AU19" s="668"/>
      <c r="AV19" s="668"/>
      <c r="AW19" s="668"/>
      <c r="AX19" s="668"/>
      <c r="AY19" s="668"/>
      <c r="AZ19" s="668"/>
      <c r="BA19" s="668"/>
      <c r="BB19" s="668"/>
      <c r="BC19" s="668"/>
      <c r="BD19" s="668"/>
      <c r="BE19" s="668"/>
      <c r="BF19" s="668"/>
      <c r="BG19" s="668"/>
      <c r="BH19" s="668"/>
      <c r="BI19" s="668"/>
    </row>
    <row r="20" spans="1:61" s="534" customFormat="1" x14ac:dyDescent="0.2">
      <c r="A20" s="668"/>
      <c r="B20" s="573"/>
      <c r="C20" s="604"/>
      <c r="D20" s="605">
        <v>8</v>
      </c>
      <c r="E20" s="624" t="s">
        <v>472</v>
      </c>
      <c r="F20" s="625" t="s">
        <v>465</v>
      </c>
      <c r="G20" s="626">
        <v>150</v>
      </c>
      <c r="H20" s="626">
        <f t="shared" si="0"/>
        <v>150</v>
      </c>
      <c r="I20" s="626">
        <f t="shared" si="0"/>
        <v>150</v>
      </c>
      <c r="J20" s="606">
        <f t="shared" si="0"/>
        <v>150</v>
      </c>
      <c r="K20" s="606">
        <f t="shared" si="0"/>
        <v>150</v>
      </c>
      <c r="L20" s="607"/>
      <c r="M20" s="629">
        <f>ROUND(G20*tab!C$42,0)</f>
        <v>22274</v>
      </c>
      <c r="N20" s="629">
        <f>ROUND(H20*tab!$D$42,0)</f>
        <v>22332</v>
      </c>
      <c r="O20" s="608">
        <f>ROUND(I20*tab!$D$42,0)</f>
        <v>22332</v>
      </c>
      <c r="P20" s="608">
        <f>ROUND(J20*tab!$D$42,0)</f>
        <v>22332</v>
      </c>
      <c r="Q20" s="608">
        <f>ROUND(K20*tab!$D$42,0)</f>
        <v>22332</v>
      </c>
      <c r="R20" s="607"/>
      <c r="S20" s="627">
        <v>0</v>
      </c>
      <c r="T20" s="627">
        <f t="shared" si="1"/>
        <v>0</v>
      </c>
      <c r="U20" s="609">
        <f t="shared" si="1"/>
        <v>0</v>
      </c>
      <c r="V20" s="609">
        <f t="shared" si="1"/>
        <v>0</v>
      </c>
      <c r="W20" s="609">
        <f t="shared" si="1"/>
        <v>0</v>
      </c>
      <c r="X20" s="607"/>
      <c r="Y20" s="629">
        <f>+H20*tab!$D$61</f>
        <v>1107</v>
      </c>
      <c r="Z20" s="629">
        <f>+I20*tab!$E$61*7/12</f>
        <v>654.5</v>
      </c>
      <c r="AA20" s="608">
        <f>+J20*tab!$D$61</f>
        <v>1107</v>
      </c>
      <c r="AB20" s="608">
        <f>+K20*tab!$D$61</f>
        <v>1107</v>
      </c>
      <c r="AC20" s="607"/>
      <c r="AD20" s="628">
        <v>0</v>
      </c>
      <c r="AE20" s="627">
        <f t="shared" si="3"/>
        <v>0</v>
      </c>
      <c r="AF20" s="609">
        <f t="shared" si="2"/>
        <v>0</v>
      </c>
      <c r="AG20" s="609">
        <f t="shared" si="2"/>
        <v>0</v>
      </c>
      <c r="AH20" s="610"/>
      <c r="AI20" s="574"/>
      <c r="AJ20" s="668"/>
      <c r="AK20" s="668"/>
      <c r="AL20" s="668"/>
      <c r="AM20" s="668"/>
      <c r="AN20" s="668"/>
      <c r="AO20" s="668"/>
      <c r="AP20" s="668"/>
      <c r="AQ20" s="668"/>
      <c r="AR20" s="668"/>
      <c r="AS20" s="668"/>
      <c r="AT20" s="668"/>
      <c r="AU20" s="668"/>
      <c r="AV20" s="668"/>
      <c r="AW20" s="668"/>
      <c r="AX20" s="668"/>
      <c r="AY20" s="668"/>
      <c r="AZ20" s="668"/>
      <c r="BA20" s="668"/>
      <c r="BB20" s="668"/>
      <c r="BC20" s="668"/>
      <c r="BD20" s="668"/>
      <c r="BE20" s="668"/>
      <c r="BF20" s="668"/>
      <c r="BG20" s="668"/>
      <c r="BH20" s="668"/>
      <c r="BI20" s="668"/>
    </row>
    <row r="21" spans="1:61" s="534" customFormat="1" x14ac:dyDescent="0.2">
      <c r="A21" s="668"/>
      <c r="B21" s="573"/>
      <c r="C21" s="604"/>
      <c r="D21" s="605">
        <v>9</v>
      </c>
      <c r="E21" s="624" t="s">
        <v>473</v>
      </c>
      <c r="F21" s="625" t="s">
        <v>465</v>
      </c>
      <c r="G21" s="626">
        <v>150</v>
      </c>
      <c r="H21" s="626">
        <f t="shared" si="0"/>
        <v>150</v>
      </c>
      <c r="I21" s="626">
        <f t="shared" si="0"/>
        <v>150</v>
      </c>
      <c r="J21" s="606">
        <f t="shared" si="0"/>
        <v>150</v>
      </c>
      <c r="K21" s="606">
        <f t="shared" si="0"/>
        <v>150</v>
      </c>
      <c r="L21" s="607"/>
      <c r="M21" s="629">
        <f>ROUND(G21*tab!C$42,0)</f>
        <v>22274</v>
      </c>
      <c r="N21" s="629">
        <f>ROUND(H21*tab!$D$42,0)</f>
        <v>22332</v>
      </c>
      <c r="O21" s="608">
        <f>ROUND(I21*tab!$D$42,0)</f>
        <v>22332</v>
      </c>
      <c r="P21" s="608">
        <f>ROUND(J21*tab!$D$42,0)</f>
        <v>22332</v>
      </c>
      <c r="Q21" s="608">
        <f>ROUND(K21*tab!$D$42,0)</f>
        <v>22332</v>
      </c>
      <c r="R21" s="607"/>
      <c r="S21" s="627">
        <v>0</v>
      </c>
      <c r="T21" s="627">
        <f t="shared" si="1"/>
        <v>0</v>
      </c>
      <c r="U21" s="609">
        <f t="shared" si="1"/>
        <v>0</v>
      </c>
      <c r="V21" s="609">
        <f t="shared" si="1"/>
        <v>0</v>
      </c>
      <c r="W21" s="609">
        <f t="shared" si="1"/>
        <v>0</v>
      </c>
      <c r="X21" s="607"/>
      <c r="Y21" s="629">
        <f>+H21*tab!$D$61</f>
        <v>1107</v>
      </c>
      <c r="Z21" s="629">
        <f>+I21*tab!$E$61*7/12</f>
        <v>654.5</v>
      </c>
      <c r="AA21" s="608">
        <f>+J21*tab!$D$61</f>
        <v>1107</v>
      </c>
      <c r="AB21" s="608">
        <f>+K21*tab!$D$61</f>
        <v>1107</v>
      </c>
      <c r="AC21" s="607"/>
      <c r="AD21" s="628">
        <v>0</v>
      </c>
      <c r="AE21" s="627">
        <f t="shared" si="3"/>
        <v>0</v>
      </c>
      <c r="AF21" s="609">
        <f t="shared" si="2"/>
        <v>0</v>
      </c>
      <c r="AG21" s="609">
        <f t="shared" si="2"/>
        <v>0</v>
      </c>
      <c r="AH21" s="610"/>
      <c r="AI21" s="574"/>
      <c r="AJ21" s="668"/>
      <c r="AK21" s="668"/>
      <c r="AL21" s="668"/>
      <c r="AM21" s="668"/>
      <c r="AN21" s="668"/>
      <c r="AO21" s="668"/>
      <c r="AP21" s="668"/>
      <c r="AQ21" s="668"/>
      <c r="AR21" s="668"/>
      <c r="AS21" s="668"/>
      <c r="AT21" s="668"/>
      <c r="AU21" s="668"/>
      <c r="AV21" s="668"/>
      <c r="AW21" s="668"/>
      <c r="AX21" s="668"/>
      <c r="AY21" s="668"/>
      <c r="AZ21" s="668"/>
      <c r="BA21" s="668"/>
      <c r="BB21" s="668"/>
      <c r="BC21" s="668"/>
      <c r="BD21" s="668"/>
      <c r="BE21" s="668"/>
      <c r="BF21" s="668"/>
      <c r="BG21" s="668"/>
      <c r="BH21" s="668"/>
      <c r="BI21" s="668"/>
    </row>
    <row r="22" spans="1:61" s="534" customFormat="1" x14ac:dyDescent="0.2">
      <c r="A22" s="668"/>
      <c r="B22" s="573"/>
      <c r="C22" s="604"/>
      <c r="D22" s="605">
        <v>10</v>
      </c>
      <c r="E22" s="624" t="s">
        <v>474</v>
      </c>
      <c r="F22" s="625" t="s">
        <v>465</v>
      </c>
      <c r="G22" s="626">
        <v>150</v>
      </c>
      <c r="H22" s="626">
        <f t="shared" si="0"/>
        <v>150</v>
      </c>
      <c r="I22" s="626">
        <f t="shared" si="0"/>
        <v>150</v>
      </c>
      <c r="J22" s="606">
        <f t="shared" si="0"/>
        <v>150</v>
      </c>
      <c r="K22" s="606">
        <f t="shared" si="0"/>
        <v>150</v>
      </c>
      <c r="L22" s="607"/>
      <c r="M22" s="629">
        <f>ROUND(G22*tab!C$42,0)</f>
        <v>22274</v>
      </c>
      <c r="N22" s="629">
        <f>ROUND(H22*tab!$D$42,0)</f>
        <v>22332</v>
      </c>
      <c r="O22" s="608">
        <f>ROUND(I22*tab!$D$42,0)</f>
        <v>22332</v>
      </c>
      <c r="P22" s="608">
        <f>ROUND(J22*tab!$D$42,0)</f>
        <v>22332</v>
      </c>
      <c r="Q22" s="608">
        <f>ROUND(K22*tab!$D$42,0)</f>
        <v>22332</v>
      </c>
      <c r="R22" s="607"/>
      <c r="S22" s="627">
        <v>0</v>
      </c>
      <c r="T22" s="627">
        <f t="shared" si="1"/>
        <v>0</v>
      </c>
      <c r="U22" s="609">
        <f t="shared" si="1"/>
        <v>0</v>
      </c>
      <c r="V22" s="609">
        <f t="shared" si="1"/>
        <v>0</v>
      </c>
      <c r="W22" s="609">
        <f t="shared" si="1"/>
        <v>0</v>
      </c>
      <c r="X22" s="607"/>
      <c r="Y22" s="629">
        <f>+H22*tab!$D$61</f>
        <v>1107</v>
      </c>
      <c r="Z22" s="629">
        <f>+I22*tab!$E$61*7/12</f>
        <v>654.5</v>
      </c>
      <c r="AA22" s="608">
        <f>+J22*tab!$D$61</f>
        <v>1107</v>
      </c>
      <c r="AB22" s="608">
        <f>+K22*tab!$D$61</f>
        <v>1107</v>
      </c>
      <c r="AC22" s="607"/>
      <c r="AD22" s="628">
        <v>0</v>
      </c>
      <c r="AE22" s="627">
        <f t="shared" si="3"/>
        <v>0</v>
      </c>
      <c r="AF22" s="609">
        <f t="shared" si="2"/>
        <v>0</v>
      </c>
      <c r="AG22" s="609">
        <f t="shared" si="2"/>
        <v>0</v>
      </c>
      <c r="AH22" s="610"/>
      <c r="AI22" s="574"/>
      <c r="AJ22" s="668"/>
      <c r="AK22" s="668"/>
      <c r="AL22" s="668"/>
      <c r="AM22" s="668"/>
      <c r="AN22" s="668"/>
      <c r="AO22" s="668"/>
      <c r="AP22" s="668"/>
      <c r="AQ22" s="668"/>
      <c r="AR22" s="668"/>
      <c r="AS22" s="668"/>
      <c r="AT22" s="668"/>
      <c r="AU22" s="668"/>
      <c r="AV22" s="668"/>
      <c r="AW22" s="668"/>
      <c r="AX22" s="668"/>
      <c r="AY22" s="668"/>
      <c r="AZ22" s="668"/>
      <c r="BA22" s="668"/>
      <c r="BB22" s="668"/>
      <c r="BC22" s="668"/>
      <c r="BD22" s="668"/>
      <c r="BE22" s="668"/>
      <c r="BF22" s="668"/>
      <c r="BG22" s="668"/>
      <c r="BH22" s="668"/>
      <c r="BI22" s="668"/>
    </row>
    <row r="23" spans="1:61" s="534" customFormat="1" x14ac:dyDescent="0.2">
      <c r="A23" s="668"/>
      <c r="B23" s="573"/>
      <c r="C23" s="604"/>
      <c r="D23" s="605">
        <v>11</v>
      </c>
      <c r="E23" s="624" t="s">
        <v>475</v>
      </c>
      <c r="F23" s="625" t="s">
        <v>465</v>
      </c>
      <c r="G23" s="626">
        <v>150</v>
      </c>
      <c r="H23" s="626">
        <f t="shared" si="0"/>
        <v>150</v>
      </c>
      <c r="I23" s="626">
        <f t="shared" si="0"/>
        <v>150</v>
      </c>
      <c r="J23" s="606">
        <f t="shared" si="0"/>
        <v>150</v>
      </c>
      <c r="K23" s="606">
        <f t="shared" si="0"/>
        <v>150</v>
      </c>
      <c r="L23" s="607"/>
      <c r="M23" s="629">
        <f>ROUND(G23*tab!C$42,0)</f>
        <v>22274</v>
      </c>
      <c r="N23" s="629">
        <f>ROUND(H23*tab!$D$42,0)</f>
        <v>22332</v>
      </c>
      <c r="O23" s="608">
        <f>ROUND(I23*tab!$D$42,0)</f>
        <v>22332</v>
      </c>
      <c r="P23" s="608">
        <f>ROUND(J23*tab!$D$42,0)</f>
        <v>22332</v>
      </c>
      <c r="Q23" s="608">
        <f>ROUND(K23*tab!$D$42,0)</f>
        <v>22332</v>
      </c>
      <c r="R23" s="607"/>
      <c r="S23" s="627">
        <v>0</v>
      </c>
      <c r="T23" s="627">
        <f t="shared" si="1"/>
        <v>0</v>
      </c>
      <c r="U23" s="609">
        <f t="shared" si="1"/>
        <v>0</v>
      </c>
      <c r="V23" s="609">
        <f t="shared" si="1"/>
        <v>0</v>
      </c>
      <c r="W23" s="609">
        <f t="shared" si="1"/>
        <v>0</v>
      </c>
      <c r="X23" s="607"/>
      <c r="Y23" s="629">
        <f>+H23*tab!$D$61</f>
        <v>1107</v>
      </c>
      <c r="Z23" s="629">
        <f>+I23*tab!$E$61*7/12</f>
        <v>654.5</v>
      </c>
      <c r="AA23" s="608">
        <f>+J23*tab!$D$61</f>
        <v>1107</v>
      </c>
      <c r="AB23" s="608">
        <f>+K23*tab!$D$61</f>
        <v>1107</v>
      </c>
      <c r="AC23" s="607"/>
      <c r="AD23" s="628">
        <v>0</v>
      </c>
      <c r="AE23" s="627">
        <f t="shared" si="3"/>
        <v>0</v>
      </c>
      <c r="AF23" s="609">
        <f t="shared" si="2"/>
        <v>0</v>
      </c>
      <c r="AG23" s="609">
        <f t="shared" si="2"/>
        <v>0</v>
      </c>
      <c r="AH23" s="610"/>
      <c r="AI23" s="574"/>
      <c r="AJ23" s="668"/>
      <c r="AK23" s="668"/>
      <c r="AL23" s="668"/>
      <c r="AM23" s="668"/>
      <c r="AN23" s="668"/>
      <c r="AO23" s="668"/>
      <c r="AP23" s="668"/>
      <c r="AQ23" s="668"/>
      <c r="AR23" s="668"/>
      <c r="AS23" s="668"/>
      <c r="AT23" s="668"/>
      <c r="AU23" s="668"/>
      <c r="AV23" s="668"/>
      <c r="AW23" s="668"/>
      <c r="AX23" s="668"/>
      <c r="AY23" s="668"/>
      <c r="AZ23" s="668"/>
      <c r="BA23" s="668"/>
      <c r="BB23" s="668"/>
      <c r="BC23" s="668"/>
      <c r="BD23" s="668"/>
      <c r="BE23" s="668"/>
      <c r="BF23" s="668"/>
      <c r="BG23" s="668"/>
      <c r="BH23" s="668"/>
      <c r="BI23" s="668"/>
    </row>
    <row r="24" spans="1:61" s="534" customFormat="1" x14ac:dyDescent="0.2">
      <c r="A24" s="668"/>
      <c r="B24" s="573"/>
      <c r="C24" s="604"/>
      <c r="D24" s="605">
        <v>12</v>
      </c>
      <c r="E24" s="624" t="s">
        <v>476</v>
      </c>
      <c r="F24" s="625" t="s">
        <v>465</v>
      </c>
      <c r="G24" s="626">
        <v>150</v>
      </c>
      <c r="H24" s="626">
        <f t="shared" si="0"/>
        <v>150</v>
      </c>
      <c r="I24" s="626">
        <f t="shared" si="0"/>
        <v>150</v>
      </c>
      <c r="J24" s="606">
        <f t="shared" si="0"/>
        <v>150</v>
      </c>
      <c r="K24" s="606">
        <f t="shared" si="0"/>
        <v>150</v>
      </c>
      <c r="L24" s="607"/>
      <c r="M24" s="629">
        <f>ROUND(G24*tab!C$42,0)</f>
        <v>22274</v>
      </c>
      <c r="N24" s="629">
        <f>ROUND(H24*tab!$D$42,0)</f>
        <v>22332</v>
      </c>
      <c r="O24" s="608">
        <f>ROUND(I24*tab!$D$42,0)</f>
        <v>22332</v>
      </c>
      <c r="P24" s="608">
        <f>ROUND(J24*tab!$D$42,0)</f>
        <v>22332</v>
      </c>
      <c r="Q24" s="608">
        <f>ROUND(K24*tab!$D$42,0)</f>
        <v>22332</v>
      </c>
      <c r="R24" s="607"/>
      <c r="S24" s="627">
        <v>0</v>
      </c>
      <c r="T24" s="627">
        <f t="shared" si="1"/>
        <v>0</v>
      </c>
      <c r="U24" s="609">
        <f t="shared" si="1"/>
        <v>0</v>
      </c>
      <c r="V24" s="609">
        <f t="shared" si="1"/>
        <v>0</v>
      </c>
      <c r="W24" s="609">
        <f t="shared" si="1"/>
        <v>0</v>
      </c>
      <c r="X24" s="607"/>
      <c r="Y24" s="629">
        <f>+H24*tab!$D$61</f>
        <v>1107</v>
      </c>
      <c r="Z24" s="629">
        <f>+I24*tab!$E$61*7/12</f>
        <v>654.5</v>
      </c>
      <c r="AA24" s="608">
        <f>+J24*tab!$D$61</f>
        <v>1107</v>
      </c>
      <c r="AB24" s="608">
        <f>+K24*tab!$D$61</f>
        <v>1107</v>
      </c>
      <c r="AC24" s="607"/>
      <c r="AD24" s="628">
        <v>0</v>
      </c>
      <c r="AE24" s="627">
        <f t="shared" si="3"/>
        <v>0</v>
      </c>
      <c r="AF24" s="609">
        <f t="shared" si="2"/>
        <v>0</v>
      </c>
      <c r="AG24" s="609">
        <f t="shared" si="2"/>
        <v>0</v>
      </c>
      <c r="AH24" s="610"/>
      <c r="AI24" s="574"/>
      <c r="AJ24" s="668"/>
      <c r="AK24" s="668"/>
      <c r="AL24" s="668"/>
      <c r="AM24" s="668"/>
      <c r="AN24" s="668"/>
      <c r="AO24" s="668"/>
      <c r="AP24" s="668"/>
      <c r="AQ24" s="668"/>
      <c r="AR24" s="668"/>
      <c r="AS24" s="668"/>
      <c r="AT24" s="668"/>
      <c r="AU24" s="668"/>
      <c r="AV24" s="668"/>
      <c r="AW24" s="668"/>
      <c r="AX24" s="668"/>
      <c r="AY24" s="668"/>
      <c r="AZ24" s="668"/>
      <c r="BA24" s="668"/>
      <c r="BB24" s="668"/>
      <c r="BC24" s="668"/>
      <c r="BD24" s="668"/>
      <c r="BE24" s="668"/>
      <c r="BF24" s="668"/>
      <c r="BG24" s="668"/>
      <c r="BH24" s="668"/>
      <c r="BI24" s="668"/>
    </row>
    <row r="25" spans="1:61" s="534" customFormat="1" x14ac:dyDescent="0.2">
      <c r="A25" s="668"/>
      <c r="B25" s="573"/>
      <c r="C25" s="604"/>
      <c r="D25" s="605">
        <v>13</v>
      </c>
      <c r="E25" s="624" t="s">
        <v>477</v>
      </c>
      <c r="F25" s="625" t="s">
        <v>465</v>
      </c>
      <c r="G25" s="626">
        <v>150</v>
      </c>
      <c r="H25" s="626">
        <f t="shared" si="0"/>
        <v>150</v>
      </c>
      <c r="I25" s="626">
        <f t="shared" si="0"/>
        <v>150</v>
      </c>
      <c r="J25" s="606">
        <f t="shared" si="0"/>
        <v>150</v>
      </c>
      <c r="K25" s="606">
        <f t="shared" si="0"/>
        <v>150</v>
      </c>
      <c r="L25" s="607"/>
      <c r="M25" s="629">
        <f>ROUND(G25*tab!C$42,0)</f>
        <v>22274</v>
      </c>
      <c r="N25" s="629">
        <f>ROUND(H25*tab!$D$42,0)</f>
        <v>22332</v>
      </c>
      <c r="O25" s="608">
        <f>ROUND(I25*tab!$D$42,0)</f>
        <v>22332</v>
      </c>
      <c r="P25" s="608">
        <f>ROUND(J25*tab!$D$42,0)</f>
        <v>22332</v>
      </c>
      <c r="Q25" s="608">
        <f>ROUND(K25*tab!$D$42,0)</f>
        <v>22332</v>
      </c>
      <c r="R25" s="607"/>
      <c r="S25" s="627">
        <v>0</v>
      </c>
      <c r="T25" s="627">
        <f t="shared" si="1"/>
        <v>0</v>
      </c>
      <c r="U25" s="609">
        <f t="shared" si="1"/>
        <v>0</v>
      </c>
      <c r="V25" s="609">
        <f t="shared" si="1"/>
        <v>0</v>
      </c>
      <c r="W25" s="609">
        <f t="shared" si="1"/>
        <v>0</v>
      </c>
      <c r="X25" s="607"/>
      <c r="Y25" s="629">
        <f>+H25*tab!$D$61</f>
        <v>1107</v>
      </c>
      <c r="Z25" s="629">
        <f>+I25*tab!$E$61*7/12</f>
        <v>654.5</v>
      </c>
      <c r="AA25" s="608">
        <f>+J25*tab!$D$61</f>
        <v>1107</v>
      </c>
      <c r="AB25" s="608">
        <f>+K25*tab!$D$61</f>
        <v>1107</v>
      </c>
      <c r="AC25" s="607"/>
      <c r="AD25" s="628">
        <v>0</v>
      </c>
      <c r="AE25" s="627">
        <f t="shared" si="3"/>
        <v>0</v>
      </c>
      <c r="AF25" s="609">
        <f t="shared" si="2"/>
        <v>0</v>
      </c>
      <c r="AG25" s="609">
        <f t="shared" si="2"/>
        <v>0</v>
      </c>
      <c r="AH25" s="610"/>
      <c r="AI25" s="574"/>
      <c r="AJ25" s="668"/>
      <c r="AK25" s="668"/>
      <c r="AL25" s="668"/>
      <c r="AM25" s="668"/>
      <c r="AN25" s="668"/>
      <c r="AO25" s="668"/>
      <c r="AP25" s="668"/>
      <c r="AQ25" s="668"/>
      <c r="AR25" s="668"/>
      <c r="AS25" s="668"/>
      <c r="AT25" s="668"/>
      <c r="AU25" s="668"/>
      <c r="AV25" s="668"/>
      <c r="AW25" s="668"/>
      <c r="AX25" s="668"/>
      <c r="AY25" s="668"/>
      <c r="AZ25" s="668"/>
      <c r="BA25" s="668"/>
      <c r="BB25" s="668"/>
      <c r="BC25" s="668"/>
      <c r="BD25" s="668"/>
      <c r="BE25" s="668"/>
      <c r="BF25" s="668"/>
      <c r="BG25" s="668"/>
      <c r="BH25" s="668"/>
      <c r="BI25" s="668"/>
    </row>
    <row r="26" spans="1:61" s="534" customFormat="1" x14ac:dyDescent="0.2">
      <c r="A26" s="668"/>
      <c r="B26" s="573"/>
      <c r="C26" s="604"/>
      <c r="D26" s="605">
        <v>14</v>
      </c>
      <c r="E26" s="624" t="s">
        <v>478</v>
      </c>
      <c r="F26" s="625" t="s">
        <v>465</v>
      </c>
      <c r="G26" s="626">
        <v>150</v>
      </c>
      <c r="H26" s="626">
        <f t="shared" si="0"/>
        <v>150</v>
      </c>
      <c r="I26" s="626">
        <f t="shared" si="0"/>
        <v>150</v>
      </c>
      <c r="J26" s="606">
        <f t="shared" si="0"/>
        <v>150</v>
      </c>
      <c r="K26" s="606">
        <f t="shared" si="0"/>
        <v>150</v>
      </c>
      <c r="L26" s="607"/>
      <c r="M26" s="629">
        <f>ROUND(G26*tab!C$42,0)</f>
        <v>22274</v>
      </c>
      <c r="N26" s="629">
        <f>ROUND(H26*tab!$D$42,0)</f>
        <v>22332</v>
      </c>
      <c r="O26" s="608">
        <f>ROUND(I26*tab!$D$42,0)</f>
        <v>22332</v>
      </c>
      <c r="P26" s="608">
        <f>ROUND(J26*tab!$D$42,0)</f>
        <v>22332</v>
      </c>
      <c r="Q26" s="608">
        <f>ROUND(K26*tab!$D$42,0)</f>
        <v>22332</v>
      </c>
      <c r="R26" s="607"/>
      <c r="S26" s="627">
        <v>0</v>
      </c>
      <c r="T26" s="627">
        <f t="shared" si="1"/>
        <v>0</v>
      </c>
      <c r="U26" s="609">
        <f t="shared" si="1"/>
        <v>0</v>
      </c>
      <c r="V26" s="609">
        <f t="shared" si="1"/>
        <v>0</v>
      </c>
      <c r="W26" s="609">
        <f t="shared" si="1"/>
        <v>0</v>
      </c>
      <c r="X26" s="607"/>
      <c r="Y26" s="629">
        <f>+H26*tab!$D$61</f>
        <v>1107</v>
      </c>
      <c r="Z26" s="629">
        <f>+I26*tab!$E$61*7/12</f>
        <v>654.5</v>
      </c>
      <c r="AA26" s="608">
        <f>+J26*tab!$D$61</f>
        <v>1107</v>
      </c>
      <c r="AB26" s="608">
        <f>+K26*tab!$D$61</f>
        <v>1107</v>
      </c>
      <c r="AC26" s="607"/>
      <c r="AD26" s="628">
        <v>0</v>
      </c>
      <c r="AE26" s="627">
        <f t="shared" si="3"/>
        <v>0</v>
      </c>
      <c r="AF26" s="609">
        <f t="shared" si="2"/>
        <v>0</v>
      </c>
      <c r="AG26" s="609">
        <f t="shared" si="2"/>
        <v>0</v>
      </c>
      <c r="AH26" s="610"/>
      <c r="AI26" s="574"/>
      <c r="AJ26" s="668"/>
      <c r="AK26" s="668"/>
      <c r="AL26" s="668"/>
      <c r="AM26" s="668"/>
      <c r="AN26" s="668"/>
      <c r="AO26" s="668"/>
      <c r="AP26" s="668"/>
      <c r="AQ26" s="668"/>
      <c r="AR26" s="668"/>
      <c r="AS26" s="668"/>
      <c r="AT26" s="668"/>
      <c r="AU26" s="668"/>
      <c r="AV26" s="668"/>
      <c r="AW26" s="668"/>
      <c r="AX26" s="668"/>
      <c r="AY26" s="668"/>
      <c r="AZ26" s="668"/>
      <c r="BA26" s="668"/>
      <c r="BB26" s="668"/>
      <c r="BC26" s="668"/>
      <c r="BD26" s="668"/>
      <c r="BE26" s="668"/>
      <c r="BF26" s="668"/>
      <c r="BG26" s="668"/>
      <c r="BH26" s="668"/>
      <c r="BI26" s="668"/>
    </row>
    <row r="27" spans="1:61" s="534" customFormat="1" x14ac:dyDescent="0.2">
      <c r="A27" s="668"/>
      <c r="B27" s="573"/>
      <c r="C27" s="604"/>
      <c r="D27" s="605">
        <v>15</v>
      </c>
      <c r="E27" s="624" t="s">
        <v>479</v>
      </c>
      <c r="F27" s="625" t="s">
        <v>465</v>
      </c>
      <c r="G27" s="626">
        <v>150</v>
      </c>
      <c r="H27" s="626">
        <f t="shared" si="0"/>
        <v>150</v>
      </c>
      <c r="I27" s="626">
        <f t="shared" si="0"/>
        <v>150</v>
      </c>
      <c r="J27" s="606">
        <f t="shared" si="0"/>
        <v>150</v>
      </c>
      <c r="K27" s="606">
        <f t="shared" si="0"/>
        <v>150</v>
      </c>
      <c r="L27" s="607"/>
      <c r="M27" s="629">
        <f>ROUND(G27*tab!C$42,0)</f>
        <v>22274</v>
      </c>
      <c r="N27" s="629">
        <f>ROUND(H27*tab!$D$42,0)</f>
        <v>22332</v>
      </c>
      <c r="O27" s="608">
        <f>ROUND(I27*tab!$D$42,0)</f>
        <v>22332</v>
      </c>
      <c r="P27" s="608">
        <f>ROUND(J27*tab!$D$42,0)</f>
        <v>22332</v>
      </c>
      <c r="Q27" s="608">
        <f>ROUND(K27*tab!$D$42,0)</f>
        <v>22332</v>
      </c>
      <c r="R27" s="607"/>
      <c r="S27" s="627">
        <v>0</v>
      </c>
      <c r="T27" s="627">
        <f t="shared" si="1"/>
        <v>0</v>
      </c>
      <c r="U27" s="609">
        <f t="shared" si="1"/>
        <v>0</v>
      </c>
      <c r="V27" s="609">
        <f t="shared" si="1"/>
        <v>0</v>
      </c>
      <c r="W27" s="609">
        <f t="shared" si="1"/>
        <v>0</v>
      </c>
      <c r="X27" s="607"/>
      <c r="Y27" s="629">
        <f>+H27*tab!$D$61</f>
        <v>1107</v>
      </c>
      <c r="Z27" s="629">
        <f>+I27*tab!$E$61*7/12</f>
        <v>654.5</v>
      </c>
      <c r="AA27" s="608">
        <f>+J27*tab!$D$61</f>
        <v>1107</v>
      </c>
      <c r="AB27" s="608">
        <f>+K27*tab!$D$61</f>
        <v>1107</v>
      </c>
      <c r="AC27" s="607"/>
      <c r="AD27" s="628">
        <v>0</v>
      </c>
      <c r="AE27" s="627">
        <f t="shared" si="3"/>
        <v>0</v>
      </c>
      <c r="AF27" s="609">
        <f t="shared" si="2"/>
        <v>0</v>
      </c>
      <c r="AG27" s="609">
        <f t="shared" si="2"/>
        <v>0</v>
      </c>
      <c r="AH27" s="610"/>
      <c r="AI27" s="574"/>
      <c r="AJ27" s="668"/>
      <c r="AK27" s="668"/>
      <c r="AL27" s="668"/>
      <c r="AM27" s="668"/>
      <c r="AN27" s="668"/>
      <c r="AO27" s="668"/>
      <c r="AP27" s="668"/>
      <c r="AQ27" s="668"/>
      <c r="AR27" s="668"/>
      <c r="AS27" s="668"/>
      <c r="AT27" s="668"/>
      <c r="AU27" s="668"/>
      <c r="AV27" s="668"/>
      <c r="AW27" s="668"/>
      <c r="AX27" s="668"/>
      <c r="AY27" s="668"/>
      <c r="AZ27" s="668"/>
      <c r="BA27" s="668"/>
      <c r="BB27" s="668"/>
      <c r="BC27" s="668"/>
      <c r="BD27" s="668"/>
      <c r="BE27" s="668"/>
      <c r="BF27" s="668"/>
      <c r="BG27" s="668"/>
      <c r="BH27" s="668"/>
      <c r="BI27" s="668"/>
    </row>
    <row r="28" spans="1:61" s="534" customFormat="1" x14ac:dyDescent="0.2">
      <c r="A28" s="668"/>
      <c r="B28" s="573"/>
      <c r="C28" s="604"/>
      <c r="D28" s="605">
        <v>16</v>
      </c>
      <c r="E28" s="624" t="s">
        <v>480</v>
      </c>
      <c r="F28" s="625" t="s">
        <v>465</v>
      </c>
      <c r="G28" s="626">
        <v>150</v>
      </c>
      <c r="H28" s="626">
        <f t="shared" si="0"/>
        <v>150</v>
      </c>
      <c r="I28" s="626">
        <f t="shared" si="0"/>
        <v>150</v>
      </c>
      <c r="J28" s="606">
        <f t="shared" si="0"/>
        <v>150</v>
      </c>
      <c r="K28" s="606">
        <f t="shared" si="0"/>
        <v>150</v>
      </c>
      <c r="L28" s="607"/>
      <c r="M28" s="629">
        <f>ROUND(G28*tab!C$42,0)</f>
        <v>22274</v>
      </c>
      <c r="N28" s="629">
        <f>ROUND(H28*tab!$D$42,0)</f>
        <v>22332</v>
      </c>
      <c r="O28" s="608">
        <f>ROUND(I28*tab!$D$42,0)</f>
        <v>22332</v>
      </c>
      <c r="P28" s="608">
        <f>ROUND(J28*tab!$D$42,0)</f>
        <v>22332</v>
      </c>
      <c r="Q28" s="608">
        <f>ROUND(K28*tab!$D$42,0)</f>
        <v>22332</v>
      </c>
      <c r="R28" s="607"/>
      <c r="S28" s="627">
        <v>0</v>
      </c>
      <c r="T28" s="627">
        <f t="shared" si="1"/>
        <v>0</v>
      </c>
      <c r="U28" s="609">
        <f t="shared" si="1"/>
        <v>0</v>
      </c>
      <c r="V28" s="609">
        <f t="shared" si="1"/>
        <v>0</v>
      </c>
      <c r="W28" s="609">
        <f t="shared" si="1"/>
        <v>0</v>
      </c>
      <c r="X28" s="607"/>
      <c r="Y28" s="629">
        <f>+H28*tab!$D$61</f>
        <v>1107</v>
      </c>
      <c r="Z28" s="629">
        <f>+I28*tab!$E$61*7/12</f>
        <v>654.5</v>
      </c>
      <c r="AA28" s="608">
        <f>+J28*tab!$D$61</f>
        <v>1107</v>
      </c>
      <c r="AB28" s="608">
        <f>+K28*tab!$D$61</f>
        <v>1107</v>
      </c>
      <c r="AC28" s="607"/>
      <c r="AD28" s="628">
        <v>0</v>
      </c>
      <c r="AE28" s="627">
        <f t="shared" si="3"/>
        <v>0</v>
      </c>
      <c r="AF28" s="609">
        <f t="shared" si="2"/>
        <v>0</v>
      </c>
      <c r="AG28" s="609">
        <f t="shared" si="2"/>
        <v>0</v>
      </c>
      <c r="AH28" s="610"/>
      <c r="AI28" s="574"/>
      <c r="AJ28" s="668"/>
      <c r="AK28" s="668"/>
      <c r="AL28" s="668"/>
      <c r="AM28" s="668"/>
      <c r="AN28" s="668"/>
      <c r="AO28" s="668"/>
      <c r="AP28" s="668"/>
      <c r="AQ28" s="668"/>
      <c r="AR28" s="668"/>
      <c r="AS28" s="668"/>
      <c r="AT28" s="668"/>
      <c r="AU28" s="668"/>
      <c r="AV28" s="668"/>
      <c r="AW28" s="668"/>
      <c r="AX28" s="668"/>
      <c r="AY28" s="668"/>
      <c r="AZ28" s="668"/>
      <c r="BA28" s="668"/>
      <c r="BB28" s="668"/>
      <c r="BC28" s="668"/>
      <c r="BD28" s="668"/>
      <c r="BE28" s="668"/>
      <c r="BF28" s="668"/>
      <c r="BG28" s="668"/>
      <c r="BH28" s="668"/>
      <c r="BI28" s="668"/>
    </row>
    <row r="29" spans="1:61" s="534" customFormat="1" x14ac:dyDescent="0.2">
      <c r="A29" s="668"/>
      <c r="B29" s="573"/>
      <c r="C29" s="604"/>
      <c r="D29" s="605">
        <v>17</v>
      </c>
      <c r="E29" s="624" t="s">
        <v>481</v>
      </c>
      <c r="F29" s="625" t="s">
        <v>465</v>
      </c>
      <c r="G29" s="626">
        <v>150</v>
      </c>
      <c r="H29" s="626">
        <f t="shared" ref="H29:K44" si="4">G29</f>
        <v>150</v>
      </c>
      <c r="I29" s="626">
        <f t="shared" si="4"/>
        <v>150</v>
      </c>
      <c r="J29" s="606">
        <f t="shared" si="4"/>
        <v>150</v>
      </c>
      <c r="K29" s="606">
        <f t="shared" si="4"/>
        <v>150</v>
      </c>
      <c r="L29" s="607"/>
      <c r="M29" s="629">
        <f>ROUND(G29*tab!C$42,0)</f>
        <v>22274</v>
      </c>
      <c r="N29" s="629">
        <f>ROUND(H29*tab!$D$42,0)</f>
        <v>22332</v>
      </c>
      <c r="O29" s="608">
        <f>ROUND(I29*tab!$D$42,0)</f>
        <v>22332</v>
      </c>
      <c r="P29" s="608">
        <f>ROUND(J29*tab!$D$42,0)</f>
        <v>22332</v>
      </c>
      <c r="Q29" s="608">
        <f>ROUND(K29*tab!$D$42,0)</f>
        <v>22332</v>
      </c>
      <c r="R29" s="607"/>
      <c r="S29" s="627">
        <v>0</v>
      </c>
      <c r="T29" s="627">
        <f t="shared" ref="T29:W44" si="5">S29</f>
        <v>0</v>
      </c>
      <c r="U29" s="609">
        <f t="shared" si="5"/>
        <v>0</v>
      </c>
      <c r="V29" s="609">
        <f t="shared" si="5"/>
        <v>0</v>
      </c>
      <c r="W29" s="609">
        <f t="shared" si="5"/>
        <v>0</v>
      </c>
      <c r="X29" s="607"/>
      <c r="Y29" s="629">
        <f>+H29*tab!$D$61</f>
        <v>1107</v>
      </c>
      <c r="Z29" s="629">
        <f>+I29*tab!$E$61*7/12</f>
        <v>654.5</v>
      </c>
      <c r="AA29" s="608">
        <f>+J29*tab!$D$61</f>
        <v>1107</v>
      </c>
      <c r="AB29" s="608">
        <f>+K29*tab!$D$61</f>
        <v>1107</v>
      </c>
      <c r="AC29" s="607"/>
      <c r="AD29" s="628">
        <v>0</v>
      </c>
      <c r="AE29" s="627">
        <f t="shared" si="3"/>
        <v>0</v>
      </c>
      <c r="AF29" s="609">
        <f>AE29</f>
        <v>0</v>
      </c>
      <c r="AG29" s="609">
        <f>AF29</f>
        <v>0</v>
      </c>
      <c r="AH29" s="610"/>
      <c r="AI29" s="574"/>
      <c r="AJ29" s="668"/>
      <c r="AK29" s="668"/>
      <c r="AL29" s="668"/>
      <c r="AM29" s="668"/>
      <c r="AN29" s="668"/>
      <c r="AO29" s="668"/>
      <c r="AP29" s="668"/>
      <c r="AQ29" s="668"/>
      <c r="AR29" s="668"/>
      <c r="AS29" s="668"/>
      <c r="AT29" s="668"/>
      <c r="AU29" s="668"/>
      <c r="AV29" s="668"/>
      <c r="AW29" s="668"/>
      <c r="AX29" s="668"/>
      <c r="AY29" s="668"/>
      <c r="AZ29" s="668"/>
      <c r="BA29" s="668"/>
      <c r="BB29" s="668"/>
      <c r="BC29" s="668"/>
      <c r="BD29" s="668"/>
      <c r="BE29" s="668"/>
      <c r="BF29" s="668"/>
      <c r="BG29" s="668"/>
      <c r="BH29" s="668"/>
      <c r="BI29" s="668"/>
    </row>
    <row r="30" spans="1:61" s="534" customFormat="1" x14ac:dyDescent="0.2">
      <c r="A30" s="668"/>
      <c r="B30" s="573"/>
      <c r="C30" s="604"/>
      <c r="D30" s="605">
        <v>18</v>
      </c>
      <c r="E30" s="624" t="s">
        <v>482</v>
      </c>
      <c r="F30" s="625" t="s">
        <v>465</v>
      </c>
      <c r="G30" s="626">
        <v>150</v>
      </c>
      <c r="H30" s="626">
        <f t="shared" si="4"/>
        <v>150</v>
      </c>
      <c r="I30" s="626">
        <f t="shared" si="4"/>
        <v>150</v>
      </c>
      <c r="J30" s="606">
        <f t="shared" si="4"/>
        <v>150</v>
      </c>
      <c r="K30" s="606">
        <f t="shared" si="4"/>
        <v>150</v>
      </c>
      <c r="L30" s="607"/>
      <c r="M30" s="629">
        <f>ROUND(G30*tab!C$42,0)</f>
        <v>22274</v>
      </c>
      <c r="N30" s="629">
        <f>ROUND(H30*tab!$D$42,0)</f>
        <v>22332</v>
      </c>
      <c r="O30" s="608">
        <f>ROUND(I30*tab!$D$42,0)</f>
        <v>22332</v>
      </c>
      <c r="P30" s="608">
        <f>ROUND(J30*tab!$D$42,0)</f>
        <v>22332</v>
      </c>
      <c r="Q30" s="608">
        <f>ROUND(K30*tab!$D$42,0)</f>
        <v>22332</v>
      </c>
      <c r="R30" s="607"/>
      <c r="S30" s="627">
        <v>0</v>
      </c>
      <c r="T30" s="627">
        <f t="shared" si="5"/>
        <v>0</v>
      </c>
      <c r="U30" s="609">
        <f t="shared" si="5"/>
        <v>0</v>
      </c>
      <c r="V30" s="609">
        <f t="shared" si="5"/>
        <v>0</v>
      </c>
      <c r="W30" s="609">
        <f t="shared" si="5"/>
        <v>0</v>
      </c>
      <c r="X30" s="607"/>
      <c r="Y30" s="629">
        <f>+H30*tab!$D$61</f>
        <v>1107</v>
      </c>
      <c r="Z30" s="629">
        <f>+I30*tab!$E$61*7/12</f>
        <v>654.5</v>
      </c>
      <c r="AA30" s="608">
        <f>+J30*tab!$D$61</f>
        <v>1107</v>
      </c>
      <c r="AB30" s="608">
        <f>+K30*tab!$D$61</f>
        <v>1107</v>
      </c>
      <c r="AC30" s="607"/>
      <c r="AD30" s="628">
        <v>0</v>
      </c>
      <c r="AE30" s="627">
        <f t="shared" si="3"/>
        <v>0</v>
      </c>
      <c r="AF30" s="609">
        <f t="shared" ref="AF30:AG45" si="6">AE30</f>
        <v>0</v>
      </c>
      <c r="AG30" s="609">
        <f t="shared" si="6"/>
        <v>0</v>
      </c>
      <c r="AH30" s="610"/>
      <c r="AI30" s="574"/>
      <c r="AJ30" s="668"/>
      <c r="AK30" s="668"/>
      <c r="AL30" s="668"/>
      <c r="AM30" s="668"/>
      <c r="AN30" s="668"/>
      <c r="AO30" s="668"/>
      <c r="AP30" s="668"/>
      <c r="AQ30" s="668"/>
      <c r="AR30" s="668"/>
      <c r="AS30" s="668"/>
      <c r="AT30" s="668"/>
      <c r="AU30" s="668"/>
      <c r="AV30" s="668"/>
      <c r="AW30" s="668"/>
      <c r="AX30" s="668"/>
      <c r="AY30" s="668"/>
      <c r="AZ30" s="668"/>
      <c r="BA30" s="668"/>
      <c r="BB30" s="668"/>
      <c r="BC30" s="668"/>
      <c r="BD30" s="668"/>
      <c r="BE30" s="668"/>
      <c r="BF30" s="668"/>
      <c r="BG30" s="668"/>
      <c r="BH30" s="668"/>
      <c r="BI30" s="668"/>
    </row>
    <row r="31" spans="1:61" s="534" customFormat="1" x14ac:dyDescent="0.2">
      <c r="A31" s="668"/>
      <c r="B31" s="573"/>
      <c r="C31" s="604"/>
      <c r="D31" s="605">
        <v>19</v>
      </c>
      <c r="E31" s="624" t="s">
        <v>483</v>
      </c>
      <c r="F31" s="625" t="s">
        <v>465</v>
      </c>
      <c r="G31" s="626">
        <v>150</v>
      </c>
      <c r="H31" s="626">
        <f t="shared" si="4"/>
        <v>150</v>
      </c>
      <c r="I31" s="626">
        <f t="shared" si="4"/>
        <v>150</v>
      </c>
      <c r="J31" s="606">
        <f t="shared" si="4"/>
        <v>150</v>
      </c>
      <c r="K31" s="606">
        <f t="shared" si="4"/>
        <v>150</v>
      </c>
      <c r="L31" s="607"/>
      <c r="M31" s="629">
        <f>ROUND(G31*tab!C$42,0)</f>
        <v>22274</v>
      </c>
      <c r="N31" s="629">
        <f>ROUND(H31*tab!$D$42,0)</f>
        <v>22332</v>
      </c>
      <c r="O31" s="608">
        <f>ROUND(I31*tab!$D$42,0)</f>
        <v>22332</v>
      </c>
      <c r="P31" s="608">
        <f>ROUND(J31*tab!$D$42,0)</f>
        <v>22332</v>
      </c>
      <c r="Q31" s="608">
        <f>ROUND(K31*tab!$D$42,0)</f>
        <v>22332</v>
      </c>
      <c r="R31" s="607"/>
      <c r="S31" s="627">
        <v>0</v>
      </c>
      <c r="T31" s="627">
        <f t="shared" si="5"/>
        <v>0</v>
      </c>
      <c r="U31" s="609">
        <f t="shared" si="5"/>
        <v>0</v>
      </c>
      <c r="V31" s="609">
        <f t="shared" si="5"/>
        <v>0</v>
      </c>
      <c r="W31" s="609">
        <f t="shared" si="5"/>
        <v>0</v>
      </c>
      <c r="X31" s="607"/>
      <c r="Y31" s="629">
        <f>+H31*tab!$D$61</f>
        <v>1107</v>
      </c>
      <c r="Z31" s="629">
        <f>+I31*tab!$E$61*7/12</f>
        <v>654.5</v>
      </c>
      <c r="AA31" s="608">
        <f>+J31*tab!$D$61</f>
        <v>1107</v>
      </c>
      <c r="AB31" s="608">
        <f>+K31*tab!$D$61</f>
        <v>1107</v>
      </c>
      <c r="AC31" s="607"/>
      <c r="AD31" s="628">
        <v>0</v>
      </c>
      <c r="AE31" s="627">
        <f t="shared" si="3"/>
        <v>0</v>
      </c>
      <c r="AF31" s="609">
        <f t="shared" si="6"/>
        <v>0</v>
      </c>
      <c r="AG31" s="609">
        <f t="shared" si="6"/>
        <v>0</v>
      </c>
      <c r="AH31" s="610"/>
      <c r="AI31" s="574"/>
      <c r="AJ31" s="668"/>
      <c r="AK31" s="668"/>
      <c r="AL31" s="668"/>
      <c r="AM31" s="668"/>
      <c r="AN31" s="668"/>
      <c r="AO31" s="668"/>
      <c r="AP31" s="668"/>
      <c r="AQ31" s="668"/>
      <c r="AR31" s="668"/>
      <c r="AS31" s="668"/>
      <c r="AT31" s="668"/>
      <c r="AU31" s="668"/>
      <c r="AV31" s="668"/>
      <c r="AW31" s="668"/>
      <c r="AX31" s="668"/>
      <c r="AY31" s="668"/>
      <c r="AZ31" s="668"/>
      <c r="BA31" s="668"/>
      <c r="BB31" s="668"/>
      <c r="BC31" s="668"/>
      <c r="BD31" s="668"/>
      <c r="BE31" s="668"/>
      <c r="BF31" s="668"/>
      <c r="BG31" s="668"/>
      <c r="BH31" s="668"/>
      <c r="BI31" s="668"/>
    </row>
    <row r="32" spans="1:61" s="534" customFormat="1" x14ac:dyDescent="0.2">
      <c r="A32" s="668"/>
      <c r="B32" s="573"/>
      <c r="C32" s="604"/>
      <c r="D32" s="605">
        <v>20</v>
      </c>
      <c r="E32" s="624" t="s">
        <v>484</v>
      </c>
      <c r="F32" s="625" t="s">
        <v>465</v>
      </c>
      <c r="G32" s="626">
        <v>150</v>
      </c>
      <c r="H32" s="626">
        <f t="shared" si="4"/>
        <v>150</v>
      </c>
      <c r="I32" s="626">
        <f t="shared" si="4"/>
        <v>150</v>
      </c>
      <c r="J32" s="606">
        <f t="shared" si="4"/>
        <v>150</v>
      </c>
      <c r="K32" s="606">
        <f t="shared" si="4"/>
        <v>150</v>
      </c>
      <c r="L32" s="607"/>
      <c r="M32" s="629">
        <f>ROUND(G32*tab!C$42,0)</f>
        <v>22274</v>
      </c>
      <c r="N32" s="629">
        <f>ROUND(H32*tab!$D$42,0)</f>
        <v>22332</v>
      </c>
      <c r="O32" s="608">
        <f>ROUND(I32*tab!$D$42,0)</f>
        <v>22332</v>
      </c>
      <c r="P32" s="608">
        <f>ROUND(J32*tab!$D$42,0)</f>
        <v>22332</v>
      </c>
      <c r="Q32" s="608">
        <f>ROUND(K32*tab!$D$42,0)</f>
        <v>22332</v>
      </c>
      <c r="R32" s="607"/>
      <c r="S32" s="627">
        <v>0</v>
      </c>
      <c r="T32" s="627">
        <f t="shared" si="5"/>
        <v>0</v>
      </c>
      <c r="U32" s="609">
        <f t="shared" si="5"/>
        <v>0</v>
      </c>
      <c r="V32" s="609">
        <f t="shared" si="5"/>
        <v>0</v>
      </c>
      <c r="W32" s="609">
        <f t="shared" si="5"/>
        <v>0</v>
      </c>
      <c r="X32" s="607"/>
      <c r="Y32" s="629">
        <f>+H32*tab!$D$61</f>
        <v>1107</v>
      </c>
      <c r="Z32" s="629">
        <f>+I32*tab!$E$61*7/12</f>
        <v>654.5</v>
      </c>
      <c r="AA32" s="608">
        <f>+J32*tab!$D$61</f>
        <v>1107</v>
      </c>
      <c r="AB32" s="608">
        <f>+K32*tab!$D$61</f>
        <v>1107</v>
      </c>
      <c r="AC32" s="607"/>
      <c r="AD32" s="628">
        <v>0</v>
      </c>
      <c r="AE32" s="627">
        <f t="shared" si="3"/>
        <v>0</v>
      </c>
      <c r="AF32" s="609">
        <f t="shared" si="6"/>
        <v>0</v>
      </c>
      <c r="AG32" s="609">
        <f t="shared" si="6"/>
        <v>0</v>
      </c>
      <c r="AH32" s="610"/>
      <c r="AI32" s="574"/>
      <c r="AJ32" s="668"/>
      <c r="AK32" s="668"/>
      <c r="AL32" s="668"/>
      <c r="AM32" s="668"/>
      <c r="AN32" s="668"/>
      <c r="AO32" s="668"/>
      <c r="AP32" s="668"/>
      <c r="AQ32" s="668"/>
      <c r="AR32" s="668"/>
      <c r="AS32" s="668"/>
      <c r="AT32" s="668"/>
      <c r="AU32" s="668"/>
      <c r="AV32" s="668"/>
      <c r="AW32" s="668"/>
      <c r="AX32" s="668"/>
      <c r="AY32" s="668"/>
      <c r="AZ32" s="668"/>
      <c r="BA32" s="668"/>
      <c r="BB32" s="668"/>
      <c r="BC32" s="668"/>
      <c r="BD32" s="668"/>
      <c r="BE32" s="668"/>
      <c r="BF32" s="668"/>
      <c r="BG32" s="668"/>
      <c r="BH32" s="668"/>
      <c r="BI32" s="668"/>
    </row>
    <row r="33" spans="1:61" s="534" customFormat="1" x14ac:dyDescent="0.2">
      <c r="A33" s="668"/>
      <c r="B33" s="573"/>
      <c r="C33" s="604"/>
      <c r="D33" s="605">
        <v>21</v>
      </c>
      <c r="E33" s="624" t="s">
        <v>485</v>
      </c>
      <c r="F33" s="625" t="s">
        <v>465</v>
      </c>
      <c r="G33" s="626">
        <v>150</v>
      </c>
      <c r="H33" s="626">
        <f t="shared" si="4"/>
        <v>150</v>
      </c>
      <c r="I33" s="626">
        <f t="shared" si="4"/>
        <v>150</v>
      </c>
      <c r="J33" s="606">
        <f t="shared" si="4"/>
        <v>150</v>
      </c>
      <c r="K33" s="606">
        <f t="shared" si="4"/>
        <v>150</v>
      </c>
      <c r="L33" s="607"/>
      <c r="M33" s="629">
        <f>ROUND(G33*tab!C$42,0)</f>
        <v>22274</v>
      </c>
      <c r="N33" s="629">
        <f>ROUND(H33*tab!$D$42,0)</f>
        <v>22332</v>
      </c>
      <c r="O33" s="608">
        <f>ROUND(I33*tab!$D$42,0)</f>
        <v>22332</v>
      </c>
      <c r="P33" s="608">
        <f>ROUND(J33*tab!$D$42,0)</f>
        <v>22332</v>
      </c>
      <c r="Q33" s="608">
        <f>ROUND(K33*tab!$D$42,0)</f>
        <v>22332</v>
      </c>
      <c r="R33" s="607"/>
      <c r="S33" s="627">
        <v>0</v>
      </c>
      <c r="T33" s="627">
        <f t="shared" si="5"/>
        <v>0</v>
      </c>
      <c r="U33" s="609">
        <f t="shared" si="5"/>
        <v>0</v>
      </c>
      <c r="V33" s="609">
        <f t="shared" si="5"/>
        <v>0</v>
      </c>
      <c r="W33" s="609">
        <f t="shared" si="5"/>
        <v>0</v>
      </c>
      <c r="X33" s="607"/>
      <c r="Y33" s="629">
        <f>+H33*tab!$D$61</f>
        <v>1107</v>
      </c>
      <c r="Z33" s="629">
        <f>+I33*tab!$E$61*7/12</f>
        <v>654.5</v>
      </c>
      <c r="AA33" s="608">
        <f>+J33*tab!$D$61</f>
        <v>1107</v>
      </c>
      <c r="AB33" s="608">
        <f>+K33*tab!$D$61</f>
        <v>1107</v>
      </c>
      <c r="AC33" s="607"/>
      <c r="AD33" s="628">
        <v>0</v>
      </c>
      <c r="AE33" s="627">
        <f t="shared" si="3"/>
        <v>0</v>
      </c>
      <c r="AF33" s="609">
        <f t="shared" si="6"/>
        <v>0</v>
      </c>
      <c r="AG33" s="609">
        <f t="shared" si="6"/>
        <v>0</v>
      </c>
      <c r="AH33" s="610"/>
      <c r="AI33" s="574"/>
      <c r="AJ33" s="668"/>
      <c r="AK33" s="668"/>
      <c r="AL33" s="668"/>
      <c r="AM33" s="668"/>
      <c r="AN33" s="668"/>
      <c r="AO33" s="668"/>
      <c r="AP33" s="668"/>
      <c r="AQ33" s="668"/>
      <c r="AR33" s="668"/>
      <c r="AS33" s="668"/>
      <c r="AT33" s="668"/>
      <c r="AU33" s="668"/>
      <c r="AV33" s="668"/>
      <c r="AW33" s="668"/>
      <c r="AX33" s="668"/>
      <c r="AY33" s="668"/>
      <c r="AZ33" s="668"/>
      <c r="BA33" s="668"/>
      <c r="BB33" s="668"/>
      <c r="BC33" s="668"/>
      <c r="BD33" s="668"/>
      <c r="BE33" s="668"/>
      <c r="BF33" s="668"/>
      <c r="BG33" s="668"/>
      <c r="BH33" s="668"/>
      <c r="BI33" s="668"/>
    </row>
    <row r="34" spans="1:61" s="534" customFormat="1" x14ac:dyDescent="0.2">
      <c r="A34" s="668"/>
      <c r="B34" s="573"/>
      <c r="C34" s="604"/>
      <c r="D34" s="605">
        <v>22</v>
      </c>
      <c r="E34" s="624" t="s">
        <v>486</v>
      </c>
      <c r="F34" s="625" t="s">
        <v>465</v>
      </c>
      <c r="G34" s="626">
        <v>150</v>
      </c>
      <c r="H34" s="626">
        <f t="shared" si="4"/>
        <v>150</v>
      </c>
      <c r="I34" s="626">
        <f t="shared" si="4"/>
        <v>150</v>
      </c>
      <c r="J34" s="606">
        <f t="shared" si="4"/>
        <v>150</v>
      </c>
      <c r="K34" s="606">
        <f t="shared" si="4"/>
        <v>150</v>
      </c>
      <c r="L34" s="607"/>
      <c r="M34" s="629">
        <f>ROUND(G34*tab!C$42,0)</f>
        <v>22274</v>
      </c>
      <c r="N34" s="629">
        <f>ROUND(H34*tab!$D$42,0)</f>
        <v>22332</v>
      </c>
      <c r="O34" s="608">
        <f>ROUND(I34*tab!$D$42,0)</f>
        <v>22332</v>
      </c>
      <c r="P34" s="608">
        <f>ROUND(J34*tab!$D$42,0)</f>
        <v>22332</v>
      </c>
      <c r="Q34" s="608">
        <f>ROUND(K34*tab!$D$42,0)</f>
        <v>22332</v>
      </c>
      <c r="R34" s="607"/>
      <c r="S34" s="627">
        <v>0</v>
      </c>
      <c r="T34" s="627">
        <f t="shared" si="5"/>
        <v>0</v>
      </c>
      <c r="U34" s="609">
        <f t="shared" si="5"/>
        <v>0</v>
      </c>
      <c r="V34" s="609">
        <f t="shared" si="5"/>
        <v>0</v>
      </c>
      <c r="W34" s="609">
        <f t="shared" si="5"/>
        <v>0</v>
      </c>
      <c r="X34" s="607"/>
      <c r="Y34" s="629">
        <f>+H34*tab!$D$61</f>
        <v>1107</v>
      </c>
      <c r="Z34" s="629">
        <f>+I34*tab!$E$61*7/12</f>
        <v>654.5</v>
      </c>
      <c r="AA34" s="608">
        <f>+J34*tab!$D$61</f>
        <v>1107</v>
      </c>
      <c r="AB34" s="608">
        <f>+K34*tab!$D$61</f>
        <v>1107</v>
      </c>
      <c r="AC34" s="607"/>
      <c r="AD34" s="628">
        <v>0</v>
      </c>
      <c r="AE34" s="627">
        <f t="shared" si="3"/>
        <v>0</v>
      </c>
      <c r="AF34" s="609">
        <f t="shared" si="6"/>
        <v>0</v>
      </c>
      <c r="AG34" s="609">
        <f t="shared" si="6"/>
        <v>0</v>
      </c>
      <c r="AH34" s="610"/>
      <c r="AI34" s="574"/>
      <c r="AJ34" s="668"/>
      <c r="AK34" s="668"/>
      <c r="AL34" s="668"/>
      <c r="AM34" s="668"/>
      <c r="AN34" s="668"/>
      <c r="AO34" s="668"/>
      <c r="AP34" s="668"/>
      <c r="AQ34" s="668"/>
      <c r="AR34" s="668"/>
      <c r="AS34" s="668"/>
      <c r="AT34" s="668"/>
      <c r="AU34" s="668"/>
      <c r="AV34" s="668"/>
      <c r="AW34" s="668"/>
      <c r="AX34" s="668"/>
      <c r="AY34" s="668"/>
      <c r="AZ34" s="668"/>
      <c r="BA34" s="668"/>
      <c r="BB34" s="668"/>
      <c r="BC34" s="668"/>
      <c r="BD34" s="668"/>
      <c r="BE34" s="668"/>
      <c r="BF34" s="668"/>
      <c r="BG34" s="668"/>
      <c r="BH34" s="668"/>
      <c r="BI34" s="668"/>
    </row>
    <row r="35" spans="1:61" s="534" customFormat="1" x14ac:dyDescent="0.2">
      <c r="A35" s="668"/>
      <c r="B35" s="573"/>
      <c r="C35" s="604"/>
      <c r="D35" s="605">
        <v>23</v>
      </c>
      <c r="E35" s="624" t="s">
        <v>487</v>
      </c>
      <c r="F35" s="625" t="s">
        <v>465</v>
      </c>
      <c r="G35" s="626">
        <v>150</v>
      </c>
      <c r="H35" s="626">
        <f t="shared" si="4"/>
        <v>150</v>
      </c>
      <c r="I35" s="626">
        <f t="shared" si="4"/>
        <v>150</v>
      </c>
      <c r="J35" s="606">
        <f t="shared" si="4"/>
        <v>150</v>
      </c>
      <c r="K35" s="606">
        <f t="shared" si="4"/>
        <v>150</v>
      </c>
      <c r="L35" s="607"/>
      <c r="M35" s="629">
        <f>ROUND(G35*tab!C$42,0)</f>
        <v>22274</v>
      </c>
      <c r="N35" s="629">
        <f>ROUND(H35*tab!$D$42,0)</f>
        <v>22332</v>
      </c>
      <c r="O35" s="608">
        <f>ROUND(I35*tab!$D$42,0)</f>
        <v>22332</v>
      </c>
      <c r="P35" s="608">
        <f>ROUND(J35*tab!$D$42,0)</f>
        <v>22332</v>
      </c>
      <c r="Q35" s="608">
        <f>ROUND(K35*tab!$D$42,0)</f>
        <v>22332</v>
      </c>
      <c r="R35" s="607"/>
      <c r="S35" s="627">
        <v>0</v>
      </c>
      <c r="T35" s="627">
        <f t="shared" si="5"/>
        <v>0</v>
      </c>
      <c r="U35" s="609">
        <f t="shared" si="5"/>
        <v>0</v>
      </c>
      <c r="V35" s="609">
        <f t="shared" si="5"/>
        <v>0</v>
      </c>
      <c r="W35" s="609">
        <f t="shared" si="5"/>
        <v>0</v>
      </c>
      <c r="X35" s="607"/>
      <c r="Y35" s="629">
        <f>+H35*tab!$D$61</f>
        <v>1107</v>
      </c>
      <c r="Z35" s="629">
        <f>+I35*tab!$E$61*7/12</f>
        <v>654.5</v>
      </c>
      <c r="AA35" s="608">
        <f>+J35*tab!$D$61</f>
        <v>1107</v>
      </c>
      <c r="AB35" s="608">
        <f>+K35*tab!$D$61</f>
        <v>1107</v>
      </c>
      <c r="AC35" s="607"/>
      <c r="AD35" s="628">
        <v>0</v>
      </c>
      <c r="AE35" s="627">
        <f t="shared" si="3"/>
        <v>0</v>
      </c>
      <c r="AF35" s="609">
        <f t="shared" si="6"/>
        <v>0</v>
      </c>
      <c r="AG35" s="609">
        <f t="shared" si="6"/>
        <v>0</v>
      </c>
      <c r="AH35" s="610"/>
      <c r="AI35" s="574"/>
      <c r="AJ35" s="668"/>
      <c r="AK35" s="668"/>
      <c r="AL35" s="668"/>
      <c r="AM35" s="668"/>
      <c r="AN35" s="668"/>
      <c r="AO35" s="668"/>
      <c r="AP35" s="668"/>
      <c r="AQ35" s="668"/>
      <c r="AR35" s="668"/>
      <c r="AS35" s="668"/>
      <c r="AT35" s="668"/>
      <c r="AU35" s="668"/>
      <c r="AV35" s="668"/>
      <c r="AW35" s="668"/>
      <c r="AX35" s="668"/>
      <c r="AY35" s="668"/>
      <c r="AZ35" s="668"/>
      <c r="BA35" s="668"/>
      <c r="BB35" s="668"/>
      <c r="BC35" s="668"/>
      <c r="BD35" s="668"/>
      <c r="BE35" s="668"/>
      <c r="BF35" s="668"/>
      <c r="BG35" s="668"/>
      <c r="BH35" s="668"/>
      <c r="BI35" s="668"/>
    </row>
    <row r="36" spans="1:61" s="534" customFormat="1" x14ac:dyDescent="0.2">
      <c r="A36" s="668"/>
      <c r="B36" s="573"/>
      <c r="C36" s="604"/>
      <c r="D36" s="605">
        <v>24</v>
      </c>
      <c r="E36" s="624" t="s">
        <v>488</v>
      </c>
      <c r="F36" s="625" t="s">
        <v>465</v>
      </c>
      <c r="G36" s="626">
        <v>150</v>
      </c>
      <c r="H36" s="626">
        <f t="shared" si="4"/>
        <v>150</v>
      </c>
      <c r="I36" s="626">
        <f t="shared" si="4"/>
        <v>150</v>
      </c>
      <c r="J36" s="606">
        <f t="shared" si="4"/>
        <v>150</v>
      </c>
      <c r="K36" s="606">
        <f t="shared" si="4"/>
        <v>150</v>
      </c>
      <c r="L36" s="607"/>
      <c r="M36" s="629">
        <f>ROUND(G36*tab!C$42,0)</f>
        <v>22274</v>
      </c>
      <c r="N36" s="629">
        <f>ROUND(H36*tab!$D$42,0)</f>
        <v>22332</v>
      </c>
      <c r="O36" s="608">
        <f>ROUND(I36*tab!$D$42,0)</f>
        <v>22332</v>
      </c>
      <c r="P36" s="608">
        <f>ROUND(J36*tab!$D$42,0)</f>
        <v>22332</v>
      </c>
      <c r="Q36" s="608">
        <f>ROUND(K36*tab!$D$42,0)</f>
        <v>22332</v>
      </c>
      <c r="R36" s="607"/>
      <c r="S36" s="627">
        <v>0</v>
      </c>
      <c r="T36" s="627">
        <f t="shared" si="5"/>
        <v>0</v>
      </c>
      <c r="U36" s="609">
        <f t="shared" si="5"/>
        <v>0</v>
      </c>
      <c r="V36" s="609">
        <f t="shared" si="5"/>
        <v>0</v>
      </c>
      <c r="W36" s="609">
        <f t="shared" si="5"/>
        <v>0</v>
      </c>
      <c r="X36" s="607"/>
      <c r="Y36" s="629">
        <f>+H36*tab!$D$61</f>
        <v>1107</v>
      </c>
      <c r="Z36" s="629">
        <f>+I36*tab!$E$61*7/12</f>
        <v>654.5</v>
      </c>
      <c r="AA36" s="608">
        <f>+J36*tab!$D$61</f>
        <v>1107</v>
      </c>
      <c r="AB36" s="608">
        <f>+K36*tab!$D$61</f>
        <v>1107</v>
      </c>
      <c r="AC36" s="607"/>
      <c r="AD36" s="628">
        <v>0</v>
      </c>
      <c r="AE36" s="627">
        <f t="shared" si="3"/>
        <v>0</v>
      </c>
      <c r="AF36" s="609">
        <f t="shared" si="6"/>
        <v>0</v>
      </c>
      <c r="AG36" s="609">
        <f t="shared" si="6"/>
        <v>0</v>
      </c>
      <c r="AH36" s="610"/>
      <c r="AI36" s="574"/>
      <c r="AJ36" s="668"/>
      <c r="AK36" s="668"/>
      <c r="AL36" s="668"/>
      <c r="AM36" s="668"/>
      <c r="AN36" s="668"/>
      <c r="AO36" s="668"/>
      <c r="AP36" s="668"/>
      <c r="AQ36" s="668"/>
      <c r="AR36" s="668"/>
      <c r="AS36" s="668"/>
      <c r="AT36" s="668"/>
      <c r="AU36" s="668"/>
      <c r="AV36" s="668"/>
      <c r="AW36" s="668"/>
      <c r="AX36" s="668"/>
      <c r="AY36" s="668"/>
      <c r="AZ36" s="668"/>
      <c r="BA36" s="668"/>
      <c r="BB36" s="668"/>
      <c r="BC36" s="668"/>
      <c r="BD36" s="668"/>
      <c r="BE36" s="668"/>
      <c r="BF36" s="668"/>
      <c r="BG36" s="668"/>
      <c r="BH36" s="668"/>
      <c r="BI36" s="668"/>
    </row>
    <row r="37" spans="1:61" s="534" customFormat="1" x14ac:dyDescent="0.2">
      <c r="A37" s="668"/>
      <c r="B37" s="573"/>
      <c r="C37" s="604"/>
      <c r="D37" s="605">
        <v>25</v>
      </c>
      <c r="E37" s="624" t="s">
        <v>489</v>
      </c>
      <c r="F37" s="625" t="s">
        <v>465</v>
      </c>
      <c r="G37" s="626">
        <v>150</v>
      </c>
      <c r="H37" s="626">
        <f t="shared" si="4"/>
        <v>150</v>
      </c>
      <c r="I37" s="626">
        <f t="shared" si="4"/>
        <v>150</v>
      </c>
      <c r="J37" s="606">
        <f t="shared" si="4"/>
        <v>150</v>
      </c>
      <c r="K37" s="606">
        <f t="shared" si="4"/>
        <v>150</v>
      </c>
      <c r="L37" s="607"/>
      <c r="M37" s="629">
        <f>ROUND(G37*tab!C$42,0)</f>
        <v>22274</v>
      </c>
      <c r="N37" s="629">
        <f>ROUND(H37*tab!$D$42,0)</f>
        <v>22332</v>
      </c>
      <c r="O37" s="608">
        <f>ROUND(I37*tab!$D$42,0)</f>
        <v>22332</v>
      </c>
      <c r="P37" s="608">
        <f>ROUND(J37*tab!$D$42,0)</f>
        <v>22332</v>
      </c>
      <c r="Q37" s="608">
        <f>ROUND(K37*tab!$D$42,0)</f>
        <v>22332</v>
      </c>
      <c r="R37" s="607"/>
      <c r="S37" s="627">
        <v>0</v>
      </c>
      <c r="T37" s="627">
        <f t="shared" si="5"/>
        <v>0</v>
      </c>
      <c r="U37" s="609">
        <f t="shared" si="5"/>
        <v>0</v>
      </c>
      <c r="V37" s="609">
        <f t="shared" si="5"/>
        <v>0</v>
      </c>
      <c r="W37" s="609">
        <f t="shared" si="5"/>
        <v>0</v>
      </c>
      <c r="X37" s="607"/>
      <c r="Y37" s="629">
        <f>+H37*tab!$D$61</f>
        <v>1107</v>
      </c>
      <c r="Z37" s="629">
        <f>+I37*tab!$E$61*7/12</f>
        <v>654.5</v>
      </c>
      <c r="AA37" s="608">
        <f>+J37*tab!$D$61</f>
        <v>1107</v>
      </c>
      <c r="AB37" s="608">
        <f>+K37*tab!$D$61</f>
        <v>1107</v>
      </c>
      <c r="AC37" s="607"/>
      <c r="AD37" s="628">
        <v>0</v>
      </c>
      <c r="AE37" s="627">
        <f t="shared" si="3"/>
        <v>0</v>
      </c>
      <c r="AF37" s="609">
        <f t="shared" si="6"/>
        <v>0</v>
      </c>
      <c r="AG37" s="609">
        <f t="shared" si="6"/>
        <v>0</v>
      </c>
      <c r="AH37" s="610"/>
      <c r="AI37" s="574"/>
      <c r="AJ37" s="668"/>
      <c r="AK37" s="668"/>
      <c r="AL37" s="668"/>
      <c r="AM37" s="668"/>
      <c r="AN37" s="668"/>
      <c r="AO37" s="668"/>
      <c r="AP37" s="668"/>
      <c r="AQ37" s="668"/>
      <c r="AR37" s="668"/>
      <c r="AS37" s="668"/>
      <c r="AT37" s="668"/>
      <c r="AU37" s="668"/>
      <c r="AV37" s="668"/>
      <c r="AW37" s="668"/>
      <c r="AX37" s="668"/>
      <c r="AY37" s="668"/>
      <c r="AZ37" s="668"/>
      <c r="BA37" s="668"/>
      <c r="BB37" s="668"/>
      <c r="BC37" s="668"/>
      <c r="BD37" s="668"/>
      <c r="BE37" s="668"/>
      <c r="BF37" s="668"/>
      <c r="BG37" s="668"/>
      <c r="BH37" s="668"/>
      <c r="BI37" s="668"/>
    </row>
    <row r="38" spans="1:61" s="534" customFormat="1" x14ac:dyDescent="0.2">
      <c r="A38" s="668"/>
      <c r="B38" s="573"/>
      <c r="C38" s="604"/>
      <c r="D38" s="605">
        <v>26</v>
      </c>
      <c r="E38" s="624" t="s">
        <v>490</v>
      </c>
      <c r="F38" s="625" t="s">
        <v>465</v>
      </c>
      <c r="G38" s="626">
        <v>150</v>
      </c>
      <c r="H38" s="626">
        <f t="shared" si="4"/>
        <v>150</v>
      </c>
      <c r="I38" s="626">
        <f t="shared" si="4"/>
        <v>150</v>
      </c>
      <c r="J38" s="606">
        <f t="shared" si="4"/>
        <v>150</v>
      </c>
      <c r="K38" s="606">
        <f t="shared" si="4"/>
        <v>150</v>
      </c>
      <c r="L38" s="607"/>
      <c r="M38" s="629">
        <f>ROUND(G38*tab!C$42,0)</f>
        <v>22274</v>
      </c>
      <c r="N38" s="629">
        <f>ROUND(H38*tab!$D$42,0)</f>
        <v>22332</v>
      </c>
      <c r="O38" s="608">
        <f>ROUND(I38*tab!$D$42,0)</f>
        <v>22332</v>
      </c>
      <c r="P38" s="608">
        <f>ROUND(J38*tab!$D$42,0)</f>
        <v>22332</v>
      </c>
      <c r="Q38" s="608">
        <f>ROUND(K38*tab!$D$42,0)</f>
        <v>22332</v>
      </c>
      <c r="R38" s="607"/>
      <c r="S38" s="627">
        <v>0</v>
      </c>
      <c r="T38" s="627">
        <f t="shared" si="5"/>
        <v>0</v>
      </c>
      <c r="U38" s="609">
        <f t="shared" si="5"/>
        <v>0</v>
      </c>
      <c r="V38" s="609">
        <f t="shared" si="5"/>
        <v>0</v>
      </c>
      <c r="W38" s="609">
        <f t="shared" si="5"/>
        <v>0</v>
      </c>
      <c r="X38" s="607"/>
      <c r="Y38" s="629">
        <f>+H38*tab!$D$61</f>
        <v>1107</v>
      </c>
      <c r="Z38" s="629">
        <f>+I38*tab!$E$61*7/12</f>
        <v>654.5</v>
      </c>
      <c r="AA38" s="608">
        <f>+J38*tab!$D$61</f>
        <v>1107</v>
      </c>
      <c r="AB38" s="608">
        <f>+K38*tab!$D$61</f>
        <v>1107</v>
      </c>
      <c r="AC38" s="607"/>
      <c r="AD38" s="628">
        <v>0</v>
      </c>
      <c r="AE38" s="627">
        <f t="shared" si="3"/>
        <v>0</v>
      </c>
      <c r="AF38" s="609">
        <f t="shared" si="6"/>
        <v>0</v>
      </c>
      <c r="AG38" s="609">
        <f t="shared" si="6"/>
        <v>0</v>
      </c>
      <c r="AH38" s="610"/>
      <c r="AI38" s="574"/>
      <c r="AJ38" s="668"/>
      <c r="AK38" s="668"/>
      <c r="AL38" s="668"/>
      <c r="AM38" s="668"/>
      <c r="AN38" s="668"/>
      <c r="AO38" s="668"/>
      <c r="AP38" s="668"/>
      <c r="AQ38" s="668"/>
      <c r="AR38" s="668"/>
      <c r="AS38" s="668"/>
      <c r="AT38" s="668"/>
      <c r="AU38" s="668"/>
      <c r="AV38" s="668"/>
      <c r="AW38" s="668"/>
      <c r="AX38" s="668"/>
      <c r="AY38" s="668"/>
      <c r="AZ38" s="668"/>
      <c r="BA38" s="668"/>
      <c r="BB38" s="668"/>
      <c r="BC38" s="668"/>
      <c r="BD38" s="668"/>
      <c r="BE38" s="668"/>
      <c r="BF38" s="668"/>
      <c r="BG38" s="668"/>
      <c r="BH38" s="668"/>
      <c r="BI38" s="668"/>
    </row>
    <row r="39" spans="1:61" s="534" customFormat="1" x14ac:dyDescent="0.2">
      <c r="A39" s="668"/>
      <c r="B39" s="573"/>
      <c r="C39" s="604"/>
      <c r="D39" s="605">
        <v>27</v>
      </c>
      <c r="E39" s="624" t="s">
        <v>491</v>
      </c>
      <c r="F39" s="625" t="s">
        <v>465</v>
      </c>
      <c r="G39" s="626">
        <v>150</v>
      </c>
      <c r="H39" s="626">
        <f t="shared" si="4"/>
        <v>150</v>
      </c>
      <c r="I39" s="626">
        <f t="shared" si="4"/>
        <v>150</v>
      </c>
      <c r="J39" s="606">
        <f t="shared" si="4"/>
        <v>150</v>
      </c>
      <c r="K39" s="606">
        <f t="shared" si="4"/>
        <v>150</v>
      </c>
      <c r="L39" s="607"/>
      <c r="M39" s="629">
        <f>ROUND(G39*tab!C$42,0)</f>
        <v>22274</v>
      </c>
      <c r="N39" s="629">
        <f>ROUND(H39*tab!$D$42,0)</f>
        <v>22332</v>
      </c>
      <c r="O39" s="608">
        <f>ROUND(I39*tab!$D$42,0)</f>
        <v>22332</v>
      </c>
      <c r="P39" s="608">
        <f>ROUND(J39*tab!$D$42,0)</f>
        <v>22332</v>
      </c>
      <c r="Q39" s="608">
        <f>ROUND(K39*tab!$D$42,0)</f>
        <v>22332</v>
      </c>
      <c r="R39" s="607"/>
      <c r="S39" s="627">
        <v>0</v>
      </c>
      <c r="T39" s="627">
        <f t="shared" si="5"/>
        <v>0</v>
      </c>
      <c r="U39" s="609">
        <f t="shared" si="5"/>
        <v>0</v>
      </c>
      <c r="V39" s="609">
        <f t="shared" si="5"/>
        <v>0</v>
      </c>
      <c r="W39" s="609">
        <f t="shared" si="5"/>
        <v>0</v>
      </c>
      <c r="X39" s="607"/>
      <c r="Y39" s="629">
        <f>+H39*tab!$D$61</f>
        <v>1107</v>
      </c>
      <c r="Z39" s="629">
        <f>+I39*tab!$E$61*7/12</f>
        <v>654.5</v>
      </c>
      <c r="AA39" s="608">
        <f>+J39*tab!$D$61</f>
        <v>1107</v>
      </c>
      <c r="AB39" s="608">
        <f>+K39*tab!$D$61</f>
        <v>1107</v>
      </c>
      <c r="AC39" s="607"/>
      <c r="AD39" s="628">
        <v>0</v>
      </c>
      <c r="AE39" s="627">
        <f t="shared" si="3"/>
        <v>0</v>
      </c>
      <c r="AF39" s="609">
        <f t="shared" si="6"/>
        <v>0</v>
      </c>
      <c r="AG39" s="609">
        <f t="shared" si="6"/>
        <v>0</v>
      </c>
      <c r="AH39" s="610"/>
      <c r="AI39" s="574"/>
      <c r="AJ39" s="668"/>
      <c r="AK39" s="668"/>
      <c r="AL39" s="668"/>
      <c r="AM39" s="668"/>
      <c r="AN39" s="668"/>
      <c r="AO39" s="668"/>
      <c r="AP39" s="668"/>
      <c r="AQ39" s="668"/>
      <c r="AR39" s="668"/>
      <c r="AS39" s="668"/>
      <c r="AT39" s="668"/>
      <c r="AU39" s="668"/>
      <c r="AV39" s="668"/>
      <c r="AW39" s="668"/>
      <c r="AX39" s="668"/>
      <c r="AY39" s="668"/>
      <c r="AZ39" s="668"/>
      <c r="BA39" s="668"/>
      <c r="BB39" s="668"/>
      <c r="BC39" s="668"/>
      <c r="BD39" s="668"/>
      <c r="BE39" s="668"/>
      <c r="BF39" s="668"/>
      <c r="BG39" s="668"/>
      <c r="BH39" s="668"/>
      <c r="BI39" s="668"/>
    </row>
    <row r="40" spans="1:61" s="534" customFormat="1" x14ac:dyDescent="0.2">
      <c r="A40" s="668"/>
      <c r="B40" s="573"/>
      <c r="C40" s="604"/>
      <c r="D40" s="605">
        <v>28</v>
      </c>
      <c r="E40" s="624" t="s">
        <v>492</v>
      </c>
      <c r="F40" s="625" t="s">
        <v>465</v>
      </c>
      <c r="G40" s="626">
        <v>150</v>
      </c>
      <c r="H40" s="626">
        <f t="shared" si="4"/>
        <v>150</v>
      </c>
      <c r="I40" s="626">
        <f t="shared" si="4"/>
        <v>150</v>
      </c>
      <c r="J40" s="606">
        <f t="shared" si="4"/>
        <v>150</v>
      </c>
      <c r="K40" s="606">
        <f t="shared" si="4"/>
        <v>150</v>
      </c>
      <c r="L40" s="607"/>
      <c r="M40" s="629">
        <f>ROUND(G40*tab!C$42,0)</f>
        <v>22274</v>
      </c>
      <c r="N40" s="629">
        <f>ROUND(H40*tab!$D$42,0)</f>
        <v>22332</v>
      </c>
      <c r="O40" s="608">
        <f>ROUND(I40*tab!$D$42,0)</f>
        <v>22332</v>
      </c>
      <c r="P40" s="608">
        <f>ROUND(J40*tab!$D$42,0)</f>
        <v>22332</v>
      </c>
      <c r="Q40" s="608">
        <f>ROUND(K40*tab!$D$42,0)</f>
        <v>22332</v>
      </c>
      <c r="R40" s="607"/>
      <c r="S40" s="627">
        <v>0</v>
      </c>
      <c r="T40" s="627">
        <f t="shared" si="5"/>
        <v>0</v>
      </c>
      <c r="U40" s="609">
        <f t="shared" si="5"/>
        <v>0</v>
      </c>
      <c r="V40" s="609">
        <f t="shared" si="5"/>
        <v>0</v>
      </c>
      <c r="W40" s="609">
        <f t="shared" si="5"/>
        <v>0</v>
      </c>
      <c r="X40" s="607"/>
      <c r="Y40" s="629">
        <f>+H40*tab!$D$61</f>
        <v>1107</v>
      </c>
      <c r="Z40" s="629">
        <f>+I40*tab!$E$61*7/12</f>
        <v>654.5</v>
      </c>
      <c r="AA40" s="608">
        <f>+J40*tab!$D$61</f>
        <v>1107</v>
      </c>
      <c r="AB40" s="608">
        <f>+K40*tab!$D$61</f>
        <v>1107</v>
      </c>
      <c r="AC40" s="607"/>
      <c r="AD40" s="628">
        <v>0</v>
      </c>
      <c r="AE40" s="627">
        <f t="shared" si="3"/>
        <v>0</v>
      </c>
      <c r="AF40" s="609">
        <f t="shared" si="6"/>
        <v>0</v>
      </c>
      <c r="AG40" s="609">
        <f t="shared" si="6"/>
        <v>0</v>
      </c>
      <c r="AH40" s="610"/>
      <c r="AI40" s="574"/>
      <c r="AJ40" s="668"/>
      <c r="AK40" s="668"/>
      <c r="AL40" s="668"/>
      <c r="AM40" s="668"/>
      <c r="AN40" s="668"/>
      <c r="AO40" s="668"/>
      <c r="AP40" s="668"/>
      <c r="AQ40" s="668"/>
      <c r="AR40" s="668"/>
      <c r="AS40" s="668"/>
      <c r="AT40" s="668"/>
      <c r="AU40" s="668"/>
      <c r="AV40" s="668"/>
      <c r="AW40" s="668"/>
      <c r="AX40" s="668"/>
      <c r="AY40" s="668"/>
      <c r="AZ40" s="668"/>
      <c r="BA40" s="668"/>
      <c r="BB40" s="668"/>
      <c r="BC40" s="668"/>
      <c r="BD40" s="668"/>
      <c r="BE40" s="668"/>
      <c r="BF40" s="668"/>
      <c r="BG40" s="668"/>
      <c r="BH40" s="668"/>
      <c r="BI40" s="668"/>
    </row>
    <row r="41" spans="1:61" s="534" customFormat="1" x14ac:dyDescent="0.2">
      <c r="A41" s="668"/>
      <c r="B41" s="573"/>
      <c r="C41" s="604"/>
      <c r="D41" s="605">
        <v>29</v>
      </c>
      <c r="E41" s="624" t="s">
        <v>493</v>
      </c>
      <c r="F41" s="625" t="s">
        <v>465</v>
      </c>
      <c r="G41" s="626">
        <v>150</v>
      </c>
      <c r="H41" s="626">
        <f t="shared" si="4"/>
        <v>150</v>
      </c>
      <c r="I41" s="626">
        <f t="shared" si="4"/>
        <v>150</v>
      </c>
      <c r="J41" s="606">
        <f t="shared" si="4"/>
        <v>150</v>
      </c>
      <c r="K41" s="606">
        <f t="shared" si="4"/>
        <v>150</v>
      </c>
      <c r="L41" s="607"/>
      <c r="M41" s="629">
        <f>ROUND(G41*tab!C$42,0)</f>
        <v>22274</v>
      </c>
      <c r="N41" s="629">
        <f>ROUND(H41*tab!$D$42,0)</f>
        <v>22332</v>
      </c>
      <c r="O41" s="608">
        <f>ROUND(I41*tab!$D$42,0)</f>
        <v>22332</v>
      </c>
      <c r="P41" s="608">
        <f>ROUND(J41*tab!$D$42,0)</f>
        <v>22332</v>
      </c>
      <c r="Q41" s="608">
        <f>ROUND(K41*tab!$D$42,0)</f>
        <v>22332</v>
      </c>
      <c r="R41" s="607"/>
      <c r="S41" s="627">
        <v>0</v>
      </c>
      <c r="T41" s="627">
        <f t="shared" si="5"/>
        <v>0</v>
      </c>
      <c r="U41" s="609">
        <f t="shared" si="5"/>
        <v>0</v>
      </c>
      <c r="V41" s="609">
        <f t="shared" si="5"/>
        <v>0</v>
      </c>
      <c r="W41" s="609">
        <f t="shared" si="5"/>
        <v>0</v>
      </c>
      <c r="X41" s="607"/>
      <c r="Y41" s="629">
        <f>+H41*tab!$D$61</f>
        <v>1107</v>
      </c>
      <c r="Z41" s="629">
        <f>+I41*tab!$E$61*7/12</f>
        <v>654.5</v>
      </c>
      <c r="AA41" s="608">
        <f>+J41*tab!$D$61</f>
        <v>1107</v>
      </c>
      <c r="AB41" s="608">
        <f>+K41*tab!$D$61</f>
        <v>1107</v>
      </c>
      <c r="AC41" s="607"/>
      <c r="AD41" s="628">
        <v>0</v>
      </c>
      <c r="AE41" s="627">
        <f t="shared" si="3"/>
        <v>0</v>
      </c>
      <c r="AF41" s="609">
        <f t="shared" si="6"/>
        <v>0</v>
      </c>
      <c r="AG41" s="609">
        <f t="shared" si="6"/>
        <v>0</v>
      </c>
      <c r="AH41" s="610"/>
      <c r="AI41" s="574"/>
      <c r="AJ41" s="668"/>
      <c r="AK41" s="668"/>
      <c r="AL41" s="668"/>
      <c r="AM41" s="668"/>
      <c r="AN41" s="668"/>
      <c r="AO41" s="668"/>
      <c r="AP41" s="668"/>
      <c r="AQ41" s="668"/>
      <c r="AR41" s="668"/>
      <c r="AS41" s="668"/>
      <c r="AT41" s="668"/>
      <c r="AU41" s="668"/>
      <c r="AV41" s="668"/>
      <c r="AW41" s="668"/>
      <c r="AX41" s="668"/>
      <c r="AY41" s="668"/>
      <c r="AZ41" s="668"/>
      <c r="BA41" s="668"/>
      <c r="BB41" s="668"/>
      <c r="BC41" s="668"/>
      <c r="BD41" s="668"/>
      <c r="BE41" s="668"/>
      <c r="BF41" s="668"/>
      <c r="BG41" s="668"/>
      <c r="BH41" s="668"/>
      <c r="BI41" s="668"/>
    </row>
    <row r="42" spans="1:61" s="534" customFormat="1" x14ac:dyDescent="0.2">
      <c r="A42" s="668"/>
      <c r="B42" s="573"/>
      <c r="C42" s="604"/>
      <c r="D42" s="605">
        <v>30</v>
      </c>
      <c r="E42" s="624" t="s">
        <v>494</v>
      </c>
      <c r="F42" s="625" t="s">
        <v>465</v>
      </c>
      <c r="G42" s="626">
        <v>150</v>
      </c>
      <c r="H42" s="626">
        <f t="shared" si="4"/>
        <v>150</v>
      </c>
      <c r="I42" s="626">
        <f t="shared" si="4"/>
        <v>150</v>
      </c>
      <c r="J42" s="606">
        <f t="shared" si="4"/>
        <v>150</v>
      </c>
      <c r="K42" s="606">
        <f t="shared" si="4"/>
        <v>150</v>
      </c>
      <c r="L42" s="607"/>
      <c r="M42" s="629">
        <f>ROUND(G42*tab!C$42,0)</f>
        <v>22274</v>
      </c>
      <c r="N42" s="629">
        <f>ROUND(H42*tab!$D$42,0)</f>
        <v>22332</v>
      </c>
      <c r="O42" s="608">
        <f>ROUND(I42*tab!$D$42,0)</f>
        <v>22332</v>
      </c>
      <c r="P42" s="608">
        <f>ROUND(J42*tab!$D$42,0)</f>
        <v>22332</v>
      </c>
      <c r="Q42" s="608">
        <f>ROUND(K42*tab!$D$42,0)</f>
        <v>22332</v>
      </c>
      <c r="R42" s="607"/>
      <c r="S42" s="627">
        <v>0</v>
      </c>
      <c r="T42" s="627">
        <f t="shared" si="5"/>
        <v>0</v>
      </c>
      <c r="U42" s="609">
        <f t="shared" si="5"/>
        <v>0</v>
      </c>
      <c r="V42" s="609">
        <f t="shared" si="5"/>
        <v>0</v>
      </c>
      <c r="W42" s="609">
        <f t="shared" si="5"/>
        <v>0</v>
      </c>
      <c r="X42" s="607"/>
      <c r="Y42" s="629">
        <f>+H42*tab!$D$61</f>
        <v>1107</v>
      </c>
      <c r="Z42" s="629">
        <f>+I42*tab!$E$61*7/12</f>
        <v>654.5</v>
      </c>
      <c r="AA42" s="608">
        <f>+J42*tab!$D$61</f>
        <v>1107</v>
      </c>
      <c r="AB42" s="608">
        <f>+K42*tab!$D$61</f>
        <v>1107</v>
      </c>
      <c r="AC42" s="607"/>
      <c r="AD42" s="628">
        <v>0</v>
      </c>
      <c r="AE42" s="627">
        <f t="shared" si="3"/>
        <v>0</v>
      </c>
      <c r="AF42" s="609">
        <f t="shared" si="6"/>
        <v>0</v>
      </c>
      <c r="AG42" s="609">
        <f t="shared" si="6"/>
        <v>0</v>
      </c>
      <c r="AH42" s="610"/>
      <c r="AI42" s="574"/>
      <c r="AJ42" s="668"/>
      <c r="AK42" s="668"/>
      <c r="AL42" s="668"/>
      <c r="AM42" s="668"/>
      <c r="AN42" s="668"/>
      <c r="AO42" s="668"/>
      <c r="AP42" s="668"/>
      <c r="AQ42" s="668"/>
      <c r="AR42" s="668"/>
      <c r="AS42" s="668"/>
      <c r="AT42" s="668"/>
      <c r="AU42" s="668"/>
      <c r="AV42" s="668"/>
      <c r="AW42" s="668"/>
      <c r="AX42" s="668"/>
      <c r="AY42" s="668"/>
      <c r="AZ42" s="668"/>
      <c r="BA42" s="668"/>
      <c r="BB42" s="668"/>
      <c r="BC42" s="668"/>
      <c r="BD42" s="668"/>
      <c r="BE42" s="668"/>
      <c r="BF42" s="668"/>
      <c r="BG42" s="668"/>
      <c r="BH42" s="668"/>
      <c r="BI42" s="668"/>
    </row>
    <row r="43" spans="1:61" s="534" customFormat="1" x14ac:dyDescent="0.2">
      <c r="A43" s="668"/>
      <c r="B43" s="573"/>
      <c r="C43" s="604"/>
      <c r="D43" s="605">
        <v>31</v>
      </c>
      <c r="E43" s="624" t="s">
        <v>495</v>
      </c>
      <c r="F43" s="625" t="s">
        <v>465</v>
      </c>
      <c r="G43" s="626">
        <v>150</v>
      </c>
      <c r="H43" s="626">
        <f t="shared" si="4"/>
        <v>150</v>
      </c>
      <c r="I43" s="626">
        <f t="shared" si="4"/>
        <v>150</v>
      </c>
      <c r="J43" s="606">
        <f t="shared" si="4"/>
        <v>150</v>
      </c>
      <c r="K43" s="606">
        <f t="shared" si="4"/>
        <v>150</v>
      </c>
      <c r="L43" s="607"/>
      <c r="M43" s="629">
        <f>ROUND(G43*tab!C$42,0)</f>
        <v>22274</v>
      </c>
      <c r="N43" s="629">
        <f>ROUND(H43*tab!$D$42,0)</f>
        <v>22332</v>
      </c>
      <c r="O43" s="608">
        <f>ROUND(I43*tab!$D$42,0)</f>
        <v>22332</v>
      </c>
      <c r="P43" s="608">
        <f>ROUND(J43*tab!$D$42,0)</f>
        <v>22332</v>
      </c>
      <c r="Q43" s="608">
        <f>ROUND(K43*tab!$D$42,0)</f>
        <v>22332</v>
      </c>
      <c r="R43" s="607"/>
      <c r="S43" s="627">
        <v>0</v>
      </c>
      <c r="T43" s="627">
        <f t="shared" si="5"/>
        <v>0</v>
      </c>
      <c r="U43" s="609">
        <f t="shared" si="5"/>
        <v>0</v>
      </c>
      <c r="V43" s="609">
        <f t="shared" si="5"/>
        <v>0</v>
      </c>
      <c r="W43" s="609">
        <f t="shared" si="5"/>
        <v>0</v>
      </c>
      <c r="X43" s="607"/>
      <c r="Y43" s="629">
        <f>+H43*tab!$D$61</f>
        <v>1107</v>
      </c>
      <c r="Z43" s="629">
        <f>+I43*tab!$E$61*7/12</f>
        <v>654.5</v>
      </c>
      <c r="AA43" s="608">
        <f>+J43*tab!$D$61</f>
        <v>1107</v>
      </c>
      <c r="AB43" s="608">
        <f>+K43*tab!$D$61</f>
        <v>1107</v>
      </c>
      <c r="AC43" s="607"/>
      <c r="AD43" s="628">
        <v>0</v>
      </c>
      <c r="AE43" s="627">
        <f t="shared" si="3"/>
        <v>0</v>
      </c>
      <c r="AF43" s="609">
        <f t="shared" si="6"/>
        <v>0</v>
      </c>
      <c r="AG43" s="609">
        <f t="shared" si="6"/>
        <v>0</v>
      </c>
      <c r="AH43" s="610"/>
      <c r="AI43" s="574"/>
      <c r="AJ43" s="668"/>
      <c r="AK43" s="668"/>
      <c r="AL43" s="668"/>
      <c r="AM43" s="668"/>
      <c r="AN43" s="668"/>
      <c r="AO43" s="668"/>
      <c r="AP43" s="668"/>
      <c r="AQ43" s="668"/>
      <c r="AR43" s="668"/>
      <c r="AS43" s="668"/>
      <c r="AT43" s="668"/>
      <c r="AU43" s="668"/>
      <c r="AV43" s="668"/>
      <c r="AW43" s="668"/>
      <c r="AX43" s="668"/>
      <c r="AY43" s="668"/>
      <c r="AZ43" s="668"/>
      <c r="BA43" s="668"/>
      <c r="BB43" s="668"/>
      <c r="BC43" s="668"/>
      <c r="BD43" s="668"/>
      <c r="BE43" s="668"/>
      <c r="BF43" s="668"/>
      <c r="BG43" s="668"/>
      <c r="BH43" s="668"/>
      <c r="BI43" s="668"/>
    </row>
    <row r="44" spans="1:61" s="534" customFormat="1" x14ac:dyDescent="0.2">
      <c r="A44" s="668"/>
      <c r="B44" s="573"/>
      <c r="C44" s="604"/>
      <c r="D44" s="605">
        <v>32</v>
      </c>
      <c r="E44" s="624" t="s">
        <v>496</v>
      </c>
      <c r="F44" s="625" t="s">
        <v>465</v>
      </c>
      <c r="G44" s="626">
        <v>150</v>
      </c>
      <c r="H44" s="626">
        <f t="shared" si="4"/>
        <v>150</v>
      </c>
      <c r="I44" s="626">
        <f t="shared" si="4"/>
        <v>150</v>
      </c>
      <c r="J44" s="606">
        <f t="shared" si="4"/>
        <v>150</v>
      </c>
      <c r="K44" s="606">
        <f t="shared" si="4"/>
        <v>150</v>
      </c>
      <c r="L44" s="607"/>
      <c r="M44" s="629">
        <f>ROUND(G44*tab!C$42,0)</f>
        <v>22274</v>
      </c>
      <c r="N44" s="629">
        <f>ROUND(H44*tab!$D$42,0)</f>
        <v>22332</v>
      </c>
      <c r="O44" s="608">
        <f>ROUND(I44*tab!$D$42,0)</f>
        <v>22332</v>
      </c>
      <c r="P44" s="608">
        <f>ROUND(J44*tab!$D$42,0)</f>
        <v>22332</v>
      </c>
      <c r="Q44" s="608">
        <f>ROUND(K44*tab!$D$42,0)</f>
        <v>22332</v>
      </c>
      <c r="R44" s="607"/>
      <c r="S44" s="627">
        <v>0</v>
      </c>
      <c r="T44" s="627">
        <f t="shared" si="5"/>
        <v>0</v>
      </c>
      <c r="U44" s="609">
        <f t="shared" si="5"/>
        <v>0</v>
      </c>
      <c r="V44" s="609">
        <f t="shared" si="5"/>
        <v>0</v>
      </c>
      <c r="W44" s="609">
        <f t="shared" si="5"/>
        <v>0</v>
      </c>
      <c r="X44" s="607"/>
      <c r="Y44" s="629">
        <f>+H44*tab!$D$61</f>
        <v>1107</v>
      </c>
      <c r="Z44" s="629">
        <f>+I44*tab!$E$61*7/12</f>
        <v>654.5</v>
      </c>
      <c r="AA44" s="608">
        <f>+J44*tab!$D$61</f>
        <v>1107</v>
      </c>
      <c r="AB44" s="608">
        <f>+K44*tab!$D$61</f>
        <v>1107</v>
      </c>
      <c r="AC44" s="607"/>
      <c r="AD44" s="628">
        <v>0</v>
      </c>
      <c r="AE44" s="627">
        <f t="shared" si="3"/>
        <v>0</v>
      </c>
      <c r="AF44" s="609">
        <f t="shared" si="6"/>
        <v>0</v>
      </c>
      <c r="AG44" s="609">
        <f t="shared" si="6"/>
        <v>0</v>
      </c>
      <c r="AH44" s="610"/>
      <c r="AI44" s="574"/>
      <c r="AJ44" s="668"/>
      <c r="AK44" s="668"/>
      <c r="AL44" s="668"/>
      <c r="AM44" s="668"/>
      <c r="AN44" s="668"/>
      <c r="AO44" s="668"/>
      <c r="AP44" s="668"/>
      <c r="AQ44" s="668"/>
      <c r="AR44" s="668"/>
      <c r="AS44" s="668"/>
      <c r="AT44" s="668"/>
      <c r="AU44" s="668"/>
      <c r="AV44" s="668"/>
      <c r="AW44" s="668"/>
      <c r="AX44" s="668"/>
      <c r="AY44" s="668"/>
      <c r="AZ44" s="668"/>
      <c r="BA44" s="668"/>
      <c r="BB44" s="668"/>
      <c r="BC44" s="668"/>
      <c r="BD44" s="668"/>
      <c r="BE44" s="668"/>
      <c r="BF44" s="668"/>
      <c r="BG44" s="668"/>
      <c r="BH44" s="668"/>
      <c r="BI44" s="668"/>
    </row>
    <row r="45" spans="1:61" s="534" customFormat="1" x14ac:dyDescent="0.2">
      <c r="A45" s="668"/>
      <c r="B45" s="573"/>
      <c r="C45" s="604"/>
      <c r="D45" s="605">
        <v>33</v>
      </c>
      <c r="E45" s="624" t="s">
        <v>497</v>
      </c>
      <c r="F45" s="625" t="s">
        <v>465</v>
      </c>
      <c r="G45" s="626">
        <v>150</v>
      </c>
      <c r="H45" s="626">
        <f t="shared" ref="H45:K60" si="7">G45</f>
        <v>150</v>
      </c>
      <c r="I45" s="626">
        <f t="shared" si="7"/>
        <v>150</v>
      </c>
      <c r="J45" s="606">
        <f t="shared" si="7"/>
        <v>150</v>
      </c>
      <c r="K45" s="606">
        <f t="shared" si="7"/>
        <v>150</v>
      </c>
      <c r="L45" s="607"/>
      <c r="M45" s="629">
        <f>ROUND(G45*tab!C$42,0)</f>
        <v>22274</v>
      </c>
      <c r="N45" s="629">
        <f>ROUND(H45*tab!$D$42,0)</f>
        <v>22332</v>
      </c>
      <c r="O45" s="608">
        <f>ROUND(I45*tab!$D$42,0)</f>
        <v>22332</v>
      </c>
      <c r="P45" s="608">
        <f>ROUND(J45*tab!$D$42,0)</f>
        <v>22332</v>
      </c>
      <c r="Q45" s="608">
        <f>ROUND(K45*tab!$D$42,0)</f>
        <v>22332</v>
      </c>
      <c r="R45" s="607"/>
      <c r="S45" s="627">
        <v>0</v>
      </c>
      <c r="T45" s="627">
        <f t="shared" ref="T45:W60" si="8">S45</f>
        <v>0</v>
      </c>
      <c r="U45" s="609">
        <f t="shared" si="8"/>
        <v>0</v>
      </c>
      <c r="V45" s="609">
        <f t="shared" si="8"/>
        <v>0</v>
      </c>
      <c r="W45" s="609">
        <f t="shared" si="8"/>
        <v>0</v>
      </c>
      <c r="X45" s="607"/>
      <c r="Y45" s="629">
        <f>+H45*tab!$D$61</f>
        <v>1107</v>
      </c>
      <c r="Z45" s="629">
        <f>+I45*tab!$E$61*7/12</f>
        <v>654.5</v>
      </c>
      <c r="AA45" s="608">
        <f>+J45*tab!$D$61</f>
        <v>1107</v>
      </c>
      <c r="AB45" s="608">
        <f>+K45*tab!$D$61</f>
        <v>1107</v>
      </c>
      <c r="AC45" s="607"/>
      <c r="AD45" s="628">
        <v>0</v>
      </c>
      <c r="AE45" s="627">
        <f t="shared" si="3"/>
        <v>0</v>
      </c>
      <c r="AF45" s="609">
        <f t="shared" si="6"/>
        <v>0</v>
      </c>
      <c r="AG45" s="609">
        <f t="shared" si="6"/>
        <v>0</v>
      </c>
      <c r="AH45" s="610"/>
      <c r="AI45" s="574"/>
      <c r="AJ45" s="668"/>
      <c r="AK45" s="668"/>
      <c r="AL45" s="668"/>
      <c r="AM45" s="668"/>
      <c r="AN45" s="668"/>
      <c r="AO45" s="668"/>
      <c r="AP45" s="668"/>
      <c r="AQ45" s="668"/>
      <c r="AR45" s="668"/>
      <c r="AS45" s="668"/>
      <c r="AT45" s="668"/>
      <c r="AU45" s="668"/>
      <c r="AV45" s="668"/>
      <c r="AW45" s="668"/>
      <c r="AX45" s="668"/>
      <c r="AY45" s="668"/>
      <c r="AZ45" s="668"/>
      <c r="BA45" s="668"/>
      <c r="BB45" s="668"/>
      <c r="BC45" s="668"/>
      <c r="BD45" s="668"/>
      <c r="BE45" s="668"/>
      <c r="BF45" s="668"/>
      <c r="BG45" s="668"/>
      <c r="BH45" s="668"/>
      <c r="BI45" s="668"/>
    </row>
    <row r="46" spans="1:61" s="534" customFormat="1" x14ac:dyDescent="0.2">
      <c r="A46" s="668"/>
      <c r="B46" s="573"/>
      <c r="C46" s="604"/>
      <c r="D46" s="605">
        <v>34</v>
      </c>
      <c r="E46" s="624" t="s">
        <v>498</v>
      </c>
      <c r="F46" s="625" t="s">
        <v>465</v>
      </c>
      <c r="G46" s="626">
        <v>150</v>
      </c>
      <c r="H46" s="626">
        <f t="shared" si="7"/>
        <v>150</v>
      </c>
      <c r="I46" s="626">
        <f t="shared" si="7"/>
        <v>150</v>
      </c>
      <c r="J46" s="606">
        <f t="shared" si="7"/>
        <v>150</v>
      </c>
      <c r="K46" s="606">
        <f t="shared" si="7"/>
        <v>150</v>
      </c>
      <c r="L46" s="607"/>
      <c r="M46" s="629">
        <f>ROUND(G46*tab!C$42,0)</f>
        <v>22274</v>
      </c>
      <c r="N46" s="629">
        <f>ROUND(H46*tab!$D$42,0)</f>
        <v>22332</v>
      </c>
      <c r="O46" s="608">
        <f>ROUND(I46*tab!$D$42,0)</f>
        <v>22332</v>
      </c>
      <c r="P46" s="608">
        <f>ROUND(J46*tab!$D$42,0)</f>
        <v>22332</v>
      </c>
      <c r="Q46" s="608">
        <f>ROUND(K46*tab!$D$42,0)</f>
        <v>22332</v>
      </c>
      <c r="R46" s="607"/>
      <c r="S46" s="627">
        <v>0</v>
      </c>
      <c r="T46" s="627">
        <f t="shared" si="8"/>
        <v>0</v>
      </c>
      <c r="U46" s="609">
        <f t="shared" si="8"/>
        <v>0</v>
      </c>
      <c r="V46" s="609">
        <f t="shared" si="8"/>
        <v>0</v>
      </c>
      <c r="W46" s="609">
        <f t="shared" si="8"/>
        <v>0</v>
      </c>
      <c r="X46" s="607"/>
      <c r="Y46" s="629">
        <f>+H46*tab!$D$61</f>
        <v>1107</v>
      </c>
      <c r="Z46" s="629">
        <f>+I46*tab!$E$61*7/12</f>
        <v>654.5</v>
      </c>
      <c r="AA46" s="608">
        <f>+J46*tab!$D$61</f>
        <v>1107</v>
      </c>
      <c r="AB46" s="608">
        <f>+K46*tab!$D$61</f>
        <v>1107</v>
      </c>
      <c r="AC46" s="607"/>
      <c r="AD46" s="628">
        <v>0</v>
      </c>
      <c r="AE46" s="627">
        <f t="shared" si="3"/>
        <v>0</v>
      </c>
      <c r="AF46" s="609">
        <f t="shared" ref="AF46:AG61" si="9">AE46</f>
        <v>0</v>
      </c>
      <c r="AG46" s="609">
        <f t="shared" si="9"/>
        <v>0</v>
      </c>
      <c r="AH46" s="610"/>
      <c r="AI46" s="574"/>
      <c r="AJ46" s="668"/>
      <c r="AK46" s="668"/>
      <c r="AL46" s="668"/>
      <c r="AM46" s="668"/>
      <c r="AN46" s="668"/>
      <c r="AO46" s="668"/>
      <c r="AP46" s="668"/>
      <c r="AQ46" s="668"/>
      <c r="AR46" s="668"/>
      <c r="AS46" s="668"/>
      <c r="AT46" s="668"/>
      <c r="AU46" s="668"/>
      <c r="AV46" s="668"/>
      <c r="AW46" s="668"/>
      <c r="AX46" s="668"/>
      <c r="AY46" s="668"/>
      <c r="AZ46" s="668"/>
      <c r="BA46" s="668"/>
      <c r="BB46" s="668"/>
      <c r="BC46" s="668"/>
      <c r="BD46" s="668"/>
      <c r="BE46" s="668"/>
      <c r="BF46" s="668"/>
      <c r="BG46" s="668"/>
      <c r="BH46" s="668"/>
      <c r="BI46" s="668"/>
    </row>
    <row r="47" spans="1:61" s="534" customFormat="1" x14ac:dyDescent="0.2">
      <c r="A47" s="668"/>
      <c r="B47" s="573"/>
      <c r="C47" s="604"/>
      <c r="D47" s="605">
        <v>35</v>
      </c>
      <c r="E47" s="624" t="s">
        <v>499</v>
      </c>
      <c r="F47" s="625" t="s">
        <v>465</v>
      </c>
      <c r="G47" s="626">
        <v>150</v>
      </c>
      <c r="H47" s="626">
        <f t="shared" si="7"/>
        <v>150</v>
      </c>
      <c r="I47" s="626">
        <f t="shared" si="7"/>
        <v>150</v>
      </c>
      <c r="J47" s="606">
        <f t="shared" si="7"/>
        <v>150</v>
      </c>
      <c r="K47" s="606">
        <f t="shared" si="7"/>
        <v>150</v>
      </c>
      <c r="L47" s="607"/>
      <c r="M47" s="629">
        <f>ROUND(G47*tab!C$42,0)</f>
        <v>22274</v>
      </c>
      <c r="N47" s="629">
        <f>ROUND(H47*tab!$D$42,0)</f>
        <v>22332</v>
      </c>
      <c r="O47" s="608">
        <f>ROUND(I47*tab!$D$42,0)</f>
        <v>22332</v>
      </c>
      <c r="P47" s="608">
        <f>ROUND(J47*tab!$D$42,0)</f>
        <v>22332</v>
      </c>
      <c r="Q47" s="608">
        <f>ROUND(K47*tab!$D$42,0)</f>
        <v>22332</v>
      </c>
      <c r="R47" s="607"/>
      <c r="S47" s="627">
        <v>0</v>
      </c>
      <c r="T47" s="627">
        <f t="shared" si="8"/>
        <v>0</v>
      </c>
      <c r="U47" s="609">
        <f t="shared" si="8"/>
        <v>0</v>
      </c>
      <c r="V47" s="609">
        <f t="shared" si="8"/>
        <v>0</v>
      </c>
      <c r="W47" s="609">
        <f t="shared" si="8"/>
        <v>0</v>
      </c>
      <c r="X47" s="607"/>
      <c r="Y47" s="629">
        <f>+H47*tab!$D$61</f>
        <v>1107</v>
      </c>
      <c r="Z47" s="629">
        <f>+I47*tab!$E$61*7/12</f>
        <v>654.5</v>
      </c>
      <c r="AA47" s="608">
        <f>+J47*tab!$D$61</f>
        <v>1107</v>
      </c>
      <c r="AB47" s="608">
        <f>+K47*tab!$D$61</f>
        <v>1107</v>
      </c>
      <c r="AC47" s="607"/>
      <c r="AD47" s="628">
        <v>0</v>
      </c>
      <c r="AE47" s="627">
        <f t="shared" si="3"/>
        <v>0</v>
      </c>
      <c r="AF47" s="609">
        <f t="shared" si="9"/>
        <v>0</v>
      </c>
      <c r="AG47" s="609">
        <f t="shared" si="9"/>
        <v>0</v>
      </c>
      <c r="AH47" s="610"/>
      <c r="AI47" s="574"/>
      <c r="AJ47" s="668"/>
      <c r="AK47" s="668"/>
      <c r="AL47" s="668"/>
      <c r="AM47" s="668"/>
      <c r="AN47" s="668"/>
      <c r="AO47" s="668"/>
      <c r="AP47" s="668"/>
      <c r="AQ47" s="668"/>
      <c r="AR47" s="668"/>
      <c r="AS47" s="668"/>
      <c r="AT47" s="668"/>
      <c r="AU47" s="668"/>
      <c r="AV47" s="668"/>
      <c r="AW47" s="668"/>
      <c r="AX47" s="668"/>
      <c r="AY47" s="668"/>
      <c r="AZ47" s="668"/>
      <c r="BA47" s="668"/>
      <c r="BB47" s="668"/>
      <c r="BC47" s="668"/>
      <c r="BD47" s="668"/>
      <c r="BE47" s="668"/>
      <c r="BF47" s="668"/>
      <c r="BG47" s="668"/>
      <c r="BH47" s="668"/>
      <c r="BI47" s="668"/>
    </row>
    <row r="48" spans="1:61" s="534" customFormat="1" x14ac:dyDescent="0.2">
      <c r="A48" s="668"/>
      <c r="B48" s="573"/>
      <c r="C48" s="604"/>
      <c r="D48" s="605">
        <v>36</v>
      </c>
      <c r="E48" s="624" t="s">
        <v>500</v>
      </c>
      <c r="F48" s="625" t="s">
        <v>465</v>
      </c>
      <c r="G48" s="626">
        <v>150</v>
      </c>
      <c r="H48" s="626">
        <f t="shared" si="7"/>
        <v>150</v>
      </c>
      <c r="I48" s="626">
        <f t="shared" si="7"/>
        <v>150</v>
      </c>
      <c r="J48" s="606">
        <f t="shared" si="7"/>
        <v>150</v>
      </c>
      <c r="K48" s="606">
        <f t="shared" si="7"/>
        <v>150</v>
      </c>
      <c r="L48" s="607"/>
      <c r="M48" s="629">
        <f>ROUND(G48*tab!C$42,0)</f>
        <v>22274</v>
      </c>
      <c r="N48" s="629">
        <f>ROUND(H48*tab!$D$42,0)</f>
        <v>22332</v>
      </c>
      <c r="O48" s="608">
        <f>ROUND(I48*tab!$D$42,0)</f>
        <v>22332</v>
      </c>
      <c r="P48" s="608">
        <f>ROUND(J48*tab!$D$42,0)</f>
        <v>22332</v>
      </c>
      <c r="Q48" s="608">
        <f>ROUND(K48*tab!$D$42,0)</f>
        <v>22332</v>
      </c>
      <c r="R48" s="607"/>
      <c r="S48" s="627">
        <v>0</v>
      </c>
      <c r="T48" s="627">
        <f t="shared" si="8"/>
        <v>0</v>
      </c>
      <c r="U48" s="609">
        <f t="shared" si="8"/>
        <v>0</v>
      </c>
      <c r="V48" s="609">
        <f t="shared" si="8"/>
        <v>0</v>
      </c>
      <c r="W48" s="609">
        <f t="shared" si="8"/>
        <v>0</v>
      </c>
      <c r="X48" s="607"/>
      <c r="Y48" s="629">
        <f>+H48*tab!$D$61</f>
        <v>1107</v>
      </c>
      <c r="Z48" s="629">
        <f>+I48*tab!$E$61*7/12</f>
        <v>654.5</v>
      </c>
      <c r="AA48" s="608">
        <f>+J48*tab!$D$61</f>
        <v>1107</v>
      </c>
      <c r="AB48" s="608">
        <f>+K48*tab!$D$61</f>
        <v>1107</v>
      </c>
      <c r="AC48" s="607"/>
      <c r="AD48" s="628">
        <v>0</v>
      </c>
      <c r="AE48" s="627">
        <f t="shared" si="3"/>
        <v>0</v>
      </c>
      <c r="AF48" s="609">
        <f t="shared" si="9"/>
        <v>0</v>
      </c>
      <c r="AG48" s="609">
        <f t="shared" si="9"/>
        <v>0</v>
      </c>
      <c r="AH48" s="610"/>
      <c r="AI48" s="574"/>
      <c r="AJ48" s="668"/>
      <c r="AK48" s="668"/>
      <c r="AL48" s="668"/>
      <c r="AM48" s="668"/>
      <c r="AN48" s="668"/>
      <c r="AO48" s="668"/>
      <c r="AP48" s="668"/>
      <c r="AQ48" s="668"/>
      <c r="AR48" s="668"/>
      <c r="AS48" s="668"/>
      <c r="AT48" s="668"/>
      <c r="AU48" s="668"/>
      <c r="AV48" s="668"/>
      <c r="AW48" s="668"/>
      <c r="AX48" s="668"/>
      <c r="AY48" s="668"/>
      <c r="AZ48" s="668"/>
      <c r="BA48" s="668"/>
      <c r="BB48" s="668"/>
      <c r="BC48" s="668"/>
      <c r="BD48" s="668"/>
      <c r="BE48" s="668"/>
      <c r="BF48" s="668"/>
      <c r="BG48" s="668"/>
      <c r="BH48" s="668"/>
      <c r="BI48" s="668"/>
    </row>
    <row r="49" spans="1:61" s="534" customFormat="1" x14ac:dyDescent="0.2">
      <c r="A49" s="668"/>
      <c r="B49" s="573"/>
      <c r="C49" s="604"/>
      <c r="D49" s="605">
        <v>37</v>
      </c>
      <c r="E49" s="624" t="s">
        <v>501</v>
      </c>
      <c r="F49" s="625" t="s">
        <v>465</v>
      </c>
      <c r="G49" s="626">
        <v>150</v>
      </c>
      <c r="H49" s="626">
        <f t="shared" si="7"/>
        <v>150</v>
      </c>
      <c r="I49" s="626">
        <f t="shared" si="7"/>
        <v>150</v>
      </c>
      <c r="J49" s="606">
        <f t="shared" si="7"/>
        <v>150</v>
      </c>
      <c r="K49" s="606">
        <f t="shared" si="7"/>
        <v>150</v>
      </c>
      <c r="L49" s="607"/>
      <c r="M49" s="629">
        <f>ROUND(G49*tab!C$42,0)</f>
        <v>22274</v>
      </c>
      <c r="N49" s="629">
        <f>ROUND(H49*tab!$D$42,0)</f>
        <v>22332</v>
      </c>
      <c r="O49" s="608">
        <f>ROUND(I49*tab!$D$42,0)</f>
        <v>22332</v>
      </c>
      <c r="P49" s="608">
        <f>ROUND(J49*tab!$D$42,0)</f>
        <v>22332</v>
      </c>
      <c r="Q49" s="608">
        <f>ROUND(K49*tab!$D$42,0)</f>
        <v>22332</v>
      </c>
      <c r="R49" s="607"/>
      <c r="S49" s="627">
        <v>0</v>
      </c>
      <c r="T49" s="627">
        <f t="shared" si="8"/>
        <v>0</v>
      </c>
      <c r="U49" s="609">
        <f t="shared" si="8"/>
        <v>0</v>
      </c>
      <c r="V49" s="609">
        <f t="shared" si="8"/>
        <v>0</v>
      </c>
      <c r="W49" s="609">
        <f t="shared" si="8"/>
        <v>0</v>
      </c>
      <c r="X49" s="607"/>
      <c r="Y49" s="629">
        <f>+H49*tab!$D$61</f>
        <v>1107</v>
      </c>
      <c r="Z49" s="629">
        <f>+I49*tab!$E$61*7/12</f>
        <v>654.5</v>
      </c>
      <c r="AA49" s="608">
        <f>+J49*tab!$D$61</f>
        <v>1107</v>
      </c>
      <c r="AB49" s="608">
        <f>+K49*tab!$D$61</f>
        <v>1107</v>
      </c>
      <c r="AC49" s="607"/>
      <c r="AD49" s="628">
        <v>0</v>
      </c>
      <c r="AE49" s="627">
        <f t="shared" si="3"/>
        <v>0</v>
      </c>
      <c r="AF49" s="609">
        <f t="shared" si="9"/>
        <v>0</v>
      </c>
      <c r="AG49" s="609">
        <f t="shared" si="9"/>
        <v>0</v>
      </c>
      <c r="AH49" s="610"/>
      <c r="AI49" s="574"/>
      <c r="AJ49" s="668"/>
      <c r="AK49" s="668"/>
      <c r="AL49" s="668"/>
      <c r="AM49" s="668"/>
      <c r="AN49" s="668"/>
      <c r="AO49" s="668"/>
      <c r="AP49" s="668"/>
      <c r="AQ49" s="668"/>
      <c r="AR49" s="668"/>
      <c r="AS49" s="668"/>
      <c r="AT49" s="668"/>
      <c r="AU49" s="668"/>
      <c r="AV49" s="668"/>
      <c r="AW49" s="668"/>
      <c r="AX49" s="668"/>
      <c r="AY49" s="668"/>
      <c r="AZ49" s="668"/>
      <c r="BA49" s="668"/>
      <c r="BB49" s="668"/>
      <c r="BC49" s="668"/>
      <c r="BD49" s="668"/>
      <c r="BE49" s="668"/>
      <c r="BF49" s="668"/>
      <c r="BG49" s="668"/>
      <c r="BH49" s="668"/>
      <c r="BI49" s="668"/>
    </row>
    <row r="50" spans="1:61" s="534" customFormat="1" x14ac:dyDescent="0.2">
      <c r="A50" s="668"/>
      <c r="B50" s="573"/>
      <c r="C50" s="604"/>
      <c r="D50" s="605">
        <v>38</v>
      </c>
      <c r="E50" s="624" t="s">
        <v>502</v>
      </c>
      <c r="F50" s="625" t="s">
        <v>465</v>
      </c>
      <c r="G50" s="626">
        <v>150</v>
      </c>
      <c r="H50" s="626">
        <f t="shared" si="7"/>
        <v>150</v>
      </c>
      <c r="I50" s="626">
        <f t="shared" si="7"/>
        <v>150</v>
      </c>
      <c r="J50" s="606">
        <f t="shared" si="7"/>
        <v>150</v>
      </c>
      <c r="K50" s="606">
        <f t="shared" si="7"/>
        <v>150</v>
      </c>
      <c r="L50" s="607"/>
      <c r="M50" s="629">
        <f>ROUND(G50*tab!C$42,0)</f>
        <v>22274</v>
      </c>
      <c r="N50" s="629">
        <f>ROUND(H50*tab!$D$42,0)</f>
        <v>22332</v>
      </c>
      <c r="O50" s="608">
        <f>ROUND(I50*tab!$D$42,0)</f>
        <v>22332</v>
      </c>
      <c r="P50" s="608">
        <f>ROUND(J50*tab!$D$42,0)</f>
        <v>22332</v>
      </c>
      <c r="Q50" s="608">
        <f>ROUND(K50*tab!$D$42,0)</f>
        <v>22332</v>
      </c>
      <c r="R50" s="607"/>
      <c r="S50" s="627">
        <v>0</v>
      </c>
      <c r="T50" s="627">
        <f t="shared" si="8"/>
        <v>0</v>
      </c>
      <c r="U50" s="609">
        <f t="shared" si="8"/>
        <v>0</v>
      </c>
      <c r="V50" s="609">
        <f t="shared" si="8"/>
        <v>0</v>
      </c>
      <c r="W50" s="609">
        <f t="shared" si="8"/>
        <v>0</v>
      </c>
      <c r="X50" s="607"/>
      <c r="Y50" s="629">
        <f>+H50*tab!$D$61</f>
        <v>1107</v>
      </c>
      <c r="Z50" s="629">
        <f>+I50*tab!$E$61*7/12</f>
        <v>654.5</v>
      </c>
      <c r="AA50" s="608">
        <f>+J50*tab!$D$61</f>
        <v>1107</v>
      </c>
      <c r="AB50" s="608">
        <f>+K50*tab!$D$61</f>
        <v>1107</v>
      </c>
      <c r="AC50" s="607"/>
      <c r="AD50" s="628">
        <v>0</v>
      </c>
      <c r="AE50" s="627">
        <f t="shared" si="3"/>
        <v>0</v>
      </c>
      <c r="AF50" s="609">
        <f t="shared" si="9"/>
        <v>0</v>
      </c>
      <c r="AG50" s="609">
        <f t="shared" si="9"/>
        <v>0</v>
      </c>
      <c r="AH50" s="610"/>
      <c r="AI50" s="574"/>
      <c r="AJ50" s="668"/>
      <c r="AK50" s="668"/>
      <c r="AL50" s="668"/>
      <c r="AM50" s="668"/>
      <c r="AN50" s="668"/>
      <c r="AO50" s="668"/>
      <c r="AP50" s="668"/>
      <c r="AQ50" s="668"/>
      <c r="AR50" s="668"/>
      <c r="AS50" s="668"/>
      <c r="AT50" s="668"/>
      <c r="AU50" s="668"/>
      <c r="AV50" s="668"/>
      <c r="AW50" s="668"/>
      <c r="AX50" s="668"/>
      <c r="AY50" s="668"/>
      <c r="AZ50" s="668"/>
      <c r="BA50" s="668"/>
      <c r="BB50" s="668"/>
      <c r="BC50" s="668"/>
      <c r="BD50" s="668"/>
      <c r="BE50" s="668"/>
      <c r="BF50" s="668"/>
      <c r="BG50" s="668"/>
      <c r="BH50" s="668"/>
      <c r="BI50" s="668"/>
    </row>
    <row r="51" spans="1:61" s="534" customFormat="1" x14ac:dyDescent="0.2">
      <c r="A51" s="668"/>
      <c r="B51" s="573"/>
      <c r="C51" s="604"/>
      <c r="D51" s="605">
        <v>39</v>
      </c>
      <c r="E51" s="624" t="s">
        <v>503</v>
      </c>
      <c r="F51" s="625" t="s">
        <v>465</v>
      </c>
      <c r="G51" s="626">
        <v>150</v>
      </c>
      <c r="H51" s="626">
        <f t="shared" si="7"/>
        <v>150</v>
      </c>
      <c r="I51" s="626">
        <f t="shared" si="7"/>
        <v>150</v>
      </c>
      <c r="J51" s="606">
        <f t="shared" si="7"/>
        <v>150</v>
      </c>
      <c r="K51" s="606">
        <f t="shared" si="7"/>
        <v>150</v>
      </c>
      <c r="L51" s="607"/>
      <c r="M51" s="629">
        <f>ROUND(G51*tab!C$42,0)</f>
        <v>22274</v>
      </c>
      <c r="N51" s="629">
        <f>ROUND(H51*tab!$D$42,0)</f>
        <v>22332</v>
      </c>
      <c r="O51" s="608">
        <f>ROUND(I51*tab!$D$42,0)</f>
        <v>22332</v>
      </c>
      <c r="P51" s="608">
        <f>ROUND(J51*tab!$D$42,0)</f>
        <v>22332</v>
      </c>
      <c r="Q51" s="608">
        <f>ROUND(K51*tab!$D$42,0)</f>
        <v>22332</v>
      </c>
      <c r="R51" s="607"/>
      <c r="S51" s="627">
        <v>0</v>
      </c>
      <c r="T51" s="627">
        <f t="shared" si="8"/>
        <v>0</v>
      </c>
      <c r="U51" s="609">
        <f t="shared" si="8"/>
        <v>0</v>
      </c>
      <c r="V51" s="609">
        <f t="shared" si="8"/>
        <v>0</v>
      </c>
      <c r="W51" s="609">
        <f t="shared" si="8"/>
        <v>0</v>
      </c>
      <c r="X51" s="607"/>
      <c r="Y51" s="629">
        <f>+H51*tab!$D$61</f>
        <v>1107</v>
      </c>
      <c r="Z51" s="629">
        <f>+I51*tab!$E$61*7/12</f>
        <v>654.5</v>
      </c>
      <c r="AA51" s="608">
        <f>+J51*tab!$D$61</f>
        <v>1107</v>
      </c>
      <c r="AB51" s="608">
        <f>+K51*tab!$D$61</f>
        <v>1107</v>
      </c>
      <c r="AC51" s="607"/>
      <c r="AD51" s="628">
        <v>0</v>
      </c>
      <c r="AE51" s="627">
        <f t="shared" si="3"/>
        <v>0</v>
      </c>
      <c r="AF51" s="609">
        <f t="shared" si="9"/>
        <v>0</v>
      </c>
      <c r="AG51" s="609">
        <f t="shared" si="9"/>
        <v>0</v>
      </c>
      <c r="AH51" s="610"/>
      <c r="AI51" s="574"/>
      <c r="AJ51" s="668"/>
      <c r="AK51" s="668"/>
      <c r="AL51" s="668"/>
      <c r="AM51" s="668"/>
      <c r="AN51" s="668"/>
      <c r="AO51" s="668"/>
      <c r="AP51" s="668"/>
      <c r="AQ51" s="668"/>
      <c r="AR51" s="668"/>
      <c r="AS51" s="668"/>
      <c r="AT51" s="668"/>
      <c r="AU51" s="668"/>
      <c r="AV51" s="668"/>
      <c r="AW51" s="668"/>
      <c r="AX51" s="668"/>
      <c r="AY51" s="668"/>
      <c r="AZ51" s="668"/>
      <c r="BA51" s="668"/>
      <c r="BB51" s="668"/>
      <c r="BC51" s="668"/>
      <c r="BD51" s="668"/>
      <c r="BE51" s="668"/>
      <c r="BF51" s="668"/>
      <c r="BG51" s="668"/>
      <c r="BH51" s="668"/>
      <c r="BI51" s="668"/>
    </row>
    <row r="52" spans="1:61" s="534" customFormat="1" x14ac:dyDescent="0.2">
      <c r="A52" s="668"/>
      <c r="B52" s="573"/>
      <c r="C52" s="604"/>
      <c r="D52" s="605">
        <v>40</v>
      </c>
      <c r="E52" s="624" t="s">
        <v>504</v>
      </c>
      <c r="F52" s="625" t="s">
        <v>465</v>
      </c>
      <c r="G52" s="626">
        <v>150</v>
      </c>
      <c r="H52" s="626">
        <f t="shared" si="7"/>
        <v>150</v>
      </c>
      <c r="I52" s="626">
        <f t="shared" si="7"/>
        <v>150</v>
      </c>
      <c r="J52" s="606">
        <f t="shared" si="7"/>
        <v>150</v>
      </c>
      <c r="K52" s="606">
        <f t="shared" si="7"/>
        <v>150</v>
      </c>
      <c r="L52" s="607"/>
      <c r="M52" s="629">
        <f>ROUND(G52*tab!C$42,0)</f>
        <v>22274</v>
      </c>
      <c r="N52" s="629">
        <f>ROUND(H52*tab!$D$42,0)</f>
        <v>22332</v>
      </c>
      <c r="O52" s="608">
        <f>ROUND(I52*tab!$D$42,0)</f>
        <v>22332</v>
      </c>
      <c r="P52" s="608">
        <f>ROUND(J52*tab!$D$42,0)</f>
        <v>22332</v>
      </c>
      <c r="Q52" s="608">
        <f>ROUND(K52*tab!$D$42,0)</f>
        <v>22332</v>
      </c>
      <c r="R52" s="607"/>
      <c r="S52" s="627">
        <v>0</v>
      </c>
      <c r="T52" s="627">
        <f t="shared" si="8"/>
        <v>0</v>
      </c>
      <c r="U52" s="609">
        <f t="shared" si="8"/>
        <v>0</v>
      </c>
      <c r="V52" s="609">
        <f t="shared" si="8"/>
        <v>0</v>
      </c>
      <c r="W52" s="609">
        <f t="shared" si="8"/>
        <v>0</v>
      </c>
      <c r="X52" s="607"/>
      <c r="Y52" s="629">
        <f>+H52*tab!$D$61</f>
        <v>1107</v>
      </c>
      <c r="Z52" s="629">
        <f>+I52*tab!$E$61*7/12</f>
        <v>654.5</v>
      </c>
      <c r="AA52" s="608">
        <f>+J52*tab!$D$61</f>
        <v>1107</v>
      </c>
      <c r="AB52" s="608">
        <f>+K52*tab!$D$61</f>
        <v>1107</v>
      </c>
      <c r="AC52" s="607"/>
      <c r="AD52" s="628">
        <v>0</v>
      </c>
      <c r="AE52" s="627">
        <f t="shared" si="3"/>
        <v>0</v>
      </c>
      <c r="AF52" s="609">
        <f t="shared" si="9"/>
        <v>0</v>
      </c>
      <c r="AG52" s="609">
        <f t="shared" si="9"/>
        <v>0</v>
      </c>
      <c r="AH52" s="610"/>
      <c r="AI52" s="574"/>
      <c r="AJ52" s="668"/>
      <c r="AK52" s="668"/>
      <c r="AL52" s="668"/>
      <c r="AM52" s="668"/>
      <c r="AN52" s="668"/>
      <c r="AO52" s="668"/>
      <c r="AP52" s="668"/>
      <c r="AQ52" s="668"/>
      <c r="AR52" s="668"/>
      <c r="AS52" s="668"/>
      <c r="AT52" s="668"/>
      <c r="AU52" s="668"/>
      <c r="AV52" s="668"/>
      <c r="AW52" s="668"/>
      <c r="AX52" s="668"/>
      <c r="AY52" s="668"/>
      <c r="AZ52" s="668"/>
      <c r="BA52" s="668"/>
      <c r="BB52" s="668"/>
      <c r="BC52" s="668"/>
      <c r="BD52" s="668"/>
      <c r="BE52" s="668"/>
      <c r="BF52" s="668"/>
      <c r="BG52" s="668"/>
      <c r="BH52" s="668"/>
      <c r="BI52" s="668"/>
    </row>
    <row r="53" spans="1:61" s="534" customFormat="1" x14ac:dyDescent="0.2">
      <c r="A53" s="668"/>
      <c r="B53" s="573"/>
      <c r="C53" s="604"/>
      <c r="D53" s="605">
        <v>41</v>
      </c>
      <c r="E53" s="624"/>
      <c r="F53" s="625"/>
      <c r="G53" s="626"/>
      <c r="H53" s="626">
        <f t="shared" si="7"/>
        <v>0</v>
      </c>
      <c r="I53" s="626">
        <f t="shared" si="7"/>
        <v>0</v>
      </c>
      <c r="J53" s="606">
        <f t="shared" si="7"/>
        <v>0</v>
      </c>
      <c r="K53" s="606">
        <f t="shared" si="7"/>
        <v>0</v>
      </c>
      <c r="L53" s="607"/>
      <c r="M53" s="629">
        <f>ROUND(G53*tab!C$42,0)</f>
        <v>0</v>
      </c>
      <c r="N53" s="629">
        <f>ROUND(H53*tab!$D$42,0)</f>
        <v>0</v>
      </c>
      <c r="O53" s="608">
        <f>ROUND(I53*tab!$D$42,0)</f>
        <v>0</v>
      </c>
      <c r="P53" s="608">
        <f>ROUND(J53*tab!$D$42,0)</f>
        <v>0</v>
      </c>
      <c r="Q53" s="608">
        <f>ROUND(K53*tab!$D$42,0)</f>
        <v>0</v>
      </c>
      <c r="R53" s="607"/>
      <c r="S53" s="627">
        <v>0</v>
      </c>
      <c r="T53" s="627">
        <f t="shared" si="8"/>
        <v>0</v>
      </c>
      <c r="U53" s="609">
        <f t="shared" si="8"/>
        <v>0</v>
      </c>
      <c r="V53" s="609">
        <f t="shared" si="8"/>
        <v>0</v>
      </c>
      <c r="W53" s="609">
        <f t="shared" si="8"/>
        <v>0</v>
      </c>
      <c r="X53" s="607"/>
      <c r="Y53" s="629">
        <f>+H53*tab!$D$61</f>
        <v>0</v>
      </c>
      <c r="Z53" s="629">
        <f>+I53*tab!$E$61*7/12</f>
        <v>0</v>
      </c>
      <c r="AA53" s="608">
        <f>+J53*tab!$D$61</f>
        <v>0</v>
      </c>
      <c r="AB53" s="608">
        <f>+K53*tab!$D$61</f>
        <v>0</v>
      </c>
      <c r="AC53" s="607"/>
      <c r="AD53" s="628">
        <v>0</v>
      </c>
      <c r="AE53" s="627">
        <f t="shared" si="3"/>
        <v>0</v>
      </c>
      <c r="AF53" s="609">
        <f t="shared" si="9"/>
        <v>0</v>
      </c>
      <c r="AG53" s="609">
        <f t="shared" si="9"/>
        <v>0</v>
      </c>
      <c r="AH53" s="610"/>
      <c r="AI53" s="574"/>
      <c r="AJ53" s="668"/>
      <c r="AK53" s="668"/>
      <c r="AL53" s="668"/>
      <c r="AM53" s="668"/>
      <c r="AN53" s="668"/>
      <c r="AO53" s="668"/>
      <c r="AP53" s="668"/>
      <c r="AQ53" s="668"/>
      <c r="AR53" s="668"/>
      <c r="AS53" s="668"/>
      <c r="AT53" s="668"/>
      <c r="AU53" s="668"/>
      <c r="AV53" s="668"/>
      <c r="AW53" s="668"/>
      <c r="AX53" s="668"/>
      <c r="AY53" s="668"/>
      <c r="AZ53" s="668"/>
      <c r="BA53" s="668"/>
      <c r="BB53" s="668"/>
      <c r="BC53" s="668"/>
      <c r="BD53" s="668"/>
      <c r="BE53" s="668"/>
      <c r="BF53" s="668"/>
      <c r="BG53" s="668"/>
      <c r="BH53" s="668"/>
      <c r="BI53" s="668"/>
    </row>
    <row r="54" spans="1:61" s="534" customFormat="1" x14ac:dyDescent="0.2">
      <c r="A54" s="668"/>
      <c r="B54" s="573"/>
      <c r="C54" s="604"/>
      <c r="D54" s="605">
        <v>42</v>
      </c>
      <c r="E54" s="624"/>
      <c r="F54" s="625"/>
      <c r="G54" s="626"/>
      <c r="H54" s="626">
        <f t="shared" si="7"/>
        <v>0</v>
      </c>
      <c r="I54" s="626">
        <f t="shared" si="7"/>
        <v>0</v>
      </c>
      <c r="J54" s="606">
        <f t="shared" si="7"/>
        <v>0</v>
      </c>
      <c r="K54" s="606">
        <f t="shared" si="7"/>
        <v>0</v>
      </c>
      <c r="L54" s="607"/>
      <c r="M54" s="629">
        <f>ROUND(G54*tab!C$42,0)</f>
        <v>0</v>
      </c>
      <c r="N54" s="629">
        <f>ROUND(H54*tab!$D$42,0)</f>
        <v>0</v>
      </c>
      <c r="O54" s="608">
        <f>ROUND(I54*tab!$D$42,0)</f>
        <v>0</v>
      </c>
      <c r="P54" s="608">
        <f>ROUND(J54*tab!$D$42,0)</f>
        <v>0</v>
      </c>
      <c r="Q54" s="608">
        <f>ROUND(K54*tab!$D$42,0)</f>
        <v>0</v>
      </c>
      <c r="R54" s="607"/>
      <c r="S54" s="627">
        <v>0</v>
      </c>
      <c r="T54" s="627">
        <f t="shared" si="8"/>
        <v>0</v>
      </c>
      <c r="U54" s="609">
        <f t="shared" si="8"/>
        <v>0</v>
      </c>
      <c r="V54" s="609">
        <f t="shared" si="8"/>
        <v>0</v>
      </c>
      <c r="W54" s="609">
        <f t="shared" si="8"/>
        <v>0</v>
      </c>
      <c r="X54" s="607"/>
      <c r="Y54" s="629">
        <f>+H54*tab!$D$61</f>
        <v>0</v>
      </c>
      <c r="Z54" s="629">
        <f>+I54*tab!$E$61*7/12</f>
        <v>0</v>
      </c>
      <c r="AA54" s="608">
        <f>+J54*tab!$D$61</f>
        <v>0</v>
      </c>
      <c r="AB54" s="608">
        <f>+K54*tab!$D$61</f>
        <v>0</v>
      </c>
      <c r="AC54" s="607"/>
      <c r="AD54" s="628">
        <v>0</v>
      </c>
      <c r="AE54" s="627">
        <f t="shared" si="3"/>
        <v>0</v>
      </c>
      <c r="AF54" s="609">
        <f t="shared" si="9"/>
        <v>0</v>
      </c>
      <c r="AG54" s="609">
        <f t="shared" si="9"/>
        <v>0</v>
      </c>
      <c r="AH54" s="610"/>
      <c r="AI54" s="574"/>
      <c r="AJ54" s="668"/>
      <c r="AK54" s="668"/>
      <c r="AL54" s="668"/>
      <c r="AM54" s="668"/>
      <c r="AN54" s="668"/>
      <c r="AO54" s="668"/>
      <c r="AP54" s="668"/>
      <c r="AQ54" s="668"/>
      <c r="AR54" s="668"/>
      <c r="AS54" s="668"/>
      <c r="AT54" s="668"/>
      <c r="AU54" s="668"/>
      <c r="AV54" s="668"/>
      <c r="AW54" s="668"/>
      <c r="AX54" s="668"/>
      <c r="AY54" s="668"/>
      <c r="AZ54" s="668"/>
      <c r="BA54" s="668"/>
      <c r="BB54" s="668"/>
      <c r="BC54" s="668"/>
      <c r="BD54" s="668"/>
      <c r="BE54" s="668"/>
      <c r="BF54" s="668"/>
      <c r="BG54" s="668"/>
      <c r="BH54" s="668"/>
      <c r="BI54" s="668"/>
    </row>
    <row r="55" spans="1:61" s="534" customFormat="1" x14ac:dyDescent="0.2">
      <c r="A55" s="668"/>
      <c r="B55" s="573"/>
      <c r="C55" s="604"/>
      <c r="D55" s="605">
        <v>43</v>
      </c>
      <c r="E55" s="624"/>
      <c r="F55" s="625"/>
      <c r="G55" s="626"/>
      <c r="H55" s="626">
        <f t="shared" si="7"/>
        <v>0</v>
      </c>
      <c r="I55" s="626">
        <f t="shared" si="7"/>
        <v>0</v>
      </c>
      <c r="J55" s="606">
        <f t="shared" si="7"/>
        <v>0</v>
      </c>
      <c r="K55" s="606">
        <f t="shared" si="7"/>
        <v>0</v>
      </c>
      <c r="L55" s="607"/>
      <c r="M55" s="629">
        <f>ROUND(G55*tab!C$42,0)</f>
        <v>0</v>
      </c>
      <c r="N55" s="629">
        <f>ROUND(H55*tab!$D$42,0)</f>
        <v>0</v>
      </c>
      <c r="O55" s="608">
        <f>ROUND(I55*tab!$D$42,0)</f>
        <v>0</v>
      </c>
      <c r="P55" s="608">
        <f>ROUND(J55*tab!$D$42,0)</f>
        <v>0</v>
      </c>
      <c r="Q55" s="608">
        <f>ROUND(K55*tab!$D$42,0)</f>
        <v>0</v>
      </c>
      <c r="R55" s="607"/>
      <c r="S55" s="627">
        <v>0</v>
      </c>
      <c r="T55" s="627">
        <f t="shared" si="8"/>
        <v>0</v>
      </c>
      <c r="U55" s="609">
        <f t="shared" si="8"/>
        <v>0</v>
      </c>
      <c r="V55" s="609">
        <f t="shared" si="8"/>
        <v>0</v>
      </c>
      <c r="W55" s="609">
        <f t="shared" si="8"/>
        <v>0</v>
      </c>
      <c r="X55" s="607"/>
      <c r="Y55" s="629">
        <f>+H55*tab!$D$61</f>
        <v>0</v>
      </c>
      <c r="Z55" s="629">
        <f>+I55*tab!$E$61*7/12</f>
        <v>0</v>
      </c>
      <c r="AA55" s="608">
        <f>+J55*tab!$D$61</f>
        <v>0</v>
      </c>
      <c r="AB55" s="608">
        <f>+K55*tab!$D$61</f>
        <v>0</v>
      </c>
      <c r="AC55" s="607"/>
      <c r="AD55" s="628">
        <v>0</v>
      </c>
      <c r="AE55" s="627">
        <f t="shared" si="3"/>
        <v>0</v>
      </c>
      <c r="AF55" s="609">
        <f t="shared" si="9"/>
        <v>0</v>
      </c>
      <c r="AG55" s="609">
        <f t="shared" si="9"/>
        <v>0</v>
      </c>
      <c r="AH55" s="610"/>
      <c r="AI55" s="574"/>
      <c r="AJ55" s="668"/>
      <c r="AK55" s="668"/>
      <c r="AL55" s="668"/>
      <c r="AM55" s="668"/>
      <c r="AN55" s="668"/>
      <c r="AO55" s="668"/>
      <c r="AP55" s="668"/>
      <c r="AQ55" s="668"/>
      <c r="AR55" s="668"/>
      <c r="AS55" s="668"/>
      <c r="AT55" s="668"/>
      <c r="AU55" s="668"/>
      <c r="AV55" s="668"/>
      <c r="AW55" s="668"/>
      <c r="AX55" s="668"/>
      <c r="AY55" s="668"/>
      <c r="AZ55" s="668"/>
      <c r="BA55" s="668"/>
      <c r="BB55" s="668"/>
      <c r="BC55" s="668"/>
      <c r="BD55" s="668"/>
      <c r="BE55" s="668"/>
      <c r="BF55" s="668"/>
      <c r="BG55" s="668"/>
      <c r="BH55" s="668"/>
      <c r="BI55" s="668"/>
    </row>
    <row r="56" spans="1:61" s="534" customFormat="1" x14ac:dyDescent="0.2">
      <c r="A56" s="668"/>
      <c r="B56" s="573"/>
      <c r="C56" s="604"/>
      <c r="D56" s="605">
        <v>44</v>
      </c>
      <c r="E56" s="624"/>
      <c r="F56" s="625"/>
      <c r="G56" s="626"/>
      <c r="H56" s="626">
        <f t="shared" si="7"/>
        <v>0</v>
      </c>
      <c r="I56" s="626">
        <f t="shared" si="7"/>
        <v>0</v>
      </c>
      <c r="J56" s="606">
        <f t="shared" si="7"/>
        <v>0</v>
      </c>
      <c r="K56" s="606">
        <f t="shared" si="7"/>
        <v>0</v>
      </c>
      <c r="L56" s="607"/>
      <c r="M56" s="629">
        <f>ROUND(G56*tab!C$42,0)</f>
        <v>0</v>
      </c>
      <c r="N56" s="629">
        <f>ROUND(H56*tab!$D$42,0)</f>
        <v>0</v>
      </c>
      <c r="O56" s="608">
        <f>ROUND(I56*tab!$D$42,0)</f>
        <v>0</v>
      </c>
      <c r="P56" s="608">
        <f>ROUND(J56*tab!$D$42,0)</f>
        <v>0</v>
      </c>
      <c r="Q56" s="608">
        <f>ROUND(K56*tab!$D$42,0)</f>
        <v>0</v>
      </c>
      <c r="R56" s="607"/>
      <c r="S56" s="627">
        <v>0</v>
      </c>
      <c r="T56" s="627">
        <f t="shared" si="8"/>
        <v>0</v>
      </c>
      <c r="U56" s="609">
        <f t="shared" si="8"/>
        <v>0</v>
      </c>
      <c r="V56" s="609">
        <f t="shared" si="8"/>
        <v>0</v>
      </c>
      <c r="W56" s="609">
        <f t="shared" si="8"/>
        <v>0</v>
      </c>
      <c r="X56" s="607"/>
      <c r="Y56" s="629">
        <f>+H56*tab!$D$61</f>
        <v>0</v>
      </c>
      <c r="Z56" s="629">
        <f>+I56*tab!$E$61*7/12</f>
        <v>0</v>
      </c>
      <c r="AA56" s="608">
        <f>+J56*tab!$D$61</f>
        <v>0</v>
      </c>
      <c r="AB56" s="608">
        <f>+K56*tab!$D$61</f>
        <v>0</v>
      </c>
      <c r="AC56" s="607"/>
      <c r="AD56" s="628">
        <v>0</v>
      </c>
      <c r="AE56" s="627">
        <f t="shared" si="3"/>
        <v>0</v>
      </c>
      <c r="AF56" s="609">
        <f t="shared" si="9"/>
        <v>0</v>
      </c>
      <c r="AG56" s="609">
        <f t="shared" si="9"/>
        <v>0</v>
      </c>
      <c r="AH56" s="610"/>
      <c r="AI56" s="574"/>
      <c r="AJ56" s="668"/>
      <c r="AK56" s="668"/>
      <c r="AL56" s="668"/>
      <c r="AM56" s="668"/>
      <c r="AN56" s="668"/>
      <c r="AO56" s="668"/>
      <c r="AP56" s="668"/>
      <c r="AQ56" s="668"/>
      <c r="AR56" s="668"/>
      <c r="AS56" s="668"/>
      <c r="AT56" s="668"/>
      <c r="AU56" s="668"/>
      <c r="AV56" s="668"/>
      <c r="AW56" s="668"/>
      <c r="AX56" s="668"/>
      <c r="AY56" s="668"/>
      <c r="AZ56" s="668"/>
      <c r="BA56" s="668"/>
      <c r="BB56" s="668"/>
      <c r="BC56" s="668"/>
      <c r="BD56" s="668"/>
      <c r="BE56" s="668"/>
      <c r="BF56" s="668"/>
      <c r="BG56" s="668"/>
      <c r="BH56" s="668"/>
      <c r="BI56" s="668"/>
    </row>
    <row r="57" spans="1:61" s="534" customFormat="1" x14ac:dyDescent="0.2">
      <c r="A57" s="668"/>
      <c r="B57" s="573"/>
      <c r="C57" s="604"/>
      <c r="D57" s="605">
        <v>45</v>
      </c>
      <c r="E57" s="624"/>
      <c r="F57" s="625"/>
      <c r="G57" s="626"/>
      <c r="H57" s="626">
        <f t="shared" si="7"/>
        <v>0</v>
      </c>
      <c r="I57" s="626">
        <f t="shared" si="7"/>
        <v>0</v>
      </c>
      <c r="J57" s="606">
        <f t="shared" si="7"/>
        <v>0</v>
      </c>
      <c r="K57" s="606">
        <f t="shared" si="7"/>
        <v>0</v>
      </c>
      <c r="L57" s="607"/>
      <c r="M57" s="629">
        <f>ROUND(G57*tab!C$42,0)</f>
        <v>0</v>
      </c>
      <c r="N57" s="629">
        <f>ROUND(H57*tab!$D$42,0)</f>
        <v>0</v>
      </c>
      <c r="O57" s="608">
        <f>ROUND(I57*tab!$D$42,0)</f>
        <v>0</v>
      </c>
      <c r="P57" s="608">
        <f>ROUND(J57*tab!$D$42,0)</f>
        <v>0</v>
      </c>
      <c r="Q57" s="608">
        <f>ROUND(K57*tab!$D$42,0)</f>
        <v>0</v>
      </c>
      <c r="R57" s="607"/>
      <c r="S57" s="627">
        <v>0</v>
      </c>
      <c r="T57" s="627">
        <f t="shared" si="8"/>
        <v>0</v>
      </c>
      <c r="U57" s="609">
        <f t="shared" si="8"/>
        <v>0</v>
      </c>
      <c r="V57" s="609">
        <f t="shared" si="8"/>
        <v>0</v>
      </c>
      <c r="W57" s="609">
        <f t="shared" si="8"/>
        <v>0</v>
      </c>
      <c r="X57" s="607"/>
      <c r="Y57" s="629">
        <f>+H57*tab!$D$61</f>
        <v>0</v>
      </c>
      <c r="Z57" s="629">
        <f>+I57*tab!$E$61*7/12</f>
        <v>0</v>
      </c>
      <c r="AA57" s="608">
        <f>+J57*tab!$D$61</f>
        <v>0</v>
      </c>
      <c r="AB57" s="608">
        <f>+K57*tab!$D$61</f>
        <v>0</v>
      </c>
      <c r="AC57" s="607"/>
      <c r="AD57" s="628">
        <v>0</v>
      </c>
      <c r="AE57" s="627">
        <f t="shared" si="3"/>
        <v>0</v>
      </c>
      <c r="AF57" s="609">
        <f t="shared" si="9"/>
        <v>0</v>
      </c>
      <c r="AG57" s="609">
        <f t="shared" si="9"/>
        <v>0</v>
      </c>
      <c r="AH57" s="610"/>
      <c r="AI57" s="574"/>
      <c r="AJ57" s="668"/>
      <c r="AK57" s="668"/>
      <c r="AL57" s="668"/>
      <c r="AM57" s="668"/>
      <c r="AN57" s="668"/>
      <c r="AO57" s="668"/>
      <c r="AP57" s="668"/>
      <c r="AQ57" s="668"/>
      <c r="AR57" s="668"/>
      <c r="AS57" s="668"/>
      <c r="AT57" s="668"/>
      <c r="AU57" s="668"/>
      <c r="AV57" s="668"/>
      <c r="AW57" s="668"/>
      <c r="AX57" s="668"/>
      <c r="AY57" s="668"/>
      <c r="AZ57" s="668"/>
      <c r="BA57" s="668"/>
      <c r="BB57" s="668"/>
      <c r="BC57" s="668"/>
      <c r="BD57" s="668"/>
      <c r="BE57" s="668"/>
      <c r="BF57" s="668"/>
      <c r="BG57" s="668"/>
      <c r="BH57" s="668"/>
      <c r="BI57" s="668"/>
    </row>
    <row r="58" spans="1:61" s="534" customFormat="1" x14ac:dyDescent="0.2">
      <c r="A58" s="668"/>
      <c r="B58" s="573"/>
      <c r="C58" s="604"/>
      <c r="D58" s="605">
        <v>46</v>
      </c>
      <c r="E58" s="624"/>
      <c r="F58" s="625"/>
      <c r="G58" s="626"/>
      <c r="H58" s="626">
        <f t="shared" si="7"/>
        <v>0</v>
      </c>
      <c r="I58" s="626">
        <f t="shared" si="7"/>
        <v>0</v>
      </c>
      <c r="J58" s="606">
        <f t="shared" si="7"/>
        <v>0</v>
      </c>
      <c r="K58" s="606">
        <f t="shared" si="7"/>
        <v>0</v>
      </c>
      <c r="L58" s="607"/>
      <c r="M58" s="629">
        <f>ROUND(G58*tab!C$42,0)</f>
        <v>0</v>
      </c>
      <c r="N58" s="629">
        <f>ROUND(H58*tab!$D$42,0)</f>
        <v>0</v>
      </c>
      <c r="O58" s="608">
        <f>ROUND(I58*tab!$D$42,0)</f>
        <v>0</v>
      </c>
      <c r="P58" s="608">
        <f>ROUND(J58*tab!$D$42,0)</f>
        <v>0</v>
      </c>
      <c r="Q58" s="608">
        <f>ROUND(K58*tab!$D$42,0)</f>
        <v>0</v>
      </c>
      <c r="R58" s="607"/>
      <c r="S58" s="627">
        <v>0</v>
      </c>
      <c r="T58" s="627">
        <f t="shared" si="8"/>
        <v>0</v>
      </c>
      <c r="U58" s="609">
        <f t="shared" si="8"/>
        <v>0</v>
      </c>
      <c r="V58" s="609">
        <f t="shared" si="8"/>
        <v>0</v>
      </c>
      <c r="W58" s="609">
        <f t="shared" si="8"/>
        <v>0</v>
      </c>
      <c r="X58" s="607"/>
      <c r="Y58" s="629">
        <f>+H58*tab!$D$61</f>
        <v>0</v>
      </c>
      <c r="Z58" s="629">
        <f>+I58*tab!$E$61*7/12</f>
        <v>0</v>
      </c>
      <c r="AA58" s="608">
        <f>+J58*tab!$D$61</f>
        <v>0</v>
      </c>
      <c r="AB58" s="608">
        <f>+K58*tab!$D$61</f>
        <v>0</v>
      </c>
      <c r="AC58" s="607"/>
      <c r="AD58" s="628">
        <v>0</v>
      </c>
      <c r="AE58" s="627">
        <f t="shared" si="3"/>
        <v>0</v>
      </c>
      <c r="AF58" s="609">
        <f t="shared" si="9"/>
        <v>0</v>
      </c>
      <c r="AG58" s="609">
        <f t="shared" si="9"/>
        <v>0</v>
      </c>
      <c r="AH58" s="610"/>
      <c r="AI58" s="574"/>
      <c r="AJ58" s="668"/>
      <c r="AK58" s="668"/>
      <c r="AL58" s="668"/>
      <c r="AM58" s="668"/>
      <c r="AN58" s="668"/>
      <c r="AO58" s="668"/>
      <c r="AP58" s="668"/>
      <c r="AQ58" s="668"/>
      <c r="AR58" s="668"/>
      <c r="AS58" s="668"/>
      <c r="AT58" s="668"/>
      <c r="AU58" s="668"/>
      <c r="AV58" s="668"/>
      <c r="AW58" s="668"/>
      <c r="AX58" s="668"/>
      <c r="AY58" s="668"/>
      <c r="AZ58" s="668"/>
      <c r="BA58" s="668"/>
      <c r="BB58" s="668"/>
      <c r="BC58" s="668"/>
      <c r="BD58" s="668"/>
      <c r="BE58" s="668"/>
      <c r="BF58" s="668"/>
      <c r="BG58" s="668"/>
      <c r="BH58" s="668"/>
      <c r="BI58" s="668"/>
    </row>
    <row r="59" spans="1:61" s="534" customFormat="1" x14ac:dyDescent="0.2">
      <c r="A59" s="668"/>
      <c r="B59" s="573"/>
      <c r="C59" s="604"/>
      <c r="D59" s="605">
        <v>47</v>
      </c>
      <c r="E59" s="624"/>
      <c r="F59" s="625"/>
      <c r="G59" s="626"/>
      <c r="H59" s="626">
        <f t="shared" si="7"/>
        <v>0</v>
      </c>
      <c r="I59" s="626">
        <f t="shared" si="7"/>
        <v>0</v>
      </c>
      <c r="J59" s="606">
        <f t="shared" si="7"/>
        <v>0</v>
      </c>
      <c r="K59" s="606">
        <f t="shared" si="7"/>
        <v>0</v>
      </c>
      <c r="L59" s="607"/>
      <c r="M59" s="629">
        <f>ROUND(G59*tab!C$42,0)</f>
        <v>0</v>
      </c>
      <c r="N59" s="629">
        <f>ROUND(H59*tab!$D$42,0)</f>
        <v>0</v>
      </c>
      <c r="O59" s="608">
        <f>ROUND(I59*tab!$D$42,0)</f>
        <v>0</v>
      </c>
      <c r="P59" s="608">
        <f>ROUND(J59*tab!$D$42,0)</f>
        <v>0</v>
      </c>
      <c r="Q59" s="608">
        <f>ROUND(K59*tab!$D$42,0)</f>
        <v>0</v>
      </c>
      <c r="R59" s="607"/>
      <c r="S59" s="627">
        <v>0</v>
      </c>
      <c r="T59" s="627">
        <f t="shared" si="8"/>
        <v>0</v>
      </c>
      <c r="U59" s="609">
        <f t="shared" si="8"/>
        <v>0</v>
      </c>
      <c r="V59" s="609">
        <f t="shared" si="8"/>
        <v>0</v>
      </c>
      <c r="W59" s="609">
        <f t="shared" si="8"/>
        <v>0</v>
      </c>
      <c r="X59" s="607"/>
      <c r="Y59" s="629">
        <f>+H59*tab!$D$61</f>
        <v>0</v>
      </c>
      <c r="Z59" s="629">
        <f>+I59*tab!$E$61*7/12</f>
        <v>0</v>
      </c>
      <c r="AA59" s="608">
        <f>+J59*tab!$D$61</f>
        <v>0</v>
      </c>
      <c r="AB59" s="608">
        <f>+K59*tab!$D$61</f>
        <v>0</v>
      </c>
      <c r="AC59" s="607"/>
      <c r="AD59" s="628">
        <v>0</v>
      </c>
      <c r="AE59" s="627">
        <f t="shared" si="3"/>
        <v>0</v>
      </c>
      <c r="AF59" s="609">
        <f t="shared" si="9"/>
        <v>0</v>
      </c>
      <c r="AG59" s="609">
        <f t="shared" si="9"/>
        <v>0</v>
      </c>
      <c r="AH59" s="610"/>
      <c r="AI59" s="574"/>
      <c r="AJ59" s="668"/>
      <c r="AK59" s="668"/>
      <c r="AL59" s="668"/>
      <c r="AM59" s="668"/>
      <c r="AN59" s="668"/>
      <c r="AO59" s="668"/>
      <c r="AP59" s="668"/>
      <c r="AQ59" s="668"/>
      <c r="AR59" s="668"/>
      <c r="AS59" s="668"/>
      <c r="AT59" s="668"/>
      <c r="AU59" s="668"/>
      <c r="AV59" s="668"/>
      <c r="AW59" s="668"/>
      <c r="AX59" s="668"/>
      <c r="AY59" s="668"/>
      <c r="AZ59" s="668"/>
      <c r="BA59" s="668"/>
      <c r="BB59" s="668"/>
      <c r="BC59" s="668"/>
      <c r="BD59" s="668"/>
      <c r="BE59" s="668"/>
      <c r="BF59" s="668"/>
      <c r="BG59" s="668"/>
      <c r="BH59" s="668"/>
      <c r="BI59" s="668"/>
    </row>
    <row r="60" spans="1:61" s="534" customFormat="1" x14ac:dyDescent="0.2">
      <c r="A60" s="668"/>
      <c r="B60" s="573"/>
      <c r="C60" s="604"/>
      <c r="D60" s="605">
        <v>48</v>
      </c>
      <c r="E60" s="624"/>
      <c r="F60" s="625"/>
      <c r="G60" s="626"/>
      <c r="H60" s="626">
        <f t="shared" si="7"/>
        <v>0</v>
      </c>
      <c r="I60" s="626">
        <f t="shared" si="7"/>
        <v>0</v>
      </c>
      <c r="J60" s="606">
        <f t="shared" si="7"/>
        <v>0</v>
      </c>
      <c r="K60" s="606">
        <f t="shared" si="7"/>
        <v>0</v>
      </c>
      <c r="L60" s="607"/>
      <c r="M60" s="629">
        <f>ROUND(G60*tab!C$42,0)</f>
        <v>0</v>
      </c>
      <c r="N60" s="629">
        <f>ROUND(H60*tab!$D$42,0)</f>
        <v>0</v>
      </c>
      <c r="O60" s="608">
        <f>ROUND(I60*tab!$D$42,0)</f>
        <v>0</v>
      </c>
      <c r="P60" s="608">
        <f>ROUND(J60*tab!$D$42,0)</f>
        <v>0</v>
      </c>
      <c r="Q60" s="608">
        <f>ROUND(K60*tab!$D$42,0)</f>
        <v>0</v>
      </c>
      <c r="R60" s="607"/>
      <c r="S60" s="627">
        <v>0</v>
      </c>
      <c r="T60" s="627">
        <f t="shared" si="8"/>
        <v>0</v>
      </c>
      <c r="U60" s="609">
        <f t="shared" si="8"/>
        <v>0</v>
      </c>
      <c r="V60" s="609">
        <f t="shared" si="8"/>
        <v>0</v>
      </c>
      <c r="W60" s="609">
        <f t="shared" si="8"/>
        <v>0</v>
      </c>
      <c r="X60" s="607"/>
      <c r="Y60" s="629">
        <f>+H60*tab!$D$61</f>
        <v>0</v>
      </c>
      <c r="Z60" s="629">
        <f>+I60*tab!$E$61*7/12</f>
        <v>0</v>
      </c>
      <c r="AA60" s="608">
        <f>+J60*tab!$D$61</f>
        <v>0</v>
      </c>
      <c r="AB60" s="608">
        <f>+K60*tab!$D$61</f>
        <v>0</v>
      </c>
      <c r="AC60" s="607"/>
      <c r="AD60" s="628">
        <v>0</v>
      </c>
      <c r="AE60" s="627">
        <f t="shared" si="3"/>
        <v>0</v>
      </c>
      <c r="AF60" s="609">
        <f t="shared" si="9"/>
        <v>0</v>
      </c>
      <c r="AG60" s="609">
        <f t="shared" si="9"/>
        <v>0</v>
      </c>
      <c r="AH60" s="610"/>
      <c r="AI60" s="574"/>
      <c r="AJ60" s="668"/>
      <c r="AK60" s="668"/>
      <c r="AL60" s="668"/>
      <c r="AM60" s="668"/>
      <c r="AN60" s="668"/>
      <c r="AO60" s="668"/>
      <c r="AP60" s="668"/>
      <c r="AQ60" s="668"/>
      <c r="AR60" s="668"/>
      <c r="AS60" s="668"/>
      <c r="AT60" s="668"/>
      <c r="AU60" s="668"/>
      <c r="AV60" s="668"/>
      <c r="AW60" s="668"/>
      <c r="AX60" s="668"/>
      <c r="AY60" s="668"/>
      <c r="AZ60" s="668"/>
      <c r="BA60" s="668"/>
      <c r="BB60" s="668"/>
      <c r="BC60" s="668"/>
      <c r="BD60" s="668"/>
      <c r="BE60" s="668"/>
      <c r="BF60" s="668"/>
      <c r="BG60" s="668"/>
      <c r="BH60" s="668"/>
      <c r="BI60" s="668"/>
    </row>
    <row r="61" spans="1:61" s="534" customFormat="1" x14ac:dyDescent="0.2">
      <c r="A61" s="668"/>
      <c r="B61" s="573"/>
      <c r="C61" s="604"/>
      <c r="D61" s="605">
        <v>49</v>
      </c>
      <c r="E61" s="624"/>
      <c r="F61" s="625"/>
      <c r="G61" s="626"/>
      <c r="H61" s="626">
        <f t="shared" ref="H61:K76" si="10">G61</f>
        <v>0</v>
      </c>
      <c r="I61" s="626">
        <f t="shared" si="10"/>
        <v>0</v>
      </c>
      <c r="J61" s="606">
        <f t="shared" si="10"/>
        <v>0</v>
      </c>
      <c r="K61" s="606">
        <f t="shared" si="10"/>
        <v>0</v>
      </c>
      <c r="L61" s="607"/>
      <c r="M61" s="629">
        <f>ROUND(G61*tab!C$42,0)</f>
        <v>0</v>
      </c>
      <c r="N61" s="629">
        <f>ROUND(H61*tab!$D$42,0)</f>
        <v>0</v>
      </c>
      <c r="O61" s="608">
        <f>ROUND(I61*tab!$D$42,0)</f>
        <v>0</v>
      </c>
      <c r="P61" s="608">
        <f>ROUND(J61*tab!$D$42,0)</f>
        <v>0</v>
      </c>
      <c r="Q61" s="608">
        <f>ROUND(K61*tab!$D$42,0)</f>
        <v>0</v>
      </c>
      <c r="R61" s="607"/>
      <c r="S61" s="627">
        <v>0</v>
      </c>
      <c r="T61" s="627">
        <f t="shared" ref="T61:W76" si="11">S61</f>
        <v>0</v>
      </c>
      <c r="U61" s="609">
        <f t="shared" si="11"/>
        <v>0</v>
      </c>
      <c r="V61" s="609">
        <f t="shared" si="11"/>
        <v>0</v>
      </c>
      <c r="W61" s="609">
        <f t="shared" si="11"/>
        <v>0</v>
      </c>
      <c r="X61" s="607"/>
      <c r="Y61" s="629">
        <f>+H61*tab!$D$61</f>
        <v>0</v>
      </c>
      <c r="Z61" s="629">
        <f>+I61*tab!$E$61*7/12</f>
        <v>0</v>
      </c>
      <c r="AA61" s="608">
        <f>+J61*tab!$D$61</f>
        <v>0</v>
      </c>
      <c r="AB61" s="608">
        <f>+K61*tab!$D$61</f>
        <v>0</v>
      </c>
      <c r="AC61" s="607"/>
      <c r="AD61" s="628">
        <v>0</v>
      </c>
      <c r="AE61" s="627">
        <f t="shared" si="3"/>
        <v>0</v>
      </c>
      <c r="AF61" s="609">
        <f t="shared" si="9"/>
        <v>0</v>
      </c>
      <c r="AG61" s="609">
        <f t="shared" si="9"/>
        <v>0</v>
      </c>
      <c r="AH61" s="610"/>
      <c r="AI61" s="574"/>
      <c r="AJ61" s="668"/>
      <c r="AK61" s="668"/>
      <c r="AL61" s="668"/>
      <c r="AM61" s="668"/>
      <c r="AN61" s="668"/>
      <c r="AO61" s="668"/>
      <c r="AP61" s="668"/>
      <c r="AQ61" s="668"/>
      <c r="AR61" s="668"/>
      <c r="AS61" s="668"/>
      <c r="AT61" s="668"/>
      <c r="AU61" s="668"/>
      <c r="AV61" s="668"/>
      <c r="AW61" s="668"/>
      <c r="AX61" s="668"/>
      <c r="AY61" s="668"/>
      <c r="AZ61" s="668"/>
      <c r="BA61" s="668"/>
      <c r="BB61" s="668"/>
      <c r="BC61" s="668"/>
      <c r="BD61" s="668"/>
      <c r="BE61" s="668"/>
      <c r="BF61" s="668"/>
      <c r="BG61" s="668"/>
      <c r="BH61" s="668"/>
      <c r="BI61" s="668"/>
    </row>
    <row r="62" spans="1:61" s="534" customFormat="1" x14ac:dyDescent="0.2">
      <c r="A62" s="668"/>
      <c r="B62" s="573"/>
      <c r="C62" s="604"/>
      <c r="D62" s="605">
        <v>50</v>
      </c>
      <c r="E62" s="624"/>
      <c r="F62" s="625"/>
      <c r="G62" s="626"/>
      <c r="H62" s="626">
        <f t="shared" si="10"/>
        <v>0</v>
      </c>
      <c r="I62" s="626">
        <f t="shared" si="10"/>
        <v>0</v>
      </c>
      <c r="J62" s="606">
        <f t="shared" si="10"/>
        <v>0</v>
      </c>
      <c r="K62" s="606">
        <f t="shared" si="10"/>
        <v>0</v>
      </c>
      <c r="L62" s="607"/>
      <c r="M62" s="629">
        <f>ROUND(G62*tab!C$42,0)</f>
        <v>0</v>
      </c>
      <c r="N62" s="629">
        <f>ROUND(H62*tab!$D$42,0)</f>
        <v>0</v>
      </c>
      <c r="O62" s="608">
        <f>ROUND(I62*tab!$D$42,0)</f>
        <v>0</v>
      </c>
      <c r="P62" s="608">
        <f>ROUND(J62*tab!$D$42,0)</f>
        <v>0</v>
      </c>
      <c r="Q62" s="608">
        <f>ROUND(K62*tab!$D$42,0)</f>
        <v>0</v>
      </c>
      <c r="R62" s="607"/>
      <c r="S62" s="627">
        <v>0</v>
      </c>
      <c r="T62" s="627">
        <f t="shared" si="11"/>
        <v>0</v>
      </c>
      <c r="U62" s="609">
        <f t="shared" si="11"/>
        <v>0</v>
      </c>
      <c r="V62" s="609">
        <f t="shared" si="11"/>
        <v>0</v>
      </c>
      <c r="W62" s="609">
        <f t="shared" si="11"/>
        <v>0</v>
      </c>
      <c r="X62" s="607"/>
      <c r="Y62" s="629">
        <f>+H62*tab!$D$61</f>
        <v>0</v>
      </c>
      <c r="Z62" s="629">
        <f>+I62*tab!$E$61*7/12</f>
        <v>0</v>
      </c>
      <c r="AA62" s="608">
        <f>+J62*tab!$D$61</f>
        <v>0</v>
      </c>
      <c r="AB62" s="608">
        <f>+K62*tab!$D$61</f>
        <v>0</v>
      </c>
      <c r="AC62" s="607"/>
      <c r="AD62" s="628">
        <v>0</v>
      </c>
      <c r="AE62" s="627">
        <f t="shared" si="3"/>
        <v>0</v>
      </c>
      <c r="AF62" s="609">
        <f t="shared" ref="AF62:AG77" si="12">AE62</f>
        <v>0</v>
      </c>
      <c r="AG62" s="609">
        <f t="shared" si="12"/>
        <v>0</v>
      </c>
      <c r="AH62" s="610"/>
      <c r="AI62" s="574"/>
      <c r="AJ62" s="668"/>
      <c r="AK62" s="668"/>
      <c r="AL62" s="668"/>
      <c r="AM62" s="668"/>
      <c r="AN62" s="668"/>
      <c r="AO62" s="668"/>
      <c r="AP62" s="668"/>
      <c r="AQ62" s="668"/>
      <c r="AR62" s="668"/>
      <c r="AS62" s="668"/>
      <c r="AT62" s="668"/>
      <c r="AU62" s="668"/>
      <c r="AV62" s="668"/>
      <c r="AW62" s="668"/>
      <c r="AX62" s="668"/>
      <c r="AY62" s="668"/>
      <c r="AZ62" s="668"/>
      <c r="BA62" s="668"/>
      <c r="BB62" s="668"/>
      <c r="BC62" s="668"/>
      <c r="BD62" s="668"/>
      <c r="BE62" s="668"/>
      <c r="BF62" s="668"/>
      <c r="BG62" s="668"/>
      <c r="BH62" s="668"/>
      <c r="BI62" s="668"/>
    </row>
    <row r="63" spans="1:61" s="534" customFormat="1" x14ac:dyDescent="0.2">
      <c r="A63" s="668"/>
      <c r="B63" s="573"/>
      <c r="C63" s="604"/>
      <c r="D63" s="605">
        <v>51</v>
      </c>
      <c r="E63" s="624"/>
      <c r="F63" s="625"/>
      <c r="G63" s="626"/>
      <c r="H63" s="626">
        <f t="shared" si="10"/>
        <v>0</v>
      </c>
      <c r="I63" s="626">
        <f t="shared" si="10"/>
        <v>0</v>
      </c>
      <c r="J63" s="606">
        <f t="shared" si="10"/>
        <v>0</v>
      </c>
      <c r="K63" s="606">
        <f t="shared" si="10"/>
        <v>0</v>
      </c>
      <c r="L63" s="607"/>
      <c r="M63" s="629">
        <f>ROUND(G63*tab!C$42,0)</f>
        <v>0</v>
      </c>
      <c r="N63" s="629">
        <f>ROUND(H63*tab!$D$42,0)</f>
        <v>0</v>
      </c>
      <c r="O63" s="608">
        <f>ROUND(I63*tab!$D$42,0)</f>
        <v>0</v>
      </c>
      <c r="P63" s="608">
        <f>ROUND(J63*tab!$D$42,0)</f>
        <v>0</v>
      </c>
      <c r="Q63" s="608">
        <f>ROUND(K63*tab!$D$42,0)</f>
        <v>0</v>
      </c>
      <c r="R63" s="607"/>
      <c r="S63" s="627">
        <v>0</v>
      </c>
      <c r="T63" s="627">
        <f t="shared" si="11"/>
        <v>0</v>
      </c>
      <c r="U63" s="609">
        <f t="shared" si="11"/>
        <v>0</v>
      </c>
      <c r="V63" s="609">
        <f t="shared" si="11"/>
        <v>0</v>
      </c>
      <c r="W63" s="609">
        <f t="shared" si="11"/>
        <v>0</v>
      </c>
      <c r="X63" s="607"/>
      <c r="Y63" s="629">
        <f>+H63*tab!$D$61</f>
        <v>0</v>
      </c>
      <c r="Z63" s="629">
        <f>+I63*tab!$E$61*7/12</f>
        <v>0</v>
      </c>
      <c r="AA63" s="608">
        <f>+J63*tab!$D$61</f>
        <v>0</v>
      </c>
      <c r="AB63" s="608">
        <f>+K63*tab!$D$61</f>
        <v>0</v>
      </c>
      <c r="AC63" s="607"/>
      <c r="AD63" s="628">
        <v>0</v>
      </c>
      <c r="AE63" s="627">
        <f t="shared" si="3"/>
        <v>0</v>
      </c>
      <c r="AF63" s="609">
        <f t="shared" si="12"/>
        <v>0</v>
      </c>
      <c r="AG63" s="609">
        <f t="shared" si="12"/>
        <v>0</v>
      </c>
      <c r="AH63" s="610"/>
      <c r="AI63" s="574"/>
      <c r="AJ63" s="668"/>
      <c r="AK63" s="668"/>
      <c r="AL63" s="668"/>
      <c r="AM63" s="668"/>
      <c r="AN63" s="668"/>
      <c r="AO63" s="668"/>
      <c r="AP63" s="668"/>
      <c r="AQ63" s="668"/>
      <c r="AR63" s="668"/>
      <c r="AS63" s="668"/>
      <c r="AT63" s="668"/>
      <c r="AU63" s="668"/>
      <c r="AV63" s="668"/>
      <c r="AW63" s="668"/>
      <c r="AX63" s="668"/>
      <c r="AY63" s="668"/>
      <c r="AZ63" s="668"/>
      <c r="BA63" s="668"/>
      <c r="BB63" s="668"/>
      <c r="BC63" s="668"/>
      <c r="BD63" s="668"/>
      <c r="BE63" s="668"/>
      <c r="BF63" s="668"/>
      <c r="BG63" s="668"/>
      <c r="BH63" s="668"/>
      <c r="BI63" s="668"/>
    </row>
    <row r="64" spans="1:61" s="534" customFormat="1" x14ac:dyDescent="0.2">
      <c r="A64" s="668"/>
      <c r="B64" s="573"/>
      <c r="C64" s="604"/>
      <c r="D64" s="605">
        <v>52</v>
      </c>
      <c r="E64" s="624"/>
      <c r="F64" s="625"/>
      <c r="G64" s="626"/>
      <c r="H64" s="626">
        <f t="shared" si="10"/>
        <v>0</v>
      </c>
      <c r="I64" s="626">
        <f t="shared" si="10"/>
        <v>0</v>
      </c>
      <c r="J64" s="606">
        <f t="shared" si="10"/>
        <v>0</v>
      </c>
      <c r="K64" s="606">
        <f t="shared" si="10"/>
        <v>0</v>
      </c>
      <c r="L64" s="607"/>
      <c r="M64" s="629">
        <f>ROUND(G64*tab!C$42,0)</f>
        <v>0</v>
      </c>
      <c r="N64" s="629">
        <f>ROUND(H64*tab!$D$42,0)</f>
        <v>0</v>
      </c>
      <c r="O64" s="608">
        <f>ROUND(I64*tab!$D$42,0)</f>
        <v>0</v>
      </c>
      <c r="P64" s="608">
        <f>ROUND(J64*tab!$D$42,0)</f>
        <v>0</v>
      </c>
      <c r="Q64" s="608">
        <f>ROUND(K64*tab!$D$42,0)</f>
        <v>0</v>
      </c>
      <c r="R64" s="607"/>
      <c r="S64" s="627">
        <v>0</v>
      </c>
      <c r="T64" s="627">
        <f t="shared" si="11"/>
        <v>0</v>
      </c>
      <c r="U64" s="609">
        <f t="shared" si="11"/>
        <v>0</v>
      </c>
      <c r="V64" s="609">
        <f t="shared" si="11"/>
        <v>0</v>
      </c>
      <c r="W64" s="609">
        <f t="shared" si="11"/>
        <v>0</v>
      </c>
      <c r="X64" s="607"/>
      <c r="Y64" s="629">
        <f>+H64*tab!$D$61</f>
        <v>0</v>
      </c>
      <c r="Z64" s="629">
        <f>+I64*tab!$E$61*7/12</f>
        <v>0</v>
      </c>
      <c r="AA64" s="608">
        <f>+J64*tab!$D$61</f>
        <v>0</v>
      </c>
      <c r="AB64" s="608">
        <f>+K64*tab!$D$61</f>
        <v>0</v>
      </c>
      <c r="AC64" s="607"/>
      <c r="AD64" s="628">
        <v>0</v>
      </c>
      <c r="AE64" s="627">
        <f t="shared" si="3"/>
        <v>0</v>
      </c>
      <c r="AF64" s="609">
        <f>AE64</f>
        <v>0</v>
      </c>
      <c r="AG64" s="609">
        <f>AF64</f>
        <v>0</v>
      </c>
      <c r="AH64" s="610"/>
      <c r="AI64" s="574"/>
      <c r="AJ64" s="668"/>
      <c r="AK64" s="668"/>
      <c r="AL64" s="668"/>
      <c r="AM64" s="668"/>
      <c r="AN64" s="668"/>
      <c r="AO64" s="668"/>
      <c r="AP64" s="668"/>
      <c r="AQ64" s="668"/>
      <c r="AR64" s="668"/>
      <c r="AS64" s="668"/>
      <c r="AT64" s="668"/>
      <c r="AU64" s="668"/>
      <c r="AV64" s="668"/>
      <c r="AW64" s="668"/>
      <c r="AX64" s="668"/>
      <c r="AY64" s="668"/>
      <c r="AZ64" s="668"/>
      <c r="BA64" s="668"/>
      <c r="BB64" s="668"/>
      <c r="BC64" s="668"/>
      <c r="BD64" s="668"/>
      <c r="BE64" s="668"/>
      <c r="BF64" s="668"/>
      <c r="BG64" s="668"/>
      <c r="BH64" s="668"/>
      <c r="BI64" s="668"/>
    </row>
    <row r="65" spans="1:61" s="534" customFormat="1" x14ac:dyDescent="0.2">
      <c r="A65" s="668"/>
      <c r="B65" s="573"/>
      <c r="C65" s="604"/>
      <c r="D65" s="605">
        <v>53</v>
      </c>
      <c r="E65" s="624"/>
      <c r="F65" s="625"/>
      <c r="G65" s="626"/>
      <c r="H65" s="626">
        <f t="shared" si="10"/>
        <v>0</v>
      </c>
      <c r="I65" s="626">
        <f t="shared" si="10"/>
        <v>0</v>
      </c>
      <c r="J65" s="606">
        <f t="shared" si="10"/>
        <v>0</v>
      </c>
      <c r="K65" s="606">
        <f t="shared" si="10"/>
        <v>0</v>
      </c>
      <c r="L65" s="607"/>
      <c r="M65" s="629">
        <f>ROUND(G65*tab!C$42,0)</f>
        <v>0</v>
      </c>
      <c r="N65" s="629">
        <f>ROUND(H65*tab!$D$42,0)</f>
        <v>0</v>
      </c>
      <c r="O65" s="608">
        <f>ROUND(I65*tab!$D$42,0)</f>
        <v>0</v>
      </c>
      <c r="P65" s="608">
        <f>ROUND(J65*tab!$D$42,0)</f>
        <v>0</v>
      </c>
      <c r="Q65" s="608">
        <f>ROUND(K65*tab!$D$42,0)</f>
        <v>0</v>
      </c>
      <c r="R65" s="607"/>
      <c r="S65" s="627">
        <v>0</v>
      </c>
      <c r="T65" s="627">
        <f t="shared" si="11"/>
        <v>0</v>
      </c>
      <c r="U65" s="609">
        <f t="shared" si="11"/>
        <v>0</v>
      </c>
      <c r="V65" s="609">
        <f t="shared" si="11"/>
        <v>0</v>
      </c>
      <c r="W65" s="609">
        <f t="shared" si="11"/>
        <v>0</v>
      </c>
      <c r="X65" s="607"/>
      <c r="Y65" s="629">
        <f>+H65*tab!$D$61</f>
        <v>0</v>
      </c>
      <c r="Z65" s="629">
        <f>+I65*tab!$E$61*7/12</f>
        <v>0</v>
      </c>
      <c r="AA65" s="608">
        <f>+J65*tab!$D$61</f>
        <v>0</v>
      </c>
      <c r="AB65" s="608">
        <f>+K65*tab!$D$61</f>
        <v>0</v>
      </c>
      <c r="AC65" s="607"/>
      <c r="AD65" s="628">
        <v>0</v>
      </c>
      <c r="AE65" s="627">
        <f t="shared" si="3"/>
        <v>0</v>
      </c>
      <c r="AF65" s="609">
        <f>AE65</f>
        <v>0</v>
      </c>
      <c r="AG65" s="609">
        <f>AF65</f>
        <v>0</v>
      </c>
      <c r="AH65" s="610"/>
      <c r="AI65" s="574"/>
      <c r="AJ65" s="668"/>
      <c r="AK65" s="668"/>
      <c r="AL65" s="668"/>
      <c r="AM65" s="668"/>
      <c r="AN65" s="668"/>
      <c r="AO65" s="668"/>
      <c r="AP65" s="668"/>
      <c r="AQ65" s="668"/>
      <c r="AR65" s="668"/>
      <c r="AS65" s="668"/>
      <c r="AT65" s="668"/>
      <c r="AU65" s="668"/>
      <c r="AV65" s="668"/>
      <c r="AW65" s="668"/>
      <c r="AX65" s="668"/>
      <c r="AY65" s="668"/>
      <c r="AZ65" s="668"/>
      <c r="BA65" s="668"/>
      <c r="BB65" s="668"/>
      <c r="BC65" s="668"/>
      <c r="BD65" s="668"/>
      <c r="BE65" s="668"/>
      <c r="BF65" s="668"/>
      <c r="BG65" s="668"/>
      <c r="BH65" s="668"/>
      <c r="BI65" s="668"/>
    </row>
    <row r="66" spans="1:61" s="534" customFormat="1" x14ac:dyDescent="0.2">
      <c r="A66" s="668"/>
      <c r="B66" s="573"/>
      <c r="C66" s="604"/>
      <c r="D66" s="605">
        <v>54</v>
      </c>
      <c r="E66" s="624"/>
      <c r="F66" s="625"/>
      <c r="G66" s="626"/>
      <c r="H66" s="626">
        <f t="shared" si="10"/>
        <v>0</v>
      </c>
      <c r="I66" s="626">
        <f t="shared" si="10"/>
        <v>0</v>
      </c>
      <c r="J66" s="606">
        <f t="shared" si="10"/>
        <v>0</v>
      </c>
      <c r="K66" s="606">
        <f t="shared" si="10"/>
        <v>0</v>
      </c>
      <c r="L66" s="607"/>
      <c r="M66" s="629">
        <f>ROUND(G66*tab!C$42,0)</f>
        <v>0</v>
      </c>
      <c r="N66" s="629">
        <f>ROUND(H66*tab!$D$42,0)</f>
        <v>0</v>
      </c>
      <c r="O66" s="608">
        <f>ROUND(I66*tab!$D$42,0)</f>
        <v>0</v>
      </c>
      <c r="P66" s="608">
        <f>ROUND(J66*tab!$D$42,0)</f>
        <v>0</v>
      </c>
      <c r="Q66" s="608">
        <f>ROUND(K66*tab!$D$42,0)</f>
        <v>0</v>
      </c>
      <c r="R66" s="607"/>
      <c r="S66" s="627">
        <v>0</v>
      </c>
      <c r="T66" s="627">
        <f t="shared" si="11"/>
        <v>0</v>
      </c>
      <c r="U66" s="609">
        <f t="shared" si="11"/>
        <v>0</v>
      </c>
      <c r="V66" s="609">
        <f t="shared" si="11"/>
        <v>0</v>
      </c>
      <c r="W66" s="609">
        <f t="shared" si="11"/>
        <v>0</v>
      </c>
      <c r="X66" s="607"/>
      <c r="Y66" s="629">
        <f>+H66*tab!$D$61</f>
        <v>0</v>
      </c>
      <c r="Z66" s="629">
        <f>+I66*tab!$E$61*7/12</f>
        <v>0</v>
      </c>
      <c r="AA66" s="608">
        <f>+J66*tab!$D$61</f>
        <v>0</v>
      </c>
      <c r="AB66" s="608">
        <f>+K66*tab!$D$61</f>
        <v>0</v>
      </c>
      <c r="AC66" s="607"/>
      <c r="AD66" s="628">
        <v>0</v>
      </c>
      <c r="AE66" s="627">
        <f t="shared" si="3"/>
        <v>0</v>
      </c>
      <c r="AF66" s="609">
        <f t="shared" si="12"/>
        <v>0</v>
      </c>
      <c r="AG66" s="609">
        <f t="shared" si="12"/>
        <v>0</v>
      </c>
      <c r="AH66" s="610"/>
      <c r="AI66" s="574"/>
      <c r="AJ66" s="668"/>
      <c r="AK66" s="668"/>
      <c r="AL66" s="668"/>
      <c r="AM66" s="668"/>
      <c r="AN66" s="668"/>
      <c r="AO66" s="668"/>
      <c r="AP66" s="668"/>
      <c r="AQ66" s="668"/>
      <c r="AR66" s="668"/>
      <c r="AS66" s="668"/>
      <c r="AT66" s="668"/>
      <c r="AU66" s="668"/>
      <c r="AV66" s="668"/>
      <c r="AW66" s="668"/>
      <c r="AX66" s="668"/>
      <c r="AY66" s="668"/>
      <c r="AZ66" s="668"/>
      <c r="BA66" s="668"/>
      <c r="BB66" s="668"/>
      <c r="BC66" s="668"/>
      <c r="BD66" s="668"/>
      <c r="BE66" s="668"/>
      <c r="BF66" s="668"/>
      <c r="BG66" s="668"/>
      <c r="BH66" s="668"/>
      <c r="BI66" s="668"/>
    </row>
    <row r="67" spans="1:61" s="534" customFormat="1" x14ac:dyDescent="0.2">
      <c r="A67" s="668"/>
      <c r="B67" s="573"/>
      <c r="C67" s="604"/>
      <c r="D67" s="605">
        <v>55</v>
      </c>
      <c r="E67" s="624"/>
      <c r="F67" s="625"/>
      <c r="G67" s="626"/>
      <c r="H67" s="626">
        <f t="shared" si="10"/>
        <v>0</v>
      </c>
      <c r="I67" s="626">
        <f t="shared" si="10"/>
        <v>0</v>
      </c>
      <c r="J67" s="606">
        <f t="shared" si="10"/>
        <v>0</v>
      </c>
      <c r="K67" s="606">
        <f t="shared" si="10"/>
        <v>0</v>
      </c>
      <c r="L67" s="607"/>
      <c r="M67" s="629">
        <f>ROUND(G67*tab!C$42,0)</f>
        <v>0</v>
      </c>
      <c r="N67" s="629">
        <f>ROUND(H67*tab!$D$42,0)</f>
        <v>0</v>
      </c>
      <c r="O67" s="608">
        <f>ROUND(I67*tab!$D$42,0)</f>
        <v>0</v>
      </c>
      <c r="P67" s="608">
        <f>ROUND(J67*tab!$D$42,0)</f>
        <v>0</v>
      </c>
      <c r="Q67" s="608">
        <f>ROUND(K67*tab!$D$42,0)</f>
        <v>0</v>
      </c>
      <c r="R67" s="607"/>
      <c r="S67" s="627">
        <v>0</v>
      </c>
      <c r="T67" s="627">
        <f t="shared" si="11"/>
        <v>0</v>
      </c>
      <c r="U67" s="609">
        <f t="shared" si="11"/>
        <v>0</v>
      </c>
      <c r="V67" s="609">
        <f t="shared" si="11"/>
        <v>0</v>
      </c>
      <c r="W67" s="609">
        <f t="shared" si="11"/>
        <v>0</v>
      </c>
      <c r="X67" s="607"/>
      <c r="Y67" s="629">
        <f>+H67*tab!$D$61</f>
        <v>0</v>
      </c>
      <c r="Z67" s="629">
        <f>+I67*tab!$E$61*7/12</f>
        <v>0</v>
      </c>
      <c r="AA67" s="608">
        <f>+J67*tab!$D$61</f>
        <v>0</v>
      </c>
      <c r="AB67" s="608">
        <f>+K67*tab!$D$61</f>
        <v>0</v>
      </c>
      <c r="AC67" s="607"/>
      <c r="AD67" s="628">
        <v>0</v>
      </c>
      <c r="AE67" s="627">
        <f t="shared" si="3"/>
        <v>0</v>
      </c>
      <c r="AF67" s="609">
        <f t="shared" si="12"/>
        <v>0</v>
      </c>
      <c r="AG67" s="609">
        <f t="shared" si="12"/>
        <v>0</v>
      </c>
      <c r="AH67" s="610"/>
      <c r="AI67" s="574"/>
      <c r="AJ67" s="668"/>
      <c r="AK67" s="668"/>
      <c r="AL67" s="668"/>
      <c r="AM67" s="668"/>
      <c r="AN67" s="668"/>
      <c r="AO67" s="668"/>
      <c r="AP67" s="668"/>
      <c r="AQ67" s="668"/>
      <c r="AR67" s="668"/>
      <c r="AS67" s="668"/>
      <c r="AT67" s="668"/>
      <c r="AU67" s="668"/>
      <c r="AV67" s="668"/>
      <c r="AW67" s="668"/>
      <c r="AX67" s="668"/>
      <c r="AY67" s="668"/>
      <c r="AZ67" s="668"/>
      <c r="BA67" s="668"/>
      <c r="BB67" s="668"/>
      <c r="BC67" s="668"/>
      <c r="BD67" s="668"/>
      <c r="BE67" s="668"/>
      <c r="BF67" s="668"/>
      <c r="BG67" s="668"/>
      <c r="BH67" s="668"/>
      <c r="BI67" s="668"/>
    </row>
    <row r="68" spans="1:61" s="534" customFormat="1" x14ac:dyDescent="0.2">
      <c r="A68" s="668"/>
      <c r="B68" s="573"/>
      <c r="C68" s="604"/>
      <c r="D68" s="605">
        <v>56</v>
      </c>
      <c r="E68" s="624"/>
      <c r="F68" s="625"/>
      <c r="G68" s="626"/>
      <c r="H68" s="626">
        <f t="shared" si="10"/>
        <v>0</v>
      </c>
      <c r="I68" s="626">
        <f t="shared" si="10"/>
        <v>0</v>
      </c>
      <c r="J68" s="606">
        <f t="shared" si="10"/>
        <v>0</v>
      </c>
      <c r="K68" s="606">
        <f t="shared" si="10"/>
        <v>0</v>
      </c>
      <c r="L68" s="607"/>
      <c r="M68" s="629">
        <f>ROUND(G68*tab!C$42,0)</f>
        <v>0</v>
      </c>
      <c r="N68" s="629">
        <f>ROUND(H68*tab!$D$42,0)</f>
        <v>0</v>
      </c>
      <c r="O68" s="608">
        <f>ROUND(I68*tab!$D$42,0)</f>
        <v>0</v>
      </c>
      <c r="P68" s="608">
        <f>ROUND(J68*tab!$D$42,0)</f>
        <v>0</v>
      </c>
      <c r="Q68" s="608">
        <f>ROUND(K68*tab!$D$42,0)</f>
        <v>0</v>
      </c>
      <c r="R68" s="607"/>
      <c r="S68" s="627">
        <v>0</v>
      </c>
      <c r="T68" s="627">
        <f t="shared" si="11"/>
        <v>0</v>
      </c>
      <c r="U68" s="609">
        <f t="shared" si="11"/>
        <v>0</v>
      </c>
      <c r="V68" s="609">
        <f t="shared" si="11"/>
        <v>0</v>
      </c>
      <c r="W68" s="609">
        <f t="shared" si="11"/>
        <v>0</v>
      </c>
      <c r="X68" s="607"/>
      <c r="Y68" s="629">
        <f>+H68*tab!$D$61</f>
        <v>0</v>
      </c>
      <c r="Z68" s="629">
        <f>+I68*tab!$E$61*7/12</f>
        <v>0</v>
      </c>
      <c r="AA68" s="608">
        <f>+J68*tab!$D$61</f>
        <v>0</v>
      </c>
      <c r="AB68" s="608">
        <f>+K68*tab!$D$61</f>
        <v>0</v>
      </c>
      <c r="AC68" s="607"/>
      <c r="AD68" s="628">
        <v>0</v>
      </c>
      <c r="AE68" s="627">
        <f t="shared" si="3"/>
        <v>0</v>
      </c>
      <c r="AF68" s="609">
        <f t="shared" si="12"/>
        <v>0</v>
      </c>
      <c r="AG68" s="609">
        <f t="shared" si="12"/>
        <v>0</v>
      </c>
      <c r="AH68" s="610"/>
      <c r="AI68" s="574"/>
      <c r="AJ68" s="668"/>
      <c r="AK68" s="668"/>
      <c r="AL68" s="668"/>
      <c r="AM68" s="668"/>
      <c r="AN68" s="668"/>
      <c r="AO68" s="668"/>
      <c r="AP68" s="668"/>
      <c r="AQ68" s="668"/>
      <c r="AR68" s="668"/>
      <c r="AS68" s="668"/>
      <c r="AT68" s="668"/>
      <c r="AU68" s="668"/>
      <c r="AV68" s="668"/>
      <c r="AW68" s="668"/>
      <c r="AX68" s="668"/>
      <c r="AY68" s="668"/>
      <c r="AZ68" s="668"/>
      <c r="BA68" s="668"/>
      <c r="BB68" s="668"/>
      <c r="BC68" s="668"/>
      <c r="BD68" s="668"/>
      <c r="BE68" s="668"/>
      <c r="BF68" s="668"/>
      <c r="BG68" s="668"/>
      <c r="BH68" s="668"/>
      <c r="BI68" s="668"/>
    </row>
    <row r="69" spans="1:61" s="534" customFormat="1" x14ac:dyDescent="0.2">
      <c r="A69" s="668"/>
      <c r="B69" s="573"/>
      <c r="C69" s="604"/>
      <c r="D69" s="605">
        <v>57</v>
      </c>
      <c r="E69" s="624"/>
      <c r="F69" s="625"/>
      <c r="G69" s="626"/>
      <c r="H69" s="626">
        <f t="shared" si="10"/>
        <v>0</v>
      </c>
      <c r="I69" s="626">
        <f t="shared" si="10"/>
        <v>0</v>
      </c>
      <c r="J69" s="606">
        <f t="shared" si="10"/>
        <v>0</v>
      </c>
      <c r="K69" s="606">
        <f t="shared" si="10"/>
        <v>0</v>
      </c>
      <c r="L69" s="607"/>
      <c r="M69" s="629">
        <f>ROUND(G69*tab!C$42,0)</f>
        <v>0</v>
      </c>
      <c r="N69" s="629">
        <f>ROUND(H69*tab!$D$42,0)</f>
        <v>0</v>
      </c>
      <c r="O69" s="608">
        <f>ROUND(I69*tab!$D$42,0)</f>
        <v>0</v>
      </c>
      <c r="P69" s="608">
        <f>ROUND(J69*tab!$D$42,0)</f>
        <v>0</v>
      </c>
      <c r="Q69" s="608">
        <f>ROUND(K69*tab!$D$42,0)</f>
        <v>0</v>
      </c>
      <c r="R69" s="607"/>
      <c r="S69" s="627">
        <v>0</v>
      </c>
      <c r="T69" s="627">
        <f t="shared" si="11"/>
        <v>0</v>
      </c>
      <c r="U69" s="609">
        <f t="shared" si="11"/>
        <v>0</v>
      </c>
      <c r="V69" s="609">
        <f t="shared" si="11"/>
        <v>0</v>
      </c>
      <c r="W69" s="609">
        <f t="shared" si="11"/>
        <v>0</v>
      </c>
      <c r="X69" s="607"/>
      <c r="Y69" s="629">
        <f>+H69*tab!$D$61</f>
        <v>0</v>
      </c>
      <c r="Z69" s="629">
        <f>+I69*tab!$E$61*7/12</f>
        <v>0</v>
      </c>
      <c r="AA69" s="608">
        <f>+J69*tab!$D$61</f>
        <v>0</v>
      </c>
      <c r="AB69" s="608">
        <f>+K69*tab!$D$61</f>
        <v>0</v>
      </c>
      <c r="AC69" s="607"/>
      <c r="AD69" s="628">
        <v>0</v>
      </c>
      <c r="AE69" s="627">
        <f t="shared" si="3"/>
        <v>0</v>
      </c>
      <c r="AF69" s="609">
        <f t="shared" si="12"/>
        <v>0</v>
      </c>
      <c r="AG69" s="609">
        <f t="shared" si="12"/>
        <v>0</v>
      </c>
      <c r="AH69" s="610"/>
      <c r="AI69" s="574"/>
      <c r="AJ69" s="668"/>
      <c r="AK69" s="668"/>
      <c r="AL69" s="668"/>
      <c r="AM69" s="668"/>
      <c r="AN69" s="668"/>
      <c r="AO69" s="668"/>
      <c r="AP69" s="668"/>
      <c r="AQ69" s="668"/>
      <c r="AR69" s="668"/>
      <c r="AS69" s="668"/>
      <c r="AT69" s="668"/>
      <c r="AU69" s="668"/>
      <c r="AV69" s="668"/>
      <c r="AW69" s="668"/>
      <c r="AX69" s="668"/>
      <c r="AY69" s="668"/>
      <c r="AZ69" s="668"/>
      <c r="BA69" s="668"/>
      <c r="BB69" s="668"/>
      <c r="BC69" s="668"/>
      <c r="BD69" s="668"/>
      <c r="BE69" s="668"/>
      <c r="BF69" s="668"/>
      <c r="BG69" s="668"/>
      <c r="BH69" s="668"/>
      <c r="BI69" s="668"/>
    </row>
    <row r="70" spans="1:61" s="534" customFormat="1" x14ac:dyDescent="0.2">
      <c r="A70" s="668"/>
      <c r="B70" s="573"/>
      <c r="C70" s="604"/>
      <c r="D70" s="605">
        <v>58</v>
      </c>
      <c r="E70" s="624"/>
      <c r="F70" s="625"/>
      <c r="G70" s="626"/>
      <c r="H70" s="626">
        <f t="shared" si="10"/>
        <v>0</v>
      </c>
      <c r="I70" s="626">
        <f t="shared" si="10"/>
        <v>0</v>
      </c>
      <c r="J70" s="606">
        <f t="shared" si="10"/>
        <v>0</v>
      </c>
      <c r="K70" s="606">
        <f t="shared" si="10"/>
        <v>0</v>
      </c>
      <c r="L70" s="607"/>
      <c r="M70" s="629">
        <f>ROUND(G70*tab!C$42,0)</f>
        <v>0</v>
      </c>
      <c r="N70" s="629">
        <f>ROUND(H70*tab!$D$42,0)</f>
        <v>0</v>
      </c>
      <c r="O70" s="608">
        <f>ROUND(I70*tab!$D$42,0)</f>
        <v>0</v>
      </c>
      <c r="P70" s="608">
        <f>ROUND(J70*tab!$D$42,0)</f>
        <v>0</v>
      </c>
      <c r="Q70" s="608">
        <f>ROUND(K70*tab!$D$42,0)</f>
        <v>0</v>
      </c>
      <c r="R70" s="607"/>
      <c r="S70" s="627">
        <v>0</v>
      </c>
      <c r="T70" s="627">
        <f t="shared" si="11"/>
        <v>0</v>
      </c>
      <c r="U70" s="609">
        <f t="shared" si="11"/>
        <v>0</v>
      </c>
      <c r="V70" s="609">
        <f t="shared" si="11"/>
        <v>0</v>
      </c>
      <c r="W70" s="609">
        <f t="shared" si="11"/>
        <v>0</v>
      </c>
      <c r="X70" s="607"/>
      <c r="Y70" s="629">
        <f>+H70*tab!$D$61</f>
        <v>0</v>
      </c>
      <c r="Z70" s="629">
        <f>+I70*tab!$E$61*7/12</f>
        <v>0</v>
      </c>
      <c r="AA70" s="608">
        <f>+J70*tab!$D$61</f>
        <v>0</v>
      </c>
      <c r="AB70" s="608">
        <f>+K70*tab!$D$61</f>
        <v>0</v>
      </c>
      <c r="AC70" s="607"/>
      <c r="AD70" s="628">
        <v>0</v>
      </c>
      <c r="AE70" s="627">
        <f t="shared" si="3"/>
        <v>0</v>
      </c>
      <c r="AF70" s="609">
        <f t="shared" si="12"/>
        <v>0</v>
      </c>
      <c r="AG70" s="609">
        <f t="shared" si="12"/>
        <v>0</v>
      </c>
      <c r="AH70" s="610"/>
      <c r="AI70" s="574"/>
      <c r="AJ70" s="668"/>
      <c r="AK70" s="668"/>
      <c r="AL70" s="668"/>
      <c r="AM70" s="668"/>
      <c r="AN70" s="668"/>
      <c r="AO70" s="668"/>
      <c r="AP70" s="668"/>
      <c r="AQ70" s="668"/>
      <c r="AR70" s="668"/>
      <c r="AS70" s="668"/>
      <c r="AT70" s="668"/>
      <c r="AU70" s="668"/>
      <c r="AV70" s="668"/>
      <c r="AW70" s="668"/>
      <c r="AX70" s="668"/>
      <c r="AY70" s="668"/>
      <c r="AZ70" s="668"/>
      <c r="BA70" s="668"/>
      <c r="BB70" s="668"/>
      <c r="BC70" s="668"/>
      <c r="BD70" s="668"/>
      <c r="BE70" s="668"/>
      <c r="BF70" s="668"/>
      <c r="BG70" s="668"/>
      <c r="BH70" s="668"/>
      <c r="BI70" s="668"/>
    </row>
    <row r="71" spans="1:61" s="534" customFormat="1" x14ac:dyDescent="0.2">
      <c r="A71" s="668"/>
      <c r="B71" s="573"/>
      <c r="C71" s="604"/>
      <c r="D71" s="605">
        <v>59</v>
      </c>
      <c r="E71" s="624"/>
      <c r="F71" s="625"/>
      <c r="G71" s="626"/>
      <c r="H71" s="626">
        <f t="shared" si="10"/>
        <v>0</v>
      </c>
      <c r="I71" s="626">
        <f t="shared" si="10"/>
        <v>0</v>
      </c>
      <c r="J71" s="606">
        <f t="shared" si="10"/>
        <v>0</v>
      </c>
      <c r="K71" s="606">
        <f t="shared" si="10"/>
        <v>0</v>
      </c>
      <c r="L71" s="607"/>
      <c r="M71" s="629">
        <f>ROUND(G71*tab!C$42,0)</f>
        <v>0</v>
      </c>
      <c r="N71" s="629">
        <f>ROUND(H71*tab!$D$42,0)</f>
        <v>0</v>
      </c>
      <c r="O71" s="608">
        <f>ROUND(I71*tab!$D$42,0)</f>
        <v>0</v>
      </c>
      <c r="P71" s="608">
        <f>ROUND(J71*tab!$D$42,0)</f>
        <v>0</v>
      </c>
      <c r="Q71" s="608">
        <f>ROUND(K71*tab!$D$42,0)</f>
        <v>0</v>
      </c>
      <c r="R71" s="607"/>
      <c r="S71" s="627">
        <v>0</v>
      </c>
      <c r="T71" s="627">
        <f t="shared" si="11"/>
        <v>0</v>
      </c>
      <c r="U71" s="609">
        <f t="shared" si="11"/>
        <v>0</v>
      </c>
      <c r="V71" s="609">
        <f t="shared" si="11"/>
        <v>0</v>
      </c>
      <c r="W71" s="609">
        <f t="shared" si="11"/>
        <v>0</v>
      </c>
      <c r="X71" s="607"/>
      <c r="Y71" s="629">
        <f>+H71*tab!$D$61</f>
        <v>0</v>
      </c>
      <c r="Z71" s="629">
        <f>+I71*tab!$E$61*7/12</f>
        <v>0</v>
      </c>
      <c r="AA71" s="608">
        <f>+J71*tab!$D$61</f>
        <v>0</v>
      </c>
      <c r="AB71" s="608">
        <f>+K71*tab!$D$61</f>
        <v>0</v>
      </c>
      <c r="AC71" s="607"/>
      <c r="AD71" s="628">
        <v>0</v>
      </c>
      <c r="AE71" s="627">
        <f t="shared" si="3"/>
        <v>0</v>
      </c>
      <c r="AF71" s="609">
        <f t="shared" si="12"/>
        <v>0</v>
      </c>
      <c r="AG71" s="609">
        <f t="shared" si="12"/>
        <v>0</v>
      </c>
      <c r="AH71" s="610"/>
      <c r="AI71" s="574"/>
      <c r="AJ71" s="668"/>
      <c r="AK71" s="668"/>
      <c r="AL71" s="668"/>
      <c r="AM71" s="668"/>
      <c r="AN71" s="668"/>
      <c r="AO71" s="668"/>
      <c r="AP71" s="668"/>
      <c r="AQ71" s="668"/>
      <c r="AR71" s="668"/>
      <c r="AS71" s="668"/>
      <c r="AT71" s="668"/>
      <c r="AU71" s="668"/>
      <c r="AV71" s="668"/>
      <c r="AW71" s="668"/>
      <c r="AX71" s="668"/>
      <c r="AY71" s="668"/>
      <c r="AZ71" s="668"/>
      <c r="BA71" s="668"/>
      <c r="BB71" s="668"/>
      <c r="BC71" s="668"/>
      <c r="BD71" s="668"/>
      <c r="BE71" s="668"/>
      <c r="BF71" s="668"/>
      <c r="BG71" s="668"/>
      <c r="BH71" s="668"/>
      <c r="BI71" s="668"/>
    </row>
    <row r="72" spans="1:61" s="534" customFormat="1" x14ac:dyDescent="0.2">
      <c r="A72" s="668"/>
      <c r="B72" s="573"/>
      <c r="C72" s="604"/>
      <c r="D72" s="605">
        <v>60</v>
      </c>
      <c r="E72" s="624"/>
      <c r="F72" s="625"/>
      <c r="G72" s="626"/>
      <c r="H72" s="626">
        <f t="shared" si="10"/>
        <v>0</v>
      </c>
      <c r="I72" s="626">
        <f t="shared" si="10"/>
        <v>0</v>
      </c>
      <c r="J72" s="606">
        <f t="shared" si="10"/>
        <v>0</v>
      </c>
      <c r="K72" s="606">
        <f t="shared" si="10"/>
        <v>0</v>
      </c>
      <c r="L72" s="607"/>
      <c r="M72" s="629">
        <f>ROUND(G72*tab!C$42,0)</f>
        <v>0</v>
      </c>
      <c r="N72" s="629">
        <f>ROUND(H72*tab!$D$42,0)</f>
        <v>0</v>
      </c>
      <c r="O72" s="608">
        <f>ROUND(I72*tab!$D$42,0)</f>
        <v>0</v>
      </c>
      <c r="P72" s="608">
        <f>ROUND(J72*tab!$D$42,0)</f>
        <v>0</v>
      </c>
      <c r="Q72" s="608">
        <f>ROUND(K72*tab!$D$42,0)</f>
        <v>0</v>
      </c>
      <c r="R72" s="607"/>
      <c r="S72" s="627">
        <v>0</v>
      </c>
      <c r="T72" s="627">
        <f t="shared" si="11"/>
        <v>0</v>
      </c>
      <c r="U72" s="609">
        <f t="shared" si="11"/>
        <v>0</v>
      </c>
      <c r="V72" s="609">
        <f t="shared" si="11"/>
        <v>0</v>
      </c>
      <c r="W72" s="609">
        <f t="shared" si="11"/>
        <v>0</v>
      </c>
      <c r="X72" s="607"/>
      <c r="Y72" s="629">
        <f>+H72*tab!$D$61</f>
        <v>0</v>
      </c>
      <c r="Z72" s="629">
        <f>+I72*tab!$E$61*7/12</f>
        <v>0</v>
      </c>
      <c r="AA72" s="608">
        <f>+J72*tab!$D$61</f>
        <v>0</v>
      </c>
      <c r="AB72" s="608">
        <f>+K72*tab!$D$61</f>
        <v>0</v>
      </c>
      <c r="AC72" s="607"/>
      <c r="AD72" s="628">
        <v>0</v>
      </c>
      <c r="AE72" s="627">
        <f t="shared" si="3"/>
        <v>0</v>
      </c>
      <c r="AF72" s="609">
        <f t="shared" si="12"/>
        <v>0</v>
      </c>
      <c r="AG72" s="609">
        <f t="shared" si="12"/>
        <v>0</v>
      </c>
      <c r="AH72" s="610"/>
      <c r="AI72" s="574"/>
      <c r="AJ72" s="668"/>
      <c r="AK72" s="668"/>
      <c r="AL72" s="668"/>
      <c r="AM72" s="668"/>
      <c r="AN72" s="668"/>
      <c r="AO72" s="668"/>
      <c r="AP72" s="668"/>
      <c r="AQ72" s="668"/>
      <c r="AR72" s="668"/>
      <c r="AS72" s="668"/>
      <c r="AT72" s="668"/>
      <c r="AU72" s="668"/>
      <c r="AV72" s="668"/>
      <c r="AW72" s="668"/>
      <c r="AX72" s="668"/>
      <c r="AY72" s="668"/>
      <c r="AZ72" s="668"/>
      <c r="BA72" s="668"/>
      <c r="BB72" s="668"/>
      <c r="BC72" s="668"/>
      <c r="BD72" s="668"/>
      <c r="BE72" s="668"/>
      <c r="BF72" s="668"/>
      <c r="BG72" s="668"/>
      <c r="BH72" s="668"/>
      <c r="BI72" s="668"/>
    </row>
    <row r="73" spans="1:61" s="534" customFormat="1" x14ac:dyDescent="0.2">
      <c r="A73" s="668"/>
      <c r="B73" s="573"/>
      <c r="C73" s="604"/>
      <c r="D73" s="605">
        <v>61</v>
      </c>
      <c r="E73" s="624"/>
      <c r="F73" s="625"/>
      <c r="G73" s="626"/>
      <c r="H73" s="626">
        <f t="shared" si="10"/>
        <v>0</v>
      </c>
      <c r="I73" s="626">
        <f t="shared" si="10"/>
        <v>0</v>
      </c>
      <c r="J73" s="606">
        <f t="shared" si="10"/>
        <v>0</v>
      </c>
      <c r="K73" s="606">
        <f t="shared" si="10"/>
        <v>0</v>
      </c>
      <c r="L73" s="607"/>
      <c r="M73" s="629">
        <f>ROUND(G73*tab!C$42,0)</f>
        <v>0</v>
      </c>
      <c r="N73" s="629">
        <f>ROUND(H73*tab!$D$42,0)</f>
        <v>0</v>
      </c>
      <c r="O73" s="608">
        <f>ROUND(I73*tab!$D$42,0)</f>
        <v>0</v>
      </c>
      <c r="P73" s="608">
        <f>ROUND(J73*tab!$D$42,0)</f>
        <v>0</v>
      </c>
      <c r="Q73" s="608">
        <f>ROUND(K73*tab!$D$42,0)</f>
        <v>0</v>
      </c>
      <c r="R73" s="607"/>
      <c r="S73" s="627">
        <v>0</v>
      </c>
      <c r="T73" s="627">
        <f t="shared" si="11"/>
        <v>0</v>
      </c>
      <c r="U73" s="609">
        <f t="shared" si="11"/>
        <v>0</v>
      </c>
      <c r="V73" s="609">
        <f t="shared" si="11"/>
        <v>0</v>
      </c>
      <c r="W73" s="609">
        <f t="shared" si="11"/>
        <v>0</v>
      </c>
      <c r="X73" s="607"/>
      <c r="Y73" s="629">
        <f>+H73*tab!$D$61</f>
        <v>0</v>
      </c>
      <c r="Z73" s="629">
        <f>+I73*tab!$E$61*7/12</f>
        <v>0</v>
      </c>
      <c r="AA73" s="608">
        <f>+J73*tab!$D$61</f>
        <v>0</v>
      </c>
      <c r="AB73" s="608">
        <f>+K73*tab!$D$61</f>
        <v>0</v>
      </c>
      <c r="AC73" s="607"/>
      <c r="AD73" s="628">
        <v>0</v>
      </c>
      <c r="AE73" s="627">
        <f t="shared" si="3"/>
        <v>0</v>
      </c>
      <c r="AF73" s="609">
        <f t="shared" si="12"/>
        <v>0</v>
      </c>
      <c r="AG73" s="609">
        <f t="shared" si="12"/>
        <v>0</v>
      </c>
      <c r="AH73" s="610"/>
      <c r="AI73" s="574"/>
      <c r="AJ73" s="668"/>
      <c r="AK73" s="668"/>
      <c r="AL73" s="668"/>
      <c r="AM73" s="668"/>
      <c r="AN73" s="668"/>
      <c r="AO73" s="668"/>
      <c r="AP73" s="668"/>
      <c r="AQ73" s="668"/>
      <c r="AR73" s="668"/>
      <c r="AS73" s="668"/>
      <c r="AT73" s="668"/>
      <c r="AU73" s="668"/>
      <c r="AV73" s="668"/>
      <c r="AW73" s="668"/>
      <c r="AX73" s="668"/>
      <c r="AY73" s="668"/>
      <c r="AZ73" s="668"/>
      <c r="BA73" s="668"/>
      <c r="BB73" s="668"/>
      <c r="BC73" s="668"/>
      <c r="BD73" s="668"/>
      <c r="BE73" s="668"/>
      <c r="BF73" s="668"/>
      <c r="BG73" s="668"/>
      <c r="BH73" s="668"/>
      <c r="BI73" s="668"/>
    </row>
    <row r="74" spans="1:61" s="534" customFormat="1" x14ac:dyDescent="0.2">
      <c r="A74" s="668"/>
      <c r="B74" s="573"/>
      <c r="C74" s="604"/>
      <c r="D74" s="605">
        <v>62</v>
      </c>
      <c r="E74" s="624"/>
      <c r="F74" s="625"/>
      <c r="G74" s="626"/>
      <c r="H74" s="626">
        <f t="shared" si="10"/>
        <v>0</v>
      </c>
      <c r="I74" s="626">
        <f t="shared" si="10"/>
        <v>0</v>
      </c>
      <c r="J74" s="606">
        <f t="shared" si="10"/>
        <v>0</v>
      </c>
      <c r="K74" s="606">
        <f t="shared" si="10"/>
        <v>0</v>
      </c>
      <c r="L74" s="607"/>
      <c r="M74" s="629">
        <f>ROUND(G74*tab!C$42,0)</f>
        <v>0</v>
      </c>
      <c r="N74" s="629">
        <f>ROUND(H74*tab!$D$42,0)</f>
        <v>0</v>
      </c>
      <c r="O74" s="608">
        <f>ROUND(I74*tab!$D$42,0)</f>
        <v>0</v>
      </c>
      <c r="P74" s="608">
        <f>ROUND(J74*tab!$D$42,0)</f>
        <v>0</v>
      </c>
      <c r="Q74" s="608">
        <f>ROUND(K74*tab!$D$42,0)</f>
        <v>0</v>
      </c>
      <c r="R74" s="607"/>
      <c r="S74" s="627">
        <v>0</v>
      </c>
      <c r="T74" s="627">
        <f t="shared" si="11"/>
        <v>0</v>
      </c>
      <c r="U74" s="609">
        <f t="shared" si="11"/>
        <v>0</v>
      </c>
      <c r="V74" s="609">
        <f t="shared" si="11"/>
        <v>0</v>
      </c>
      <c r="W74" s="609">
        <f t="shared" si="11"/>
        <v>0</v>
      </c>
      <c r="X74" s="607"/>
      <c r="Y74" s="629">
        <f>+H74*tab!$D$61</f>
        <v>0</v>
      </c>
      <c r="Z74" s="629">
        <f>+I74*tab!$E$61*7/12</f>
        <v>0</v>
      </c>
      <c r="AA74" s="608">
        <f>+J74*tab!$D$61</f>
        <v>0</v>
      </c>
      <c r="AB74" s="608">
        <f>+K74*tab!$D$61</f>
        <v>0</v>
      </c>
      <c r="AC74" s="607"/>
      <c r="AD74" s="628">
        <v>0</v>
      </c>
      <c r="AE74" s="627">
        <f t="shared" si="3"/>
        <v>0</v>
      </c>
      <c r="AF74" s="609">
        <f t="shared" si="12"/>
        <v>0</v>
      </c>
      <c r="AG74" s="609">
        <f t="shared" si="12"/>
        <v>0</v>
      </c>
      <c r="AH74" s="610"/>
      <c r="AI74" s="574"/>
      <c r="AJ74" s="668"/>
      <c r="AK74" s="668"/>
      <c r="AL74" s="668"/>
      <c r="AM74" s="668"/>
      <c r="AN74" s="668"/>
      <c r="AO74" s="668"/>
      <c r="AP74" s="668"/>
      <c r="AQ74" s="668"/>
      <c r="AR74" s="668"/>
      <c r="AS74" s="668"/>
      <c r="AT74" s="668"/>
      <c r="AU74" s="668"/>
      <c r="AV74" s="668"/>
      <c r="AW74" s="668"/>
      <c r="AX74" s="668"/>
      <c r="AY74" s="668"/>
      <c r="AZ74" s="668"/>
      <c r="BA74" s="668"/>
      <c r="BB74" s="668"/>
      <c r="BC74" s="668"/>
      <c r="BD74" s="668"/>
      <c r="BE74" s="668"/>
      <c r="BF74" s="668"/>
      <c r="BG74" s="668"/>
      <c r="BH74" s="668"/>
      <c r="BI74" s="668"/>
    </row>
    <row r="75" spans="1:61" s="534" customFormat="1" x14ac:dyDescent="0.2">
      <c r="A75" s="668"/>
      <c r="B75" s="573"/>
      <c r="C75" s="604"/>
      <c r="D75" s="605">
        <v>63</v>
      </c>
      <c r="E75" s="624"/>
      <c r="F75" s="625"/>
      <c r="G75" s="626"/>
      <c r="H75" s="626">
        <f t="shared" si="10"/>
        <v>0</v>
      </c>
      <c r="I75" s="626">
        <f t="shared" si="10"/>
        <v>0</v>
      </c>
      <c r="J75" s="606">
        <f t="shared" si="10"/>
        <v>0</v>
      </c>
      <c r="K75" s="606">
        <f t="shared" si="10"/>
        <v>0</v>
      </c>
      <c r="L75" s="607"/>
      <c r="M75" s="629">
        <f>ROUND(G75*tab!C$42,0)</f>
        <v>0</v>
      </c>
      <c r="N75" s="629">
        <f>ROUND(H75*tab!$D$42,0)</f>
        <v>0</v>
      </c>
      <c r="O75" s="608">
        <f>ROUND(I75*tab!$D$42,0)</f>
        <v>0</v>
      </c>
      <c r="P75" s="608">
        <f>ROUND(J75*tab!$D$42,0)</f>
        <v>0</v>
      </c>
      <c r="Q75" s="608">
        <f>ROUND(K75*tab!$D$42,0)</f>
        <v>0</v>
      </c>
      <c r="R75" s="607"/>
      <c r="S75" s="627">
        <v>0</v>
      </c>
      <c r="T75" s="627">
        <f t="shared" si="11"/>
        <v>0</v>
      </c>
      <c r="U75" s="609">
        <f t="shared" si="11"/>
        <v>0</v>
      </c>
      <c r="V75" s="609">
        <f t="shared" si="11"/>
        <v>0</v>
      </c>
      <c r="W75" s="609">
        <f t="shared" si="11"/>
        <v>0</v>
      </c>
      <c r="X75" s="607"/>
      <c r="Y75" s="629">
        <f>+H75*tab!$D$61</f>
        <v>0</v>
      </c>
      <c r="Z75" s="629">
        <f>+I75*tab!$E$61*7/12</f>
        <v>0</v>
      </c>
      <c r="AA75" s="608">
        <f>+J75*tab!$D$61</f>
        <v>0</v>
      </c>
      <c r="AB75" s="608">
        <f>+K75*tab!$D$61</f>
        <v>0</v>
      </c>
      <c r="AC75" s="607"/>
      <c r="AD75" s="628">
        <v>0</v>
      </c>
      <c r="AE75" s="627">
        <f t="shared" si="3"/>
        <v>0</v>
      </c>
      <c r="AF75" s="609">
        <f t="shared" si="12"/>
        <v>0</v>
      </c>
      <c r="AG75" s="609">
        <f t="shared" si="12"/>
        <v>0</v>
      </c>
      <c r="AH75" s="610"/>
      <c r="AI75" s="574"/>
      <c r="AJ75" s="668"/>
      <c r="AK75" s="668"/>
      <c r="AL75" s="668"/>
      <c r="AM75" s="668"/>
      <c r="AN75" s="668"/>
      <c r="AO75" s="668"/>
      <c r="AP75" s="668"/>
      <c r="AQ75" s="668"/>
      <c r="AR75" s="668"/>
      <c r="AS75" s="668"/>
      <c r="AT75" s="668"/>
      <c r="AU75" s="668"/>
      <c r="AV75" s="668"/>
      <c r="AW75" s="668"/>
      <c r="AX75" s="668"/>
      <c r="AY75" s="668"/>
      <c r="AZ75" s="668"/>
      <c r="BA75" s="668"/>
      <c r="BB75" s="668"/>
      <c r="BC75" s="668"/>
      <c r="BD75" s="668"/>
      <c r="BE75" s="668"/>
      <c r="BF75" s="668"/>
      <c r="BG75" s="668"/>
      <c r="BH75" s="668"/>
      <c r="BI75" s="668"/>
    </row>
    <row r="76" spans="1:61" s="534" customFormat="1" x14ac:dyDescent="0.2">
      <c r="A76" s="668"/>
      <c r="B76" s="573"/>
      <c r="C76" s="604"/>
      <c r="D76" s="605">
        <v>64</v>
      </c>
      <c r="E76" s="624"/>
      <c r="F76" s="625"/>
      <c r="G76" s="626"/>
      <c r="H76" s="626">
        <f t="shared" si="10"/>
        <v>0</v>
      </c>
      <c r="I76" s="626">
        <f t="shared" si="10"/>
        <v>0</v>
      </c>
      <c r="J76" s="606">
        <f t="shared" si="10"/>
        <v>0</v>
      </c>
      <c r="K76" s="606">
        <f t="shared" si="10"/>
        <v>0</v>
      </c>
      <c r="L76" s="607"/>
      <c r="M76" s="629">
        <f>ROUND(G76*tab!C$42,0)</f>
        <v>0</v>
      </c>
      <c r="N76" s="629">
        <f>ROUND(H76*tab!$D$42,0)</f>
        <v>0</v>
      </c>
      <c r="O76" s="608">
        <f>ROUND(I76*tab!$D$42,0)</f>
        <v>0</v>
      </c>
      <c r="P76" s="608">
        <f>ROUND(J76*tab!$D$42,0)</f>
        <v>0</v>
      </c>
      <c r="Q76" s="608">
        <f>ROUND(K76*tab!$D$42,0)</f>
        <v>0</v>
      </c>
      <c r="R76" s="607"/>
      <c r="S76" s="627">
        <v>0</v>
      </c>
      <c r="T76" s="627">
        <f t="shared" si="11"/>
        <v>0</v>
      </c>
      <c r="U76" s="609">
        <f t="shared" si="11"/>
        <v>0</v>
      </c>
      <c r="V76" s="609">
        <f t="shared" si="11"/>
        <v>0</v>
      </c>
      <c r="W76" s="609">
        <f t="shared" si="11"/>
        <v>0</v>
      </c>
      <c r="X76" s="607"/>
      <c r="Y76" s="629">
        <f>+H76*tab!$D$61</f>
        <v>0</v>
      </c>
      <c r="Z76" s="629">
        <f>+I76*tab!$E$61*7/12</f>
        <v>0</v>
      </c>
      <c r="AA76" s="608">
        <f>+J76*tab!$D$61</f>
        <v>0</v>
      </c>
      <c r="AB76" s="608">
        <f>+K76*tab!$D$61</f>
        <v>0</v>
      </c>
      <c r="AC76" s="607"/>
      <c r="AD76" s="628">
        <v>0</v>
      </c>
      <c r="AE76" s="627">
        <f t="shared" si="3"/>
        <v>0</v>
      </c>
      <c r="AF76" s="609">
        <f t="shared" si="12"/>
        <v>0</v>
      </c>
      <c r="AG76" s="609">
        <f t="shared" si="12"/>
        <v>0</v>
      </c>
      <c r="AH76" s="610"/>
      <c r="AI76" s="574"/>
      <c r="AJ76" s="668"/>
      <c r="AK76" s="668"/>
      <c r="AL76" s="668"/>
      <c r="AM76" s="668"/>
      <c r="AN76" s="668"/>
      <c r="AO76" s="668"/>
      <c r="AP76" s="668"/>
      <c r="AQ76" s="668"/>
      <c r="AR76" s="668"/>
      <c r="AS76" s="668"/>
      <c r="AT76" s="668"/>
      <c r="AU76" s="668"/>
      <c r="AV76" s="668"/>
      <c r="AW76" s="668"/>
      <c r="AX76" s="668"/>
      <c r="AY76" s="668"/>
      <c r="AZ76" s="668"/>
      <c r="BA76" s="668"/>
      <c r="BB76" s="668"/>
      <c r="BC76" s="668"/>
      <c r="BD76" s="668"/>
      <c r="BE76" s="668"/>
      <c r="BF76" s="668"/>
      <c r="BG76" s="668"/>
      <c r="BH76" s="668"/>
      <c r="BI76" s="668"/>
    </row>
    <row r="77" spans="1:61" s="534" customFormat="1" x14ac:dyDescent="0.2">
      <c r="A77" s="668"/>
      <c r="B77" s="573"/>
      <c r="C77" s="604"/>
      <c r="D77" s="605">
        <v>65</v>
      </c>
      <c r="E77" s="624"/>
      <c r="F77" s="625"/>
      <c r="G77" s="626"/>
      <c r="H77" s="626">
        <f t="shared" ref="H77:K87" si="13">G77</f>
        <v>0</v>
      </c>
      <c r="I77" s="626">
        <f t="shared" si="13"/>
        <v>0</v>
      </c>
      <c r="J77" s="606">
        <f t="shared" si="13"/>
        <v>0</v>
      </c>
      <c r="K77" s="606">
        <f t="shared" si="13"/>
        <v>0</v>
      </c>
      <c r="L77" s="607"/>
      <c r="M77" s="629">
        <f>ROUND(G77*tab!C$42,0)</f>
        <v>0</v>
      </c>
      <c r="N77" s="629">
        <f>ROUND(H77*tab!$D$42,0)</f>
        <v>0</v>
      </c>
      <c r="O77" s="608">
        <f>ROUND(I77*tab!$D$42,0)</f>
        <v>0</v>
      </c>
      <c r="P77" s="608">
        <f>ROUND(J77*tab!$D$42,0)</f>
        <v>0</v>
      </c>
      <c r="Q77" s="608">
        <f>ROUND(K77*tab!$D$42,0)</f>
        <v>0</v>
      </c>
      <c r="R77" s="607"/>
      <c r="S77" s="627">
        <v>0</v>
      </c>
      <c r="T77" s="627">
        <f t="shared" ref="T77:W87" si="14">S77</f>
        <v>0</v>
      </c>
      <c r="U77" s="609">
        <f t="shared" si="14"/>
        <v>0</v>
      </c>
      <c r="V77" s="609">
        <f t="shared" si="14"/>
        <v>0</v>
      </c>
      <c r="W77" s="609">
        <f t="shared" si="14"/>
        <v>0</v>
      </c>
      <c r="X77" s="607"/>
      <c r="Y77" s="629">
        <f>+H77*tab!$D$61</f>
        <v>0</v>
      </c>
      <c r="Z77" s="629">
        <f>+I77*tab!$E$61*7/12</f>
        <v>0</v>
      </c>
      <c r="AA77" s="608">
        <f>+J77*tab!$D$61</f>
        <v>0</v>
      </c>
      <c r="AB77" s="608">
        <f>+K77*tab!$D$61</f>
        <v>0</v>
      </c>
      <c r="AC77" s="607"/>
      <c r="AD77" s="628">
        <v>0</v>
      </c>
      <c r="AE77" s="627">
        <f t="shared" si="3"/>
        <v>0</v>
      </c>
      <c r="AF77" s="609">
        <f t="shared" si="12"/>
        <v>0</v>
      </c>
      <c r="AG77" s="609">
        <f t="shared" si="12"/>
        <v>0</v>
      </c>
      <c r="AH77" s="610"/>
      <c r="AI77" s="574"/>
      <c r="AJ77" s="668"/>
      <c r="AK77" s="668"/>
      <c r="AL77" s="668"/>
      <c r="AM77" s="668"/>
      <c r="AN77" s="668"/>
      <c r="AO77" s="668"/>
      <c r="AP77" s="668"/>
      <c r="AQ77" s="668"/>
      <c r="AR77" s="668"/>
      <c r="AS77" s="668"/>
      <c r="AT77" s="668"/>
      <c r="AU77" s="668"/>
      <c r="AV77" s="668"/>
      <c r="AW77" s="668"/>
      <c r="AX77" s="668"/>
      <c r="AY77" s="668"/>
      <c r="AZ77" s="668"/>
      <c r="BA77" s="668"/>
      <c r="BB77" s="668"/>
      <c r="BC77" s="668"/>
      <c r="BD77" s="668"/>
      <c r="BE77" s="668"/>
      <c r="BF77" s="668"/>
      <c r="BG77" s="668"/>
      <c r="BH77" s="668"/>
      <c r="BI77" s="668"/>
    </row>
    <row r="78" spans="1:61" s="534" customFormat="1" x14ac:dyDescent="0.2">
      <c r="A78" s="668"/>
      <c r="B78" s="573"/>
      <c r="C78" s="604"/>
      <c r="D78" s="605">
        <v>66</v>
      </c>
      <c r="E78" s="624"/>
      <c r="F78" s="625"/>
      <c r="G78" s="626"/>
      <c r="H78" s="626">
        <f t="shared" si="13"/>
        <v>0</v>
      </c>
      <c r="I78" s="626">
        <f t="shared" si="13"/>
        <v>0</v>
      </c>
      <c r="J78" s="606">
        <f t="shared" si="13"/>
        <v>0</v>
      </c>
      <c r="K78" s="606">
        <f t="shared" si="13"/>
        <v>0</v>
      </c>
      <c r="L78" s="607"/>
      <c r="M78" s="629">
        <f>ROUND(G78*tab!C$42,0)</f>
        <v>0</v>
      </c>
      <c r="N78" s="629">
        <f>ROUND(H78*tab!$D$42,0)</f>
        <v>0</v>
      </c>
      <c r="O78" s="608">
        <f>ROUND(I78*tab!$D$42,0)</f>
        <v>0</v>
      </c>
      <c r="P78" s="608">
        <f>ROUND(J78*tab!$D$42,0)</f>
        <v>0</v>
      </c>
      <c r="Q78" s="608">
        <f>ROUND(K78*tab!$D$42,0)</f>
        <v>0</v>
      </c>
      <c r="R78" s="607"/>
      <c r="S78" s="627">
        <v>0</v>
      </c>
      <c r="T78" s="627">
        <f t="shared" si="14"/>
        <v>0</v>
      </c>
      <c r="U78" s="609">
        <f t="shared" si="14"/>
        <v>0</v>
      </c>
      <c r="V78" s="609">
        <f t="shared" si="14"/>
        <v>0</v>
      </c>
      <c r="W78" s="609">
        <f t="shared" si="14"/>
        <v>0</v>
      </c>
      <c r="X78" s="607"/>
      <c r="Y78" s="629">
        <f>+H78*tab!$D$61</f>
        <v>0</v>
      </c>
      <c r="Z78" s="629">
        <f>+I78*tab!$E$61*7/12</f>
        <v>0</v>
      </c>
      <c r="AA78" s="608">
        <f>+J78*tab!$D$61</f>
        <v>0</v>
      </c>
      <c r="AB78" s="608">
        <f>+K78*tab!$D$61</f>
        <v>0</v>
      </c>
      <c r="AC78" s="607"/>
      <c r="AD78" s="628">
        <v>0</v>
      </c>
      <c r="AE78" s="627">
        <f t="shared" ref="AE78:AE87" si="15">AD78*7/12</f>
        <v>0</v>
      </c>
      <c r="AF78" s="609">
        <f t="shared" ref="AF78:AG87" si="16">AE78</f>
        <v>0</v>
      </c>
      <c r="AG78" s="609">
        <f t="shared" si="16"/>
        <v>0</v>
      </c>
      <c r="AH78" s="610"/>
      <c r="AI78" s="574"/>
      <c r="AJ78" s="668"/>
      <c r="AK78" s="668"/>
      <c r="AL78" s="668"/>
      <c r="AM78" s="668"/>
      <c r="AN78" s="668"/>
      <c r="AO78" s="668"/>
      <c r="AP78" s="668"/>
      <c r="AQ78" s="668"/>
      <c r="AR78" s="668"/>
      <c r="AS78" s="668"/>
      <c r="AT78" s="668"/>
      <c r="AU78" s="668"/>
      <c r="AV78" s="668"/>
      <c r="AW78" s="668"/>
      <c r="AX78" s="668"/>
      <c r="AY78" s="668"/>
      <c r="AZ78" s="668"/>
      <c r="BA78" s="668"/>
      <c r="BB78" s="668"/>
      <c r="BC78" s="668"/>
      <c r="BD78" s="668"/>
      <c r="BE78" s="668"/>
      <c r="BF78" s="668"/>
      <c r="BG78" s="668"/>
      <c r="BH78" s="668"/>
      <c r="BI78" s="668"/>
    </row>
    <row r="79" spans="1:61" s="534" customFormat="1" x14ac:dyDescent="0.2">
      <c r="A79" s="668"/>
      <c r="B79" s="573"/>
      <c r="C79" s="604"/>
      <c r="D79" s="605">
        <v>67</v>
      </c>
      <c r="E79" s="624"/>
      <c r="F79" s="625"/>
      <c r="G79" s="626"/>
      <c r="H79" s="626">
        <f t="shared" si="13"/>
        <v>0</v>
      </c>
      <c r="I79" s="626">
        <f t="shared" si="13"/>
        <v>0</v>
      </c>
      <c r="J79" s="606">
        <f t="shared" si="13"/>
        <v>0</v>
      </c>
      <c r="K79" s="606">
        <f t="shared" si="13"/>
        <v>0</v>
      </c>
      <c r="L79" s="607"/>
      <c r="M79" s="629">
        <f>ROUND(G79*tab!C$42,0)</f>
        <v>0</v>
      </c>
      <c r="N79" s="629">
        <f>ROUND(H79*tab!$D$42,0)</f>
        <v>0</v>
      </c>
      <c r="O79" s="608">
        <f>ROUND(I79*tab!$D$42,0)</f>
        <v>0</v>
      </c>
      <c r="P79" s="608">
        <f>ROUND(J79*tab!$D$42,0)</f>
        <v>0</v>
      </c>
      <c r="Q79" s="608">
        <f>ROUND(K79*tab!$D$42,0)</f>
        <v>0</v>
      </c>
      <c r="R79" s="607"/>
      <c r="S79" s="627">
        <v>0</v>
      </c>
      <c r="T79" s="627">
        <f t="shared" si="14"/>
        <v>0</v>
      </c>
      <c r="U79" s="609">
        <f t="shared" si="14"/>
        <v>0</v>
      </c>
      <c r="V79" s="609">
        <f t="shared" si="14"/>
        <v>0</v>
      </c>
      <c r="W79" s="609">
        <f t="shared" si="14"/>
        <v>0</v>
      </c>
      <c r="X79" s="607"/>
      <c r="Y79" s="629">
        <f>+H79*tab!$D$61</f>
        <v>0</v>
      </c>
      <c r="Z79" s="629">
        <f>+I79*tab!$E$61*7/12</f>
        <v>0</v>
      </c>
      <c r="AA79" s="608">
        <f>+J79*tab!$D$61</f>
        <v>0</v>
      </c>
      <c r="AB79" s="608">
        <f>+K79*tab!$D$61</f>
        <v>0</v>
      </c>
      <c r="AC79" s="607"/>
      <c r="AD79" s="628">
        <v>0</v>
      </c>
      <c r="AE79" s="627">
        <f t="shared" si="15"/>
        <v>0</v>
      </c>
      <c r="AF79" s="609">
        <f t="shared" si="16"/>
        <v>0</v>
      </c>
      <c r="AG79" s="609">
        <f t="shared" si="16"/>
        <v>0</v>
      </c>
      <c r="AH79" s="610"/>
      <c r="AI79" s="574"/>
      <c r="AJ79" s="668"/>
      <c r="AK79" s="668"/>
      <c r="AL79" s="668"/>
      <c r="AM79" s="668"/>
      <c r="AN79" s="668"/>
      <c r="AO79" s="668"/>
      <c r="AP79" s="668"/>
      <c r="AQ79" s="668"/>
      <c r="AR79" s="668"/>
      <c r="AS79" s="668"/>
      <c r="AT79" s="668"/>
      <c r="AU79" s="668"/>
      <c r="AV79" s="668"/>
      <c r="AW79" s="668"/>
      <c r="AX79" s="668"/>
      <c r="AY79" s="668"/>
      <c r="AZ79" s="668"/>
      <c r="BA79" s="668"/>
      <c r="BB79" s="668"/>
      <c r="BC79" s="668"/>
      <c r="BD79" s="668"/>
      <c r="BE79" s="668"/>
      <c r="BF79" s="668"/>
      <c r="BG79" s="668"/>
      <c r="BH79" s="668"/>
      <c r="BI79" s="668"/>
    </row>
    <row r="80" spans="1:61" s="534" customFormat="1" x14ac:dyDescent="0.2">
      <c r="A80" s="668"/>
      <c r="B80" s="573"/>
      <c r="C80" s="604"/>
      <c r="D80" s="605">
        <v>68</v>
      </c>
      <c r="E80" s="624"/>
      <c r="F80" s="625"/>
      <c r="G80" s="626"/>
      <c r="H80" s="626">
        <f t="shared" si="13"/>
        <v>0</v>
      </c>
      <c r="I80" s="626">
        <f t="shared" si="13"/>
        <v>0</v>
      </c>
      <c r="J80" s="606">
        <f t="shared" si="13"/>
        <v>0</v>
      </c>
      <c r="K80" s="606">
        <f t="shared" si="13"/>
        <v>0</v>
      </c>
      <c r="L80" s="607"/>
      <c r="M80" s="629">
        <f>ROUND(G80*tab!C$42,0)</f>
        <v>0</v>
      </c>
      <c r="N80" s="629">
        <f>ROUND(H80*tab!$D$42,0)</f>
        <v>0</v>
      </c>
      <c r="O80" s="608">
        <f>ROUND(I80*tab!$D$42,0)</f>
        <v>0</v>
      </c>
      <c r="P80" s="608">
        <f>ROUND(J80*tab!$D$42,0)</f>
        <v>0</v>
      </c>
      <c r="Q80" s="608">
        <f>ROUND(K80*tab!$D$42,0)</f>
        <v>0</v>
      </c>
      <c r="R80" s="607"/>
      <c r="S80" s="627">
        <v>0</v>
      </c>
      <c r="T80" s="627">
        <f t="shared" si="14"/>
        <v>0</v>
      </c>
      <c r="U80" s="609">
        <f t="shared" si="14"/>
        <v>0</v>
      </c>
      <c r="V80" s="609">
        <f t="shared" si="14"/>
        <v>0</v>
      </c>
      <c r="W80" s="609">
        <f t="shared" si="14"/>
        <v>0</v>
      </c>
      <c r="X80" s="607"/>
      <c r="Y80" s="629">
        <f>+H80*tab!$D$61</f>
        <v>0</v>
      </c>
      <c r="Z80" s="629">
        <f>+I80*tab!$E$61*7/12</f>
        <v>0</v>
      </c>
      <c r="AA80" s="608">
        <f>+J80*tab!$D$61</f>
        <v>0</v>
      </c>
      <c r="AB80" s="608">
        <f>+K80*tab!$D$61</f>
        <v>0</v>
      </c>
      <c r="AC80" s="607"/>
      <c r="AD80" s="628">
        <v>0</v>
      </c>
      <c r="AE80" s="627">
        <f t="shared" si="15"/>
        <v>0</v>
      </c>
      <c r="AF80" s="609">
        <f t="shared" si="16"/>
        <v>0</v>
      </c>
      <c r="AG80" s="609">
        <f t="shared" si="16"/>
        <v>0</v>
      </c>
      <c r="AH80" s="610"/>
      <c r="AI80" s="574"/>
      <c r="AJ80" s="668"/>
      <c r="AK80" s="668"/>
      <c r="AL80" s="668"/>
      <c r="AM80" s="668"/>
      <c r="AN80" s="668"/>
      <c r="AO80" s="668"/>
      <c r="AP80" s="668"/>
      <c r="AQ80" s="668"/>
      <c r="AR80" s="668"/>
      <c r="AS80" s="668"/>
      <c r="AT80" s="668"/>
      <c r="AU80" s="668"/>
      <c r="AV80" s="668"/>
      <c r="AW80" s="668"/>
      <c r="AX80" s="668"/>
      <c r="AY80" s="668"/>
      <c r="AZ80" s="668"/>
      <c r="BA80" s="668"/>
      <c r="BB80" s="668"/>
      <c r="BC80" s="668"/>
      <c r="BD80" s="668"/>
      <c r="BE80" s="668"/>
      <c r="BF80" s="668"/>
      <c r="BG80" s="668"/>
      <c r="BH80" s="668"/>
      <c r="BI80" s="668"/>
    </row>
    <row r="81" spans="1:61" s="534" customFormat="1" x14ac:dyDescent="0.2">
      <c r="A81" s="668"/>
      <c r="B81" s="573"/>
      <c r="C81" s="604"/>
      <c r="D81" s="605">
        <v>69</v>
      </c>
      <c r="E81" s="624"/>
      <c r="F81" s="625"/>
      <c r="G81" s="626"/>
      <c r="H81" s="626">
        <f t="shared" si="13"/>
        <v>0</v>
      </c>
      <c r="I81" s="626">
        <f t="shared" si="13"/>
        <v>0</v>
      </c>
      <c r="J81" s="606">
        <f t="shared" si="13"/>
        <v>0</v>
      </c>
      <c r="K81" s="606">
        <f t="shared" si="13"/>
        <v>0</v>
      </c>
      <c r="L81" s="607"/>
      <c r="M81" s="629">
        <f>ROUND(G81*tab!C$42,0)</f>
        <v>0</v>
      </c>
      <c r="N81" s="629">
        <f>ROUND(H81*tab!$D$42,0)</f>
        <v>0</v>
      </c>
      <c r="O81" s="608">
        <f>ROUND(I81*tab!$D$42,0)</f>
        <v>0</v>
      </c>
      <c r="P81" s="608">
        <f>ROUND(J81*tab!$D$42,0)</f>
        <v>0</v>
      </c>
      <c r="Q81" s="608">
        <f>ROUND(K81*tab!$D$42,0)</f>
        <v>0</v>
      </c>
      <c r="R81" s="607"/>
      <c r="S81" s="627">
        <v>0</v>
      </c>
      <c r="T81" s="627">
        <f t="shared" si="14"/>
        <v>0</v>
      </c>
      <c r="U81" s="609">
        <f t="shared" si="14"/>
        <v>0</v>
      </c>
      <c r="V81" s="609">
        <f t="shared" si="14"/>
        <v>0</v>
      </c>
      <c r="W81" s="609">
        <f t="shared" si="14"/>
        <v>0</v>
      </c>
      <c r="X81" s="607"/>
      <c r="Y81" s="629">
        <f>+H81*tab!$D$61</f>
        <v>0</v>
      </c>
      <c r="Z81" s="629">
        <f>+I81*tab!$E$61*7/12</f>
        <v>0</v>
      </c>
      <c r="AA81" s="608">
        <f>+J81*tab!$D$61</f>
        <v>0</v>
      </c>
      <c r="AB81" s="608">
        <f>+K81*tab!$D$61</f>
        <v>0</v>
      </c>
      <c r="AC81" s="607"/>
      <c r="AD81" s="628">
        <v>0</v>
      </c>
      <c r="AE81" s="627">
        <f t="shared" si="15"/>
        <v>0</v>
      </c>
      <c r="AF81" s="609">
        <f t="shared" si="16"/>
        <v>0</v>
      </c>
      <c r="AG81" s="609">
        <f t="shared" si="16"/>
        <v>0</v>
      </c>
      <c r="AH81" s="610"/>
      <c r="AI81" s="574"/>
      <c r="AJ81" s="668"/>
      <c r="AK81" s="668"/>
      <c r="AL81" s="668"/>
      <c r="AM81" s="668"/>
      <c r="AN81" s="668"/>
      <c r="AO81" s="668"/>
      <c r="AP81" s="668"/>
      <c r="AQ81" s="668"/>
      <c r="AR81" s="668"/>
      <c r="AS81" s="668"/>
      <c r="AT81" s="668"/>
      <c r="AU81" s="668"/>
      <c r="AV81" s="668"/>
      <c r="AW81" s="668"/>
      <c r="AX81" s="668"/>
      <c r="AY81" s="668"/>
      <c r="AZ81" s="668"/>
      <c r="BA81" s="668"/>
      <c r="BB81" s="668"/>
      <c r="BC81" s="668"/>
      <c r="BD81" s="668"/>
      <c r="BE81" s="668"/>
      <c r="BF81" s="668"/>
      <c r="BG81" s="668"/>
      <c r="BH81" s="668"/>
      <c r="BI81" s="668"/>
    </row>
    <row r="82" spans="1:61" s="534" customFormat="1" x14ac:dyDescent="0.2">
      <c r="A82" s="668"/>
      <c r="B82" s="573"/>
      <c r="C82" s="604"/>
      <c r="D82" s="605">
        <v>70</v>
      </c>
      <c r="E82" s="624"/>
      <c r="F82" s="625"/>
      <c r="G82" s="626"/>
      <c r="H82" s="626">
        <f t="shared" si="13"/>
        <v>0</v>
      </c>
      <c r="I82" s="626">
        <f t="shared" si="13"/>
        <v>0</v>
      </c>
      <c r="J82" s="606">
        <f t="shared" si="13"/>
        <v>0</v>
      </c>
      <c r="K82" s="606">
        <f t="shared" si="13"/>
        <v>0</v>
      </c>
      <c r="L82" s="607"/>
      <c r="M82" s="629">
        <f>ROUND(G82*tab!C$42,0)</f>
        <v>0</v>
      </c>
      <c r="N82" s="629">
        <f>ROUND(H82*tab!$D$42,0)</f>
        <v>0</v>
      </c>
      <c r="O82" s="608">
        <f>ROUND(I82*tab!$D$42,0)</f>
        <v>0</v>
      </c>
      <c r="P82" s="608">
        <f>ROUND(J82*tab!$D$42,0)</f>
        <v>0</v>
      </c>
      <c r="Q82" s="608">
        <f>ROUND(K82*tab!$D$42,0)</f>
        <v>0</v>
      </c>
      <c r="R82" s="607"/>
      <c r="S82" s="627">
        <v>0</v>
      </c>
      <c r="T82" s="627">
        <f t="shared" si="14"/>
        <v>0</v>
      </c>
      <c r="U82" s="609">
        <f t="shared" si="14"/>
        <v>0</v>
      </c>
      <c r="V82" s="609">
        <f t="shared" si="14"/>
        <v>0</v>
      </c>
      <c r="W82" s="609">
        <f t="shared" si="14"/>
        <v>0</v>
      </c>
      <c r="X82" s="607"/>
      <c r="Y82" s="629">
        <f>+H82*tab!$D$61</f>
        <v>0</v>
      </c>
      <c r="Z82" s="629">
        <f>+I82*tab!$E$61*7/12</f>
        <v>0</v>
      </c>
      <c r="AA82" s="608">
        <f>+J82*tab!$D$61</f>
        <v>0</v>
      </c>
      <c r="AB82" s="608">
        <f>+K82*tab!$D$61</f>
        <v>0</v>
      </c>
      <c r="AC82" s="607"/>
      <c r="AD82" s="628">
        <v>0</v>
      </c>
      <c r="AE82" s="627">
        <f t="shared" si="15"/>
        <v>0</v>
      </c>
      <c r="AF82" s="609">
        <f t="shared" si="16"/>
        <v>0</v>
      </c>
      <c r="AG82" s="609">
        <f t="shared" si="16"/>
        <v>0</v>
      </c>
      <c r="AH82" s="610"/>
      <c r="AI82" s="574"/>
      <c r="AJ82" s="668"/>
      <c r="AK82" s="668"/>
      <c r="AL82" s="668"/>
      <c r="AM82" s="668"/>
      <c r="AN82" s="668"/>
      <c r="AO82" s="668"/>
      <c r="AP82" s="668"/>
      <c r="AQ82" s="668"/>
      <c r="AR82" s="668"/>
      <c r="AS82" s="668"/>
      <c r="AT82" s="668"/>
      <c r="AU82" s="668"/>
      <c r="AV82" s="668"/>
      <c r="AW82" s="668"/>
      <c r="AX82" s="668"/>
      <c r="AY82" s="668"/>
      <c r="AZ82" s="668"/>
      <c r="BA82" s="668"/>
      <c r="BB82" s="668"/>
      <c r="BC82" s="668"/>
      <c r="BD82" s="668"/>
      <c r="BE82" s="668"/>
      <c r="BF82" s="668"/>
      <c r="BG82" s="668"/>
      <c r="BH82" s="668"/>
      <c r="BI82" s="668"/>
    </row>
    <row r="83" spans="1:61" s="534" customFormat="1" x14ac:dyDescent="0.2">
      <c r="A83" s="668"/>
      <c r="B83" s="573"/>
      <c r="C83" s="604"/>
      <c r="D83" s="605">
        <v>71</v>
      </c>
      <c r="E83" s="624"/>
      <c r="F83" s="625"/>
      <c r="G83" s="626"/>
      <c r="H83" s="626">
        <f t="shared" si="13"/>
        <v>0</v>
      </c>
      <c r="I83" s="626">
        <f t="shared" si="13"/>
        <v>0</v>
      </c>
      <c r="J83" s="606">
        <f t="shared" si="13"/>
        <v>0</v>
      </c>
      <c r="K83" s="606">
        <f t="shared" si="13"/>
        <v>0</v>
      </c>
      <c r="L83" s="607"/>
      <c r="M83" s="629">
        <f>ROUND(G83*tab!C$42,0)</f>
        <v>0</v>
      </c>
      <c r="N83" s="629">
        <f>ROUND(H83*tab!$D$42,0)</f>
        <v>0</v>
      </c>
      <c r="O83" s="608">
        <f>ROUND(I83*tab!$D$42,0)</f>
        <v>0</v>
      </c>
      <c r="P83" s="608">
        <f>ROUND(J83*tab!$D$42,0)</f>
        <v>0</v>
      </c>
      <c r="Q83" s="608">
        <f>ROUND(K83*tab!$D$42,0)</f>
        <v>0</v>
      </c>
      <c r="R83" s="607"/>
      <c r="S83" s="627">
        <v>0</v>
      </c>
      <c r="T83" s="627">
        <f t="shared" si="14"/>
        <v>0</v>
      </c>
      <c r="U83" s="609">
        <f t="shared" si="14"/>
        <v>0</v>
      </c>
      <c r="V83" s="609">
        <f t="shared" si="14"/>
        <v>0</v>
      </c>
      <c r="W83" s="609">
        <f t="shared" si="14"/>
        <v>0</v>
      </c>
      <c r="X83" s="607"/>
      <c r="Y83" s="629">
        <f>+H83*tab!$D$61</f>
        <v>0</v>
      </c>
      <c r="Z83" s="629">
        <f>+I83*tab!$E$61*7/12</f>
        <v>0</v>
      </c>
      <c r="AA83" s="608">
        <f>+J83*tab!$D$61</f>
        <v>0</v>
      </c>
      <c r="AB83" s="608">
        <f>+K83*tab!$D$61</f>
        <v>0</v>
      </c>
      <c r="AC83" s="607"/>
      <c r="AD83" s="628">
        <v>0</v>
      </c>
      <c r="AE83" s="627">
        <f t="shared" si="15"/>
        <v>0</v>
      </c>
      <c r="AF83" s="609">
        <f t="shared" si="16"/>
        <v>0</v>
      </c>
      <c r="AG83" s="609">
        <f t="shared" si="16"/>
        <v>0</v>
      </c>
      <c r="AH83" s="610"/>
      <c r="AI83" s="574"/>
      <c r="AJ83" s="668"/>
      <c r="AK83" s="668"/>
      <c r="AL83" s="668"/>
      <c r="AM83" s="668"/>
      <c r="AN83" s="668"/>
      <c r="AO83" s="668"/>
      <c r="AP83" s="668"/>
      <c r="AQ83" s="668"/>
      <c r="AR83" s="668"/>
      <c r="AS83" s="668"/>
      <c r="AT83" s="668"/>
      <c r="AU83" s="668"/>
      <c r="AV83" s="668"/>
      <c r="AW83" s="668"/>
      <c r="AX83" s="668"/>
      <c r="AY83" s="668"/>
      <c r="AZ83" s="668"/>
      <c r="BA83" s="668"/>
      <c r="BB83" s="668"/>
      <c r="BC83" s="668"/>
      <c r="BD83" s="668"/>
      <c r="BE83" s="668"/>
      <c r="BF83" s="668"/>
      <c r="BG83" s="668"/>
      <c r="BH83" s="668"/>
      <c r="BI83" s="668"/>
    </row>
    <row r="84" spans="1:61" s="534" customFormat="1" x14ac:dyDescent="0.2">
      <c r="A84" s="668"/>
      <c r="B84" s="573"/>
      <c r="C84" s="604"/>
      <c r="D84" s="605">
        <v>72</v>
      </c>
      <c r="E84" s="624"/>
      <c r="F84" s="625"/>
      <c r="G84" s="626"/>
      <c r="H84" s="626">
        <f t="shared" si="13"/>
        <v>0</v>
      </c>
      <c r="I84" s="626">
        <f t="shared" si="13"/>
        <v>0</v>
      </c>
      <c r="J84" s="606">
        <f t="shared" si="13"/>
        <v>0</v>
      </c>
      <c r="K84" s="606">
        <f t="shared" si="13"/>
        <v>0</v>
      </c>
      <c r="L84" s="607"/>
      <c r="M84" s="629">
        <f>ROUND(G84*tab!C$42,0)</f>
        <v>0</v>
      </c>
      <c r="N84" s="629">
        <f>ROUND(H84*tab!$D$42,0)</f>
        <v>0</v>
      </c>
      <c r="O84" s="608">
        <f>ROUND(I84*tab!$D$42,0)</f>
        <v>0</v>
      </c>
      <c r="P84" s="608">
        <f>ROUND(J84*tab!$D$42,0)</f>
        <v>0</v>
      </c>
      <c r="Q84" s="608">
        <f>ROUND(K84*tab!$D$42,0)</f>
        <v>0</v>
      </c>
      <c r="R84" s="607"/>
      <c r="S84" s="627">
        <v>0</v>
      </c>
      <c r="T84" s="627">
        <f t="shared" si="14"/>
        <v>0</v>
      </c>
      <c r="U84" s="609">
        <f t="shared" si="14"/>
        <v>0</v>
      </c>
      <c r="V84" s="609">
        <f t="shared" si="14"/>
        <v>0</v>
      </c>
      <c r="W84" s="609">
        <f t="shared" si="14"/>
        <v>0</v>
      </c>
      <c r="X84" s="607"/>
      <c r="Y84" s="629">
        <f>+H84*tab!$D$61</f>
        <v>0</v>
      </c>
      <c r="Z84" s="629">
        <f>+I84*tab!$E$61*7/12</f>
        <v>0</v>
      </c>
      <c r="AA84" s="608">
        <f>+J84*tab!$D$61</f>
        <v>0</v>
      </c>
      <c r="AB84" s="608">
        <f>+K84*tab!$D$61</f>
        <v>0</v>
      </c>
      <c r="AC84" s="607"/>
      <c r="AD84" s="628">
        <v>0</v>
      </c>
      <c r="AE84" s="627">
        <f t="shared" si="15"/>
        <v>0</v>
      </c>
      <c r="AF84" s="609">
        <f t="shared" si="16"/>
        <v>0</v>
      </c>
      <c r="AG84" s="609">
        <f t="shared" si="16"/>
        <v>0</v>
      </c>
      <c r="AH84" s="610"/>
      <c r="AI84" s="574"/>
      <c r="AJ84" s="668"/>
      <c r="AK84" s="668"/>
      <c r="AL84" s="668"/>
      <c r="AM84" s="668"/>
      <c r="AN84" s="668"/>
      <c r="AO84" s="668"/>
      <c r="AP84" s="668"/>
      <c r="AQ84" s="668"/>
      <c r="AR84" s="668"/>
      <c r="AS84" s="668"/>
      <c r="AT84" s="668"/>
      <c r="AU84" s="668"/>
      <c r="AV84" s="668"/>
      <c r="AW84" s="668"/>
      <c r="AX84" s="668"/>
      <c r="AY84" s="668"/>
      <c r="AZ84" s="668"/>
      <c r="BA84" s="668"/>
      <c r="BB84" s="668"/>
      <c r="BC84" s="668"/>
      <c r="BD84" s="668"/>
      <c r="BE84" s="668"/>
      <c r="BF84" s="668"/>
      <c r="BG84" s="668"/>
      <c r="BH84" s="668"/>
      <c r="BI84" s="668"/>
    </row>
    <row r="85" spans="1:61" s="534" customFormat="1" x14ac:dyDescent="0.2">
      <c r="A85" s="668"/>
      <c r="B85" s="573"/>
      <c r="C85" s="604"/>
      <c r="D85" s="605">
        <v>73</v>
      </c>
      <c r="E85" s="624"/>
      <c r="F85" s="625"/>
      <c r="G85" s="626"/>
      <c r="H85" s="626">
        <f t="shared" si="13"/>
        <v>0</v>
      </c>
      <c r="I85" s="626">
        <f t="shared" si="13"/>
        <v>0</v>
      </c>
      <c r="J85" s="606">
        <f t="shared" si="13"/>
        <v>0</v>
      </c>
      <c r="K85" s="606">
        <f t="shared" si="13"/>
        <v>0</v>
      </c>
      <c r="L85" s="607"/>
      <c r="M85" s="629">
        <f>ROUND(G85*tab!C$42,0)</f>
        <v>0</v>
      </c>
      <c r="N85" s="629">
        <f>ROUND(H85*tab!$D$42,0)</f>
        <v>0</v>
      </c>
      <c r="O85" s="608">
        <f>ROUND(I85*tab!$D$42,0)</f>
        <v>0</v>
      </c>
      <c r="P85" s="608">
        <f>ROUND(J85*tab!$D$42,0)</f>
        <v>0</v>
      </c>
      <c r="Q85" s="608">
        <f>ROUND(K85*tab!$D$42,0)</f>
        <v>0</v>
      </c>
      <c r="R85" s="607"/>
      <c r="S85" s="627">
        <v>0</v>
      </c>
      <c r="T85" s="627">
        <f t="shared" si="14"/>
        <v>0</v>
      </c>
      <c r="U85" s="609">
        <f t="shared" si="14"/>
        <v>0</v>
      </c>
      <c r="V85" s="609">
        <f t="shared" si="14"/>
        <v>0</v>
      </c>
      <c r="W85" s="609">
        <f t="shared" si="14"/>
        <v>0</v>
      </c>
      <c r="X85" s="607"/>
      <c r="Y85" s="629">
        <f>+H85*tab!$D$61</f>
        <v>0</v>
      </c>
      <c r="Z85" s="629">
        <f>+I85*tab!$E$61*7/12</f>
        <v>0</v>
      </c>
      <c r="AA85" s="608">
        <f>+J85*tab!$D$61</f>
        <v>0</v>
      </c>
      <c r="AB85" s="608">
        <f>+K85*tab!$D$61</f>
        <v>0</v>
      </c>
      <c r="AC85" s="607"/>
      <c r="AD85" s="628">
        <v>0</v>
      </c>
      <c r="AE85" s="627">
        <f t="shared" si="15"/>
        <v>0</v>
      </c>
      <c r="AF85" s="609">
        <f t="shared" si="16"/>
        <v>0</v>
      </c>
      <c r="AG85" s="609">
        <f t="shared" si="16"/>
        <v>0</v>
      </c>
      <c r="AH85" s="610"/>
      <c r="AI85" s="574"/>
      <c r="AJ85" s="668"/>
      <c r="AK85" s="668"/>
      <c r="AL85" s="668"/>
      <c r="AM85" s="668"/>
      <c r="AN85" s="668"/>
      <c r="AO85" s="668"/>
      <c r="AP85" s="668"/>
      <c r="AQ85" s="668"/>
      <c r="AR85" s="668"/>
      <c r="AS85" s="668"/>
      <c r="AT85" s="668"/>
      <c r="AU85" s="668"/>
      <c r="AV85" s="668"/>
      <c r="AW85" s="668"/>
      <c r="AX85" s="668"/>
      <c r="AY85" s="668"/>
      <c r="AZ85" s="668"/>
      <c r="BA85" s="668"/>
      <c r="BB85" s="668"/>
      <c r="BC85" s="668"/>
      <c r="BD85" s="668"/>
      <c r="BE85" s="668"/>
      <c r="BF85" s="668"/>
      <c r="BG85" s="668"/>
      <c r="BH85" s="668"/>
      <c r="BI85" s="668"/>
    </row>
    <row r="86" spans="1:61" s="534" customFormat="1" x14ac:dyDescent="0.2">
      <c r="A86" s="668"/>
      <c r="B86" s="573"/>
      <c r="C86" s="604"/>
      <c r="D86" s="605">
        <v>74</v>
      </c>
      <c r="E86" s="624"/>
      <c r="F86" s="625"/>
      <c r="G86" s="626"/>
      <c r="H86" s="626">
        <f t="shared" si="13"/>
        <v>0</v>
      </c>
      <c r="I86" s="626">
        <f t="shared" si="13"/>
        <v>0</v>
      </c>
      <c r="J86" s="606">
        <f t="shared" si="13"/>
        <v>0</v>
      </c>
      <c r="K86" s="606">
        <f t="shared" si="13"/>
        <v>0</v>
      </c>
      <c r="L86" s="607"/>
      <c r="M86" s="629">
        <f>ROUND(G86*tab!C$42,0)</f>
        <v>0</v>
      </c>
      <c r="N86" s="629">
        <f>ROUND(H86*tab!$D$42,0)</f>
        <v>0</v>
      </c>
      <c r="O86" s="608">
        <f>ROUND(I86*tab!$D$42,0)</f>
        <v>0</v>
      </c>
      <c r="P86" s="608">
        <f>ROUND(J86*tab!$D$42,0)</f>
        <v>0</v>
      </c>
      <c r="Q86" s="608">
        <f>ROUND(K86*tab!$D$42,0)</f>
        <v>0</v>
      </c>
      <c r="R86" s="607"/>
      <c r="S86" s="627">
        <v>0</v>
      </c>
      <c r="T86" s="627">
        <f t="shared" si="14"/>
        <v>0</v>
      </c>
      <c r="U86" s="609">
        <f t="shared" si="14"/>
        <v>0</v>
      </c>
      <c r="V86" s="609">
        <f t="shared" si="14"/>
        <v>0</v>
      </c>
      <c r="W86" s="609">
        <f t="shared" si="14"/>
        <v>0</v>
      </c>
      <c r="X86" s="607"/>
      <c r="Y86" s="629">
        <f>+H86*tab!$D$61</f>
        <v>0</v>
      </c>
      <c r="Z86" s="629">
        <f>+I86*tab!$E$61*7/12</f>
        <v>0</v>
      </c>
      <c r="AA86" s="608">
        <f>+J86*tab!$D$61</f>
        <v>0</v>
      </c>
      <c r="AB86" s="608">
        <f>+K86*tab!$D$61</f>
        <v>0</v>
      </c>
      <c r="AC86" s="607"/>
      <c r="AD86" s="628">
        <v>0</v>
      </c>
      <c r="AE86" s="627">
        <f t="shared" si="15"/>
        <v>0</v>
      </c>
      <c r="AF86" s="609">
        <f t="shared" si="16"/>
        <v>0</v>
      </c>
      <c r="AG86" s="609">
        <f t="shared" si="16"/>
        <v>0</v>
      </c>
      <c r="AH86" s="610"/>
      <c r="AI86" s="574"/>
      <c r="AJ86" s="668"/>
      <c r="AK86" s="668"/>
      <c r="AL86" s="668"/>
      <c r="AM86" s="668"/>
      <c r="AN86" s="668"/>
      <c r="AO86" s="668"/>
      <c r="AP86" s="668"/>
      <c r="AQ86" s="668"/>
      <c r="AR86" s="668"/>
      <c r="AS86" s="668"/>
      <c r="AT86" s="668"/>
      <c r="AU86" s="668"/>
      <c r="AV86" s="668"/>
      <c r="AW86" s="668"/>
      <c r="AX86" s="668"/>
      <c r="AY86" s="668"/>
      <c r="AZ86" s="668"/>
      <c r="BA86" s="668"/>
      <c r="BB86" s="668"/>
      <c r="BC86" s="668"/>
      <c r="BD86" s="668"/>
      <c r="BE86" s="668"/>
      <c r="BF86" s="668"/>
      <c r="BG86" s="668"/>
      <c r="BH86" s="668"/>
      <c r="BI86" s="668"/>
    </row>
    <row r="87" spans="1:61" s="534" customFormat="1" x14ac:dyDescent="0.2">
      <c r="A87" s="668"/>
      <c r="B87" s="573"/>
      <c r="C87" s="604"/>
      <c r="D87" s="605">
        <v>75</v>
      </c>
      <c r="E87" s="624"/>
      <c r="F87" s="625"/>
      <c r="G87" s="626"/>
      <c r="H87" s="626">
        <f t="shared" si="13"/>
        <v>0</v>
      </c>
      <c r="I87" s="626">
        <f t="shared" si="13"/>
        <v>0</v>
      </c>
      <c r="J87" s="606">
        <f t="shared" si="13"/>
        <v>0</v>
      </c>
      <c r="K87" s="606">
        <f t="shared" si="13"/>
        <v>0</v>
      </c>
      <c r="L87" s="607"/>
      <c r="M87" s="629">
        <f>ROUND(G87*tab!C$42,0)</f>
        <v>0</v>
      </c>
      <c r="N87" s="629">
        <f>ROUND(H87*tab!$D$42,0)</f>
        <v>0</v>
      </c>
      <c r="O87" s="608">
        <f>ROUND(I87*tab!$D$42,0)</f>
        <v>0</v>
      </c>
      <c r="P87" s="608">
        <f>ROUND(J87*tab!$D$42,0)</f>
        <v>0</v>
      </c>
      <c r="Q87" s="608">
        <f>ROUND(K87*tab!$D$42,0)</f>
        <v>0</v>
      </c>
      <c r="R87" s="607"/>
      <c r="S87" s="627">
        <v>0</v>
      </c>
      <c r="T87" s="627">
        <f t="shared" si="14"/>
        <v>0</v>
      </c>
      <c r="U87" s="609">
        <f t="shared" si="14"/>
        <v>0</v>
      </c>
      <c r="V87" s="609">
        <f t="shared" si="14"/>
        <v>0</v>
      </c>
      <c r="W87" s="609">
        <f t="shared" si="14"/>
        <v>0</v>
      </c>
      <c r="X87" s="607"/>
      <c r="Y87" s="629">
        <f>+H87*tab!$D$61</f>
        <v>0</v>
      </c>
      <c r="Z87" s="629">
        <f>+I87*tab!$E$61*7/12</f>
        <v>0</v>
      </c>
      <c r="AA87" s="608">
        <f>+J87*tab!$D$61</f>
        <v>0</v>
      </c>
      <c r="AB87" s="608">
        <f>+K87*tab!$D$61</f>
        <v>0</v>
      </c>
      <c r="AC87" s="607"/>
      <c r="AD87" s="628">
        <v>0</v>
      </c>
      <c r="AE87" s="627">
        <f t="shared" si="15"/>
        <v>0</v>
      </c>
      <c r="AF87" s="609">
        <f t="shared" si="16"/>
        <v>0</v>
      </c>
      <c r="AG87" s="609">
        <f t="shared" si="16"/>
        <v>0</v>
      </c>
      <c r="AH87" s="610"/>
      <c r="AI87" s="574"/>
      <c r="AJ87" s="668"/>
      <c r="AK87" s="668"/>
      <c r="AL87" s="668"/>
      <c r="AM87" s="668"/>
      <c r="AN87" s="668"/>
      <c r="AO87" s="668"/>
      <c r="AP87" s="668"/>
      <c r="AQ87" s="668"/>
      <c r="AR87" s="668"/>
      <c r="AS87" s="668"/>
      <c r="AT87" s="668"/>
      <c r="AU87" s="668"/>
      <c r="AV87" s="668"/>
      <c r="AW87" s="668"/>
      <c r="AX87" s="668"/>
      <c r="AY87" s="668"/>
      <c r="AZ87" s="668"/>
      <c r="BA87" s="668"/>
      <c r="BB87" s="668"/>
      <c r="BC87" s="668"/>
      <c r="BD87" s="668"/>
      <c r="BE87" s="668"/>
      <c r="BF87" s="668"/>
      <c r="BG87" s="668"/>
      <c r="BH87" s="668"/>
      <c r="BI87" s="668"/>
    </row>
    <row r="88" spans="1:61" s="541" customFormat="1" x14ac:dyDescent="0.2">
      <c r="A88" s="669"/>
      <c r="B88" s="575"/>
      <c r="C88" s="611"/>
      <c r="D88" s="612"/>
      <c r="E88" s="612"/>
      <c r="F88" s="613" t="s">
        <v>54</v>
      </c>
      <c r="G88" s="630">
        <f>SUM(G13:G87)</f>
        <v>6000</v>
      </c>
      <c r="H88" s="630">
        <f>SUM(H13:H87)</f>
        <v>6000</v>
      </c>
      <c r="I88" s="630">
        <f>SUM(I13:I87)</f>
        <v>6000</v>
      </c>
      <c r="J88" s="614">
        <f>SUM(J13:J87)</f>
        <v>6000</v>
      </c>
      <c r="K88" s="614">
        <f>SUM(K13:K87)</f>
        <v>6000</v>
      </c>
      <c r="L88" s="614"/>
      <c r="M88" s="631">
        <f>ROUND(SUM(M13:M87),0)</f>
        <v>890960</v>
      </c>
      <c r="N88" s="631">
        <f>ROUND(SUM(N13:N87),0)</f>
        <v>893280</v>
      </c>
      <c r="O88" s="615">
        <f>ROUND(SUM(O13:O87),0)</f>
        <v>893280</v>
      </c>
      <c r="P88" s="615">
        <f>ROUND(SUM(P13:P87),0)</f>
        <v>893280</v>
      </c>
      <c r="Q88" s="615">
        <f>ROUND(SUM(Q13:Q87),0)</f>
        <v>893280</v>
      </c>
      <c r="R88" s="614"/>
      <c r="S88" s="616">
        <f>SUM(S13:S87)</f>
        <v>0</v>
      </c>
      <c r="T88" s="616">
        <f>SUM(T13:T87)</f>
        <v>0</v>
      </c>
      <c r="U88" s="616">
        <f>SUM(U13:U87)</f>
        <v>0</v>
      </c>
      <c r="V88" s="616">
        <f>SUM(V13:V87)</f>
        <v>0</v>
      </c>
      <c r="W88" s="616">
        <f>SUM(W13:W87)</f>
        <v>0</v>
      </c>
      <c r="X88" s="614"/>
      <c r="Y88" s="631">
        <f>SUM(Y13:Y87)</f>
        <v>44280</v>
      </c>
      <c r="Z88" s="631">
        <f>SUM(Z13:Z87)</f>
        <v>26180</v>
      </c>
      <c r="AA88" s="615">
        <f>SUM(AA13:AA87)</f>
        <v>44280</v>
      </c>
      <c r="AB88" s="615">
        <f>SUM(AB13:AB87)</f>
        <v>44280</v>
      </c>
      <c r="AC88" s="614"/>
      <c r="AD88" s="615">
        <f>SUM(AD13:AD87)</f>
        <v>0</v>
      </c>
      <c r="AE88" s="615">
        <f>SUM(AE13:AE87)</f>
        <v>0</v>
      </c>
      <c r="AF88" s="615">
        <f>SUM(AF13:AF87)</f>
        <v>0</v>
      </c>
      <c r="AG88" s="615">
        <f>SUM(AG13:AG87)</f>
        <v>0</v>
      </c>
      <c r="AH88" s="617"/>
      <c r="AI88" s="576"/>
      <c r="AJ88" s="669"/>
      <c r="AK88" s="669"/>
      <c r="AL88" s="669"/>
      <c r="AM88" s="669"/>
      <c r="AN88" s="669"/>
      <c r="AO88" s="669"/>
      <c r="AP88" s="669"/>
      <c r="AQ88" s="669"/>
      <c r="AR88" s="669"/>
      <c r="AS88" s="669"/>
      <c r="AT88" s="669"/>
      <c r="AU88" s="669"/>
      <c r="AV88" s="669"/>
      <c r="AW88" s="669"/>
      <c r="AX88" s="669"/>
      <c r="AY88" s="669"/>
      <c r="AZ88" s="669"/>
      <c r="BA88" s="669"/>
      <c r="BB88" s="669"/>
      <c r="BC88" s="669"/>
      <c r="BD88" s="669"/>
      <c r="BE88" s="669"/>
      <c r="BF88" s="669"/>
      <c r="BG88" s="669"/>
      <c r="BH88" s="669"/>
      <c r="BI88" s="669"/>
    </row>
    <row r="89" spans="1:61" x14ac:dyDescent="0.2">
      <c r="B89" s="563"/>
      <c r="C89" s="618"/>
      <c r="D89" s="619"/>
      <c r="E89" s="619"/>
      <c r="F89" s="620"/>
      <c r="G89" s="621"/>
      <c r="H89" s="621"/>
      <c r="I89" s="621"/>
      <c r="J89" s="621"/>
      <c r="K89" s="621"/>
      <c r="L89" s="621"/>
      <c r="M89" s="622"/>
      <c r="N89" s="622"/>
      <c r="O89" s="622"/>
      <c r="P89" s="622"/>
      <c r="Q89" s="622"/>
      <c r="R89" s="621"/>
      <c r="S89" s="622"/>
      <c r="T89" s="622"/>
      <c r="U89" s="622"/>
      <c r="V89" s="622"/>
      <c r="W89" s="622"/>
      <c r="X89" s="621"/>
      <c r="Y89" s="622"/>
      <c r="Z89" s="622"/>
      <c r="AA89" s="622"/>
      <c r="AB89" s="622"/>
      <c r="AC89" s="621"/>
      <c r="AD89" s="622"/>
      <c r="AE89" s="622"/>
      <c r="AF89" s="622"/>
      <c r="AG89" s="622"/>
      <c r="AH89" s="623"/>
      <c r="AI89" s="564"/>
    </row>
    <row r="90" spans="1:61" x14ac:dyDescent="0.2">
      <c r="B90" s="563"/>
      <c r="C90" s="542"/>
      <c r="D90" s="543"/>
      <c r="E90" s="543"/>
      <c r="F90" s="544"/>
      <c r="G90" s="545"/>
      <c r="H90" s="545"/>
      <c r="I90" s="545"/>
      <c r="J90" s="545"/>
      <c r="K90" s="545"/>
      <c r="L90" s="545"/>
      <c r="M90" s="542"/>
      <c r="N90" s="542"/>
      <c r="O90" s="542"/>
      <c r="P90" s="542"/>
      <c r="Q90" s="542"/>
      <c r="R90" s="545"/>
      <c r="S90" s="542"/>
      <c r="T90" s="542"/>
      <c r="U90" s="542"/>
      <c r="V90" s="542"/>
      <c r="W90" s="542"/>
      <c r="X90" s="545"/>
      <c r="Y90" s="542"/>
      <c r="Z90" s="542"/>
      <c r="AA90" s="542"/>
      <c r="AB90" s="542"/>
      <c r="AC90" s="545"/>
      <c r="AD90" s="542"/>
      <c r="AE90" s="542"/>
      <c r="AF90" s="542"/>
      <c r="AG90" s="542"/>
      <c r="AH90" s="542"/>
      <c r="AI90" s="564"/>
    </row>
    <row r="91" spans="1:61" x14ac:dyDescent="0.2">
      <c r="B91" s="577"/>
      <c r="C91" s="578"/>
      <c r="D91" s="579"/>
      <c r="E91" s="579"/>
      <c r="F91" s="580"/>
      <c r="G91" s="581"/>
      <c r="H91" s="581"/>
      <c r="I91" s="581"/>
      <c r="J91" s="581"/>
      <c r="K91" s="581"/>
      <c r="L91" s="581"/>
      <c r="M91" s="578"/>
      <c r="N91" s="578"/>
      <c r="O91" s="578"/>
      <c r="P91" s="578"/>
      <c r="Q91" s="578"/>
      <c r="R91" s="581"/>
      <c r="S91" s="578"/>
      <c r="T91" s="578"/>
      <c r="U91" s="578"/>
      <c r="V91" s="578"/>
      <c r="W91" s="578"/>
      <c r="X91" s="581"/>
      <c r="Y91" s="578"/>
      <c r="Z91" s="578"/>
      <c r="AA91" s="578"/>
      <c r="AB91" s="578"/>
      <c r="AC91" s="581"/>
      <c r="AD91" s="578"/>
      <c r="AE91" s="578"/>
      <c r="AF91" s="578"/>
      <c r="AG91" s="578"/>
      <c r="AH91" s="578"/>
      <c r="AI91" s="582"/>
    </row>
    <row r="92" spans="1:61" s="663" customFormat="1" x14ac:dyDescent="0.2">
      <c r="D92" s="670"/>
      <c r="E92" s="670"/>
      <c r="F92" s="671"/>
      <c r="G92" s="668"/>
      <c r="H92" s="668"/>
      <c r="I92" s="668"/>
      <c r="J92" s="668"/>
      <c r="K92" s="668"/>
      <c r="L92" s="668"/>
      <c r="R92" s="668"/>
      <c r="X92" s="668"/>
      <c r="AC92" s="668"/>
    </row>
    <row r="93" spans="1:61" s="663" customFormat="1" x14ac:dyDescent="0.2">
      <c r="D93" s="670"/>
      <c r="E93" s="670"/>
      <c r="F93" s="671"/>
      <c r="G93" s="668"/>
      <c r="H93" s="668"/>
      <c r="I93" s="668"/>
      <c r="J93" s="668"/>
      <c r="K93" s="668"/>
      <c r="L93" s="668"/>
      <c r="R93" s="668"/>
      <c r="X93" s="668"/>
      <c r="AC93" s="668"/>
    </row>
    <row r="94" spans="1:61" s="665" customFormat="1" x14ac:dyDescent="0.2">
      <c r="D94" s="672"/>
      <c r="E94" s="672"/>
      <c r="F94" s="673"/>
      <c r="G94" s="674"/>
      <c r="H94" s="674"/>
      <c r="I94" s="674"/>
      <c r="J94" s="674"/>
      <c r="K94" s="674"/>
      <c r="L94" s="674"/>
      <c r="R94" s="674"/>
      <c r="X94" s="674"/>
      <c r="AC94" s="674"/>
    </row>
    <row r="95" spans="1:61" s="663" customFormat="1" x14ac:dyDescent="0.2">
      <c r="D95" s="670"/>
      <c r="E95" s="670"/>
      <c r="F95" s="671"/>
      <c r="G95" s="668"/>
      <c r="H95" s="668"/>
      <c r="I95" s="668"/>
      <c r="J95" s="668"/>
      <c r="K95" s="668"/>
      <c r="L95" s="668"/>
      <c r="R95" s="668"/>
      <c r="X95" s="668"/>
      <c r="AC95" s="668"/>
    </row>
    <row r="96" spans="1:61" s="663" customFormat="1" x14ac:dyDescent="0.2">
      <c r="D96" s="670"/>
      <c r="E96" s="670"/>
      <c r="F96" s="671"/>
      <c r="G96" s="668"/>
      <c r="H96" s="668"/>
      <c r="I96" s="668"/>
      <c r="J96" s="668"/>
      <c r="K96" s="668"/>
      <c r="L96" s="668"/>
      <c r="R96" s="668"/>
      <c r="X96" s="668"/>
      <c r="AC96" s="668"/>
    </row>
    <row r="97" spans="4:29" s="663" customFormat="1" x14ac:dyDescent="0.2">
      <c r="D97" s="670"/>
      <c r="E97" s="670"/>
      <c r="F97" s="671"/>
      <c r="G97" s="668"/>
      <c r="H97" s="668"/>
      <c r="I97" s="668"/>
      <c r="J97" s="668"/>
      <c r="K97" s="668"/>
      <c r="L97" s="668"/>
      <c r="R97" s="668"/>
      <c r="X97" s="668"/>
      <c r="AC97" s="668"/>
    </row>
    <row r="98" spans="4:29" s="663" customFormat="1" x14ac:dyDescent="0.2">
      <c r="D98" s="670"/>
      <c r="E98" s="670"/>
      <c r="F98" s="671"/>
      <c r="G98" s="668"/>
      <c r="H98" s="668"/>
      <c r="I98" s="668"/>
      <c r="J98" s="668"/>
      <c r="K98" s="668"/>
      <c r="L98" s="668"/>
      <c r="R98" s="668"/>
      <c r="X98" s="668"/>
      <c r="AC98" s="668"/>
    </row>
    <row r="99" spans="4:29" s="663" customFormat="1" x14ac:dyDescent="0.2">
      <c r="D99" s="670"/>
      <c r="E99" s="670"/>
      <c r="F99" s="671"/>
      <c r="G99" s="668"/>
      <c r="H99" s="668"/>
      <c r="I99" s="668"/>
      <c r="J99" s="668"/>
      <c r="K99" s="668"/>
      <c r="L99" s="668"/>
      <c r="R99" s="668"/>
      <c r="X99" s="668"/>
      <c r="AC99" s="668"/>
    </row>
    <row r="100" spans="4:29" s="663" customFormat="1" x14ac:dyDescent="0.2">
      <c r="D100" s="670"/>
      <c r="E100" s="670"/>
      <c r="F100" s="671"/>
      <c r="G100" s="668"/>
      <c r="H100" s="668"/>
      <c r="I100" s="668"/>
      <c r="J100" s="668"/>
      <c r="K100" s="668"/>
      <c r="L100" s="668"/>
      <c r="R100" s="668"/>
      <c r="X100" s="668"/>
      <c r="AC100" s="668"/>
    </row>
    <row r="101" spans="4:29" s="663" customFormat="1" x14ac:dyDescent="0.2">
      <c r="D101" s="670"/>
      <c r="E101" s="670"/>
      <c r="F101" s="671"/>
      <c r="G101" s="668"/>
      <c r="H101" s="668"/>
      <c r="I101" s="668"/>
      <c r="J101" s="668"/>
      <c r="K101" s="668"/>
      <c r="L101" s="668"/>
      <c r="R101" s="668"/>
      <c r="X101" s="668"/>
      <c r="AC101" s="668"/>
    </row>
    <row r="102" spans="4:29" s="663" customFormat="1" x14ac:dyDescent="0.2">
      <c r="D102" s="670"/>
      <c r="E102" s="670"/>
      <c r="F102" s="671"/>
      <c r="G102" s="668"/>
      <c r="H102" s="668"/>
      <c r="I102" s="668"/>
      <c r="J102" s="668"/>
      <c r="K102" s="668"/>
      <c r="L102" s="668"/>
      <c r="R102" s="668"/>
      <c r="X102" s="668"/>
      <c r="AC102" s="668"/>
    </row>
    <row r="103" spans="4:29" s="663" customFormat="1" x14ac:dyDescent="0.2">
      <c r="D103" s="670"/>
      <c r="E103" s="670"/>
      <c r="F103" s="671"/>
      <c r="G103" s="668"/>
      <c r="H103" s="668"/>
      <c r="I103" s="668"/>
      <c r="J103" s="668"/>
      <c r="K103" s="668"/>
      <c r="L103" s="668"/>
      <c r="R103" s="668"/>
      <c r="X103" s="668"/>
      <c r="AC103" s="668"/>
    </row>
    <row r="104" spans="4:29" s="665" customFormat="1" x14ac:dyDescent="0.2">
      <c r="D104" s="672"/>
      <c r="E104" s="672"/>
      <c r="F104" s="673"/>
      <c r="G104" s="674"/>
      <c r="H104" s="674"/>
      <c r="I104" s="674"/>
      <c r="J104" s="674"/>
      <c r="K104" s="674"/>
      <c r="L104" s="674"/>
      <c r="R104" s="674"/>
      <c r="X104" s="674"/>
      <c r="AC104" s="674"/>
    </row>
    <row r="105" spans="4:29" s="663" customFormat="1" x14ac:dyDescent="0.2">
      <c r="D105" s="670"/>
      <c r="E105" s="670"/>
      <c r="F105" s="671"/>
      <c r="G105" s="668"/>
      <c r="H105" s="668"/>
      <c r="I105" s="668"/>
      <c r="J105" s="668"/>
      <c r="K105" s="668"/>
      <c r="L105" s="668"/>
      <c r="R105" s="668"/>
      <c r="X105" s="668"/>
      <c r="AC105" s="668"/>
    </row>
    <row r="106" spans="4:29" s="663" customFormat="1" x14ac:dyDescent="0.2">
      <c r="D106" s="670"/>
      <c r="E106" s="670"/>
      <c r="F106" s="671"/>
      <c r="G106" s="668"/>
      <c r="H106" s="668"/>
      <c r="I106" s="668"/>
      <c r="J106" s="668"/>
      <c r="K106" s="668"/>
      <c r="L106" s="668"/>
      <c r="R106" s="668"/>
      <c r="X106" s="668"/>
      <c r="AC106" s="668"/>
    </row>
    <row r="107" spans="4:29" s="663" customFormat="1" x14ac:dyDescent="0.2">
      <c r="D107" s="670"/>
      <c r="E107" s="670"/>
      <c r="F107" s="671"/>
      <c r="G107" s="668"/>
      <c r="H107" s="668"/>
      <c r="I107" s="668"/>
      <c r="J107" s="668"/>
      <c r="K107" s="668"/>
      <c r="L107" s="668"/>
      <c r="R107" s="668"/>
      <c r="X107" s="668"/>
      <c r="AC107" s="668"/>
    </row>
    <row r="108" spans="4:29" s="663" customFormat="1" x14ac:dyDescent="0.2">
      <c r="D108" s="670"/>
      <c r="E108" s="670"/>
      <c r="F108" s="671"/>
      <c r="G108" s="668"/>
      <c r="H108" s="668"/>
      <c r="I108" s="668"/>
      <c r="J108" s="668"/>
      <c r="K108" s="668"/>
      <c r="L108" s="668"/>
      <c r="R108" s="668"/>
      <c r="X108" s="668"/>
      <c r="AC108" s="668"/>
    </row>
    <row r="109" spans="4:29" s="665" customFormat="1" x14ac:dyDescent="0.2">
      <c r="D109" s="672"/>
      <c r="E109" s="672"/>
      <c r="F109" s="673"/>
      <c r="G109" s="674"/>
      <c r="H109" s="674"/>
      <c r="I109" s="674"/>
      <c r="J109" s="674"/>
      <c r="K109" s="674"/>
      <c r="L109" s="674"/>
      <c r="R109" s="674"/>
      <c r="X109" s="674"/>
      <c r="AC109" s="674"/>
    </row>
    <row r="110" spans="4:29" s="663" customFormat="1" x14ac:dyDescent="0.2">
      <c r="D110" s="670"/>
      <c r="E110" s="670"/>
      <c r="F110" s="671"/>
      <c r="G110" s="668"/>
      <c r="H110" s="668"/>
      <c r="I110" s="668"/>
      <c r="J110" s="668"/>
      <c r="K110" s="668"/>
      <c r="L110" s="668"/>
      <c r="R110" s="668"/>
      <c r="X110" s="668"/>
      <c r="AC110" s="668"/>
    </row>
    <row r="111" spans="4:29" s="663" customFormat="1" x14ac:dyDescent="0.2">
      <c r="D111" s="670"/>
      <c r="E111" s="670"/>
      <c r="F111" s="671"/>
      <c r="G111" s="668"/>
      <c r="H111" s="668"/>
      <c r="I111" s="668"/>
      <c r="J111" s="668"/>
      <c r="K111" s="668"/>
      <c r="L111" s="668"/>
      <c r="R111" s="668"/>
      <c r="X111" s="668"/>
      <c r="AC111" s="668"/>
    </row>
    <row r="112" spans="4:29" s="663" customFormat="1" x14ac:dyDescent="0.2">
      <c r="D112" s="670"/>
      <c r="E112" s="670"/>
      <c r="F112" s="671"/>
      <c r="G112" s="668"/>
      <c r="H112" s="668"/>
      <c r="I112" s="668"/>
      <c r="J112" s="668"/>
      <c r="K112" s="668"/>
      <c r="L112" s="668"/>
      <c r="R112" s="668"/>
      <c r="X112" s="668"/>
      <c r="AC112" s="668"/>
    </row>
    <row r="113" spans="4:29" s="663" customFormat="1" x14ac:dyDescent="0.2">
      <c r="D113" s="670"/>
      <c r="E113" s="670"/>
      <c r="F113" s="671"/>
      <c r="G113" s="668"/>
      <c r="H113" s="668"/>
      <c r="I113" s="668"/>
      <c r="J113" s="668"/>
      <c r="K113" s="668"/>
      <c r="L113" s="668"/>
      <c r="R113" s="668"/>
      <c r="X113" s="668"/>
      <c r="AC113" s="668"/>
    </row>
    <row r="114" spans="4:29" s="665" customFormat="1" x14ac:dyDescent="0.2">
      <c r="D114" s="672"/>
      <c r="E114" s="672"/>
      <c r="F114" s="673"/>
      <c r="G114" s="674"/>
      <c r="H114" s="674"/>
      <c r="I114" s="674"/>
      <c r="J114" s="674"/>
      <c r="K114" s="674"/>
      <c r="L114" s="674"/>
      <c r="R114" s="674"/>
      <c r="X114" s="674"/>
      <c r="AC114" s="674"/>
    </row>
    <row r="115" spans="4:29" s="663" customFormat="1" x14ac:dyDescent="0.2">
      <c r="D115" s="670"/>
      <c r="E115" s="670"/>
      <c r="F115" s="671"/>
      <c r="G115" s="668"/>
      <c r="H115" s="668"/>
      <c r="I115" s="668"/>
      <c r="J115" s="668"/>
      <c r="K115" s="668"/>
      <c r="L115" s="668"/>
      <c r="R115" s="668"/>
      <c r="X115" s="668"/>
      <c r="AC115" s="668"/>
    </row>
    <row r="116" spans="4:29" s="663" customFormat="1" x14ac:dyDescent="0.2">
      <c r="D116" s="670"/>
      <c r="E116" s="670"/>
      <c r="F116" s="671"/>
      <c r="G116" s="668"/>
      <c r="H116" s="668"/>
      <c r="I116" s="668"/>
      <c r="J116" s="668"/>
      <c r="K116" s="668"/>
      <c r="L116" s="668"/>
      <c r="R116" s="668"/>
      <c r="X116" s="668"/>
      <c r="AC116" s="668"/>
    </row>
    <row r="117" spans="4:29" s="663" customFormat="1" x14ac:dyDescent="0.2">
      <c r="D117" s="670"/>
      <c r="E117" s="670"/>
      <c r="F117" s="671"/>
      <c r="G117" s="668"/>
      <c r="H117" s="668"/>
      <c r="I117" s="668"/>
      <c r="J117" s="668"/>
      <c r="K117" s="668"/>
      <c r="L117" s="668"/>
      <c r="R117" s="668"/>
      <c r="X117" s="668"/>
      <c r="AC117" s="668"/>
    </row>
    <row r="118" spans="4:29" s="663" customFormat="1" x14ac:dyDescent="0.2">
      <c r="D118" s="670"/>
      <c r="E118" s="670"/>
      <c r="F118" s="671"/>
      <c r="G118" s="668"/>
      <c r="H118" s="668"/>
      <c r="I118" s="668"/>
      <c r="J118" s="668"/>
      <c r="K118" s="668"/>
      <c r="L118" s="668"/>
      <c r="R118" s="668"/>
      <c r="X118" s="668"/>
      <c r="AC118" s="668"/>
    </row>
    <row r="119" spans="4:29" s="665" customFormat="1" x14ac:dyDescent="0.2">
      <c r="D119" s="672"/>
      <c r="E119" s="672"/>
      <c r="F119" s="673"/>
      <c r="G119" s="674"/>
      <c r="H119" s="674"/>
      <c r="I119" s="674"/>
      <c r="J119" s="674"/>
      <c r="K119" s="674"/>
      <c r="L119" s="674"/>
      <c r="R119" s="674"/>
      <c r="X119" s="674"/>
      <c r="AC119" s="674"/>
    </row>
    <row r="120" spans="4:29" s="663" customFormat="1" x14ac:dyDescent="0.2">
      <c r="D120" s="670"/>
      <c r="E120" s="670"/>
      <c r="F120" s="671"/>
      <c r="G120" s="668"/>
      <c r="H120" s="668"/>
      <c r="I120" s="668"/>
      <c r="J120" s="668"/>
      <c r="K120" s="668"/>
      <c r="L120" s="668"/>
      <c r="R120" s="668"/>
      <c r="X120" s="668"/>
      <c r="AC120" s="668"/>
    </row>
    <row r="121" spans="4:29" s="663" customFormat="1" x14ac:dyDescent="0.2">
      <c r="D121" s="670"/>
      <c r="E121" s="670"/>
      <c r="F121" s="671"/>
      <c r="G121" s="668"/>
      <c r="H121" s="668"/>
      <c r="I121" s="668"/>
      <c r="J121" s="668"/>
      <c r="K121" s="668"/>
      <c r="L121" s="668"/>
      <c r="R121" s="668"/>
      <c r="X121" s="668"/>
      <c r="AC121" s="668"/>
    </row>
    <row r="122" spans="4:29" s="663" customFormat="1" x14ac:dyDescent="0.2">
      <c r="D122" s="670"/>
      <c r="E122" s="670"/>
      <c r="F122" s="671"/>
      <c r="G122" s="668"/>
      <c r="H122" s="668"/>
      <c r="I122" s="668"/>
      <c r="J122" s="668"/>
      <c r="K122" s="668"/>
      <c r="L122" s="668"/>
      <c r="R122" s="668"/>
      <c r="X122" s="668"/>
      <c r="AC122" s="668"/>
    </row>
    <row r="123" spans="4:29" s="663" customFormat="1" x14ac:dyDescent="0.2">
      <c r="D123" s="670"/>
      <c r="E123" s="670"/>
      <c r="F123" s="671"/>
      <c r="G123" s="668"/>
      <c r="H123" s="668"/>
      <c r="I123" s="668"/>
      <c r="J123" s="668"/>
      <c r="K123" s="668"/>
      <c r="L123" s="668"/>
      <c r="R123" s="668"/>
      <c r="X123" s="668"/>
      <c r="AC123" s="668"/>
    </row>
    <row r="124" spans="4:29" s="665" customFormat="1" x14ac:dyDescent="0.2">
      <c r="D124" s="672"/>
      <c r="E124" s="672"/>
      <c r="F124" s="673"/>
      <c r="G124" s="674"/>
      <c r="H124" s="674"/>
      <c r="I124" s="674"/>
      <c r="J124" s="674"/>
      <c r="K124" s="674"/>
      <c r="L124" s="674"/>
      <c r="R124" s="674"/>
      <c r="X124" s="674"/>
      <c r="AC124" s="674"/>
    </row>
    <row r="125" spans="4:29" s="663" customFormat="1" x14ac:dyDescent="0.2">
      <c r="D125" s="670"/>
      <c r="E125" s="670"/>
      <c r="F125" s="671"/>
      <c r="G125" s="668"/>
      <c r="H125" s="668"/>
      <c r="I125" s="668"/>
      <c r="J125" s="668"/>
      <c r="K125" s="668"/>
      <c r="L125" s="668"/>
      <c r="R125" s="668"/>
      <c r="X125" s="668"/>
      <c r="AC125" s="668"/>
    </row>
    <row r="126" spans="4:29" s="663" customFormat="1" x14ac:dyDescent="0.2">
      <c r="D126" s="670"/>
      <c r="E126" s="670"/>
      <c r="F126" s="671"/>
      <c r="G126" s="668"/>
      <c r="H126" s="668"/>
      <c r="I126" s="668"/>
      <c r="J126" s="668"/>
      <c r="K126" s="668"/>
      <c r="L126" s="668"/>
      <c r="R126" s="668"/>
      <c r="X126" s="668"/>
      <c r="AC126" s="668"/>
    </row>
    <row r="127" spans="4:29" s="663" customFormat="1" x14ac:dyDescent="0.2">
      <c r="D127" s="670"/>
      <c r="E127" s="670"/>
      <c r="F127" s="671"/>
      <c r="G127" s="668"/>
      <c r="H127" s="668"/>
      <c r="I127" s="668"/>
      <c r="J127" s="668"/>
      <c r="K127" s="668"/>
      <c r="L127" s="668"/>
      <c r="R127" s="668"/>
      <c r="X127" s="668"/>
      <c r="AC127" s="668"/>
    </row>
    <row r="128" spans="4:29" s="663" customFormat="1" x14ac:dyDescent="0.2">
      <c r="D128" s="670"/>
      <c r="E128" s="670"/>
      <c r="F128" s="671"/>
      <c r="G128" s="668"/>
      <c r="H128" s="668"/>
      <c r="I128" s="668"/>
      <c r="J128" s="668"/>
      <c r="K128" s="668"/>
      <c r="L128" s="668"/>
      <c r="R128" s="668"/>
      <c r="X128" s="668"/>
      <c r="AC128" s="668"/>
    </row>
    <row r="129" spans="4:29" s="665" customFormat="1" x14ac:dyDescent="0.2">
      <c r="D129" s="672"/>
      <c r="E129" s="672"/>
      <c r="F129" s="673"/>
      <c r="G129" s="674"/>
      <c r="H129" s="674"/>
      <c r="I129" s="674"/>
      <c r="J129" s="674"/>
      <c r="K129" s="674"/>
      <c r="L129" s="674"/>
      <c r="R129" s="674"/>
      <c r="X129" s="674"/>
      <c r="AC129" s="674"/>
    </row>
    <row r="130" spans="4:29" s="663" customFormat="1" x14ac:dyDescent="0.2">
      <c r="D130" s="670"/>
      <c r="E130" s="670"/>
      <c r="F130" s="671"/>
      <c r="G130" s="668"/>
      <c r="H130" s="668"/>
      <c r="I130" s="668"/>
      <c r="J130" s="668"/>
      <c r="K130" s="668"/>
      <c r="L130" s="668"/>
      <c r="R130" s="668"/>
      <c r="X130" s="668"/>
      <c r="AC130" s="668"/>
    </row>
    <row r="131" spans="4:29" s="663" customFormat="1" x14ac:dyDescent="0.2">
      <c r="D131" s="670"/>
      <c r="E131" s="670"/>
      <c r="F131" s="671"/>
      <c r="G131" s="668"/>
      <c r="H131" s="668"/>
      <c r="I131" s="668"/>
      <c r="J131" s="668"/>
      <c r="K131" s="668"/>
      <c r="L131" s="668"/>
      <c r="R131" s="668"/>
      <c r="X131" s="668"/>
      <c r="AC131" s="668"/>
    </row>
    <row r="132" spans="4:29" s="663" customFormat="1" x14ac:dyDescent="0.2">
      <c r="D132" s="670"/>
      <c r="E132" s="670"/>
      <c r="F132" s="671"/>
      <c r="G132" s="668"/>
      <c r="H132" s="668"/>
      <c r="I132" s="668"/>
      <c r="J132" s="668"/>
      <c r="K132" s="668"/>
      <c r="L132" s="668"/>
      <c r="R132" s="668"/>
      <c r="X132" s="668"/>
      <c r="AC132" s="668"/>
    </row>
    <row r="133" spans="4:29" s="663" customFormat="1" x14ac:dyDescent="0.2">
      <c r="D133" s="670"/>
      <c r="E133" s="670"/>
      <c r="F133" s="671"/>
      <c r="G133" s="668"/>
      <c r="H133" s="668"/>
      <c r="I133" s="668"/>
      <c r="J133" s="668"/>
      <c r="K133" s="668"/>
      <c r="L133" s="668"/>
      <c r="R133" s="668"/>
      <c r="X133" s="668"/>
      <c r="AC133" s="668"/>
    </row>
    <row r="134" spans="4:29" s="663" customFormat="1" x14ac:dyDescent="0.2">
      <c r="D134" s="670"/>
      <c r="E134" s="670"/>
      <c r="F134" s="671"/>
      <c r="G134" s="668"/>
      <c r="H134" s="668"/>
      <c r="I134" s="668"/>
      <c r="J134" s="668"/>
      <c r="K134" s="668"/>
      <c r="L134" s="668"/>
      <c r="R134" s="668"/>
      <c r="X134" s="668"/>
      <c r="AC134" s="668"/>
    </row>
    <row r="135" spans="4:29" s="663" customFormat="1" x14ac:dyDescent="0.2">
      <c r="D135" s="670"/>
      <c r="E135" s="670"/>
      <c r="F135" s="671"/>
      <c r="G135" s="668"/>
      <c r="H135" s="668"/>
      <c r="I135" s="668"/>
      <c r="J135" s="668"/>
      <c r="K135" s="668"/>
      <c r="L135" s="668"/>
      <c r="R135" s="668"/>
      <c r="X135" s="668"/>
      <c r="AC135" s="668"/>
    </row>
    <row r="136" spans="4:29" s="663" customFormat="1" x14ac:dyDescent="0.2">
      <c r="D136" s="670"/>
      <c r="E136" s="670"/>
      <c r="F136" s="671"/>
      <c r="G136" s="668"/>
      <c r="H136" s="668"/>
      <c r="I136" s="668"/>
      <c r="J136" s="668"/>
      <c r="K136" s="668"/>
      <c r="L136" s="668"/>
      <c r="R136" s="668"/>
      <c r="X136" s="668"/>
      <c r="AC136" s="668"/>
    </row>
    <row r="137" spans="4:29" s="663" customFormat="1" x14ac:dyDescent="0.2">
      <c r="D137" s="670"/>
      <c r="E137" s="670"/>
      <c r="F137" s="671"/>
      <c r="G137" s="668"/>
      <c r="H137" s="668"/>
      <c r="I137" s="668"/>
      <c r="J137" s="668"/>
      <c r="K137" s="668"/>
      <c r="L137" s="668"/>
      <c r="R137" s="668"/>
      <c r="X137" s="668"/>
      <c r="AC137" s="668"/>
    </row>
    <row r="138" spans="4:29" s="663" customFormat="1" x14ac:dyDescent="0.2">
      <c r="D138" s="670"/>
      <c r="E138" s="670"/>
      <c r="F138" s="671"/>
      <c r="G138" s="668"/>
      <c r="H138" s="668"/>
      <c r="I138" s="668"/>
      <c r="J138" s="668"/>
      <c r="K138" s="668"/>
      <c r="L138" s="668"/>
      <c r="R138" s="668"/>
      <c r="X138" s="668"/>
      <c r="AC138" s="668"/>
    </row>
    <row r="139" spans="4:29" s="663" customFormat="1" x14ac:dyDescent="0.2">
      <c r="D139" s="670"/>
      <c r="E139" s="670"/>
      <c r="F139" s="671"/>
      <c r="G139" s="668"/>
      <c r="H139" s="668"/>
      <c r="I139" s="668"/>
      <c r="J139" s="668"/>
      <c r="K139" s="668"/>
      <c r="L139" s="668"/>
      <c r="R139" s="668"/>
      <c r="X139" s="668"/>
      <c r="AC139" s="668"/>
    </row>
    <row r="140" spans="4:29" s="665" customFormat="1" x14ac:dyDescent="0.2">
      <c r="D140" s="672"/>
      <c r="E140" s="672"/>
      <c r="F140" s="673"/>
      <c r="G140" s="674"/>
      <c r="H140" s="674"/>
      <c r="I140" s="674"/>
      <c r="J140" s="674"/>
      <c r="K140" s="674"/>
      <c r="L140" s="674"/>
      <c r="R140" s="674"/>
      <c r="X140" s="674"/>
      <c r="AC140" s="674"/>
    </row>
    <row r="141" spans="4:29" s="663" customFormat="1" x14ac:dyDescent="0.2">
      <c r="D141" s="670"/>
      <c r="E141" s="670"/>
      <c r="F141" s="671"/>
      <c r="G141" s="668"/>
      <c r="H141" s="668"/>
      <c r="I141" s="668"/>
      <c r="J141" s="668"/>
      <c r="K141" s="668"/>
      <c r="L141" s="668"/>
      <c r="R141" s="668"/>
      <c r="X141" s="668"/>
      <c r="AC141" s="668"/>
    </row>
    <row r="142" spans="4:29" s="663" customFormat="1" x14ac:dyDescent="0.2">
      <c r="D142" s="670"/>
      <c r="E142" s="670"/>
      <c r="F142" s="671"/>
      <c r="G142" s="668"/>
      <c r="H142" s="668"/>
      <c r="I142" s="668"/>
      <c r="J142" s="668"/>
      <c r="K142" s="668"/>
      <c r="L142" s="668"/>
      <c r="R142" s="668"/>
      <c r="X142" s="668"/>
      <c r="AC142" s="668"/>
    </row>
    <row r="143" spans="4:29" s="663" customFormat="1" x14ac:dyDescent="0.2">
      <c r="D143" s="670"/>
      <c r="E143" s="670"/>
      <c r="F143" s="671"/>
      <c r="G143" s="668"/>
      <c r="H143" s="668"/>
      <c r="I143" s="668"/>
      <c r="J143" s="668"/>
      <c r="K143" s="668"/>
      <c r="L143" s="668"/>
      <c r="R143" s="668"/>
      <c r="X143" s="668"/>
      <c r="AC143" s="668"/>
    </row>
    <row r="144" spans="4:29" s="663" customFormat="1" x14ac:dyDescent="0.2">
      <c r="D144" s="670"/>
      <c r="E144" s="670"/>
      <c r="F144" s="671"/>
      <c r="G144" s="668"/>
      <c r="H144" s="668"/>
      <c r="I144" s="668"/>
      <c r="J144" s="668"/>
      <c r="K144" s="668"/>
      <c r="L144" s="668"/>
      <c r="R144" s="668"/>
      <c r="X144" s="668"/>
      <c r="AC144" s="668"/>
    </row>
    <row r="145" spans="4:29" s="665" customFormat="1" x14ac:dyDescent="0.2">
      <c r="D145" s="672"/>
      <c r="E145" s="672"/>
      <c r="F145" s="673"/>
      <c r="G145" s="674"/>
      <c r="H145" s="674"/>
      <c r="I145" s="674"/>
      <c r="J145" s="674"/>
      <c r="K145" s="674"/>
      <c r="L145" s="674"/>
      <c r="R145" s="674"/>
      <c r="X145" s="674"/>
      <c r="AC145" s="674"/>
    </row>
    <row r="146" spans="4:29" s="663" customFormat="1" x14ac:dyDescent="0.2">
      <c r="D146" s="670"/>
      <c r="E146" s="670"/>
      <c r="F146" s="671"/>
      <c r="G146" s="668"/>
      <c r="H146" s="668"/>
      <c r="I146" s="668"/>
      <c r="J146" s="668"/>
      <c r="K146" s="668"/>
      <c r="L146" s="668"/>
      <c r="R146" s="668"/>
      <c r="X146" s="668"/>
      <c r="AC146" s="668"/>
    </row>
    <row r="147" spans="4:29" s="663" customFormat="1" x14ac:dyDescent="0.2">
      <c r="D147" s="670"/>
      <c r="E147" s="670"/>
      <c r="F147" s="671"/>
      <c r="G147" s="668"/>
      <c r="H147" s="668"/>
      <c r="I147" s="668"/>
      <c r="J147" s="668"/>
      <c r="K147" s="668"/>
      <c r="L147" s="668"/>
      <c r="R147" s="668"/>
      <c r="X147" s="668"/>
      <c r="AC147" s="668"/>
    </row>
    <row r="148" spans="4:29" s="663" customFormat="1" x14ac:dyDescent="0.2">
      <c r="D148" s="670"/>
      <c r="E148" s="670"/>
      <c r="F148" s="671"/>
      <c r="G148" s="668"/>
      <c r="H148" s="668"/>
      <c r="I148" s="668"/>
      <c r="J148" s="668"/>
      <c r="K148" s="668"/>
      <c r="L148" s="668"/>
      <c r="R148" s="668"/>
      <c r="X148" s="668"/>
      <c r="AC148" s="668"/>
    </row>
    <row r="149" spans="4:29" s="663" customFormat="1" x14ac:dyDescent="0.2">
      <c r="D149" s="670"/>
      <c r="E149" s="670"/>
      <c r="F149" s="671"/>
      <c r="G149" s="668"/>
      <c r="H149" s="668"/>
      <c r="I149" s="668"/>
      <c r="J149" s="668"/>
      <c r="K149" s="668"/>
      <c r="L149" s="668"/>
      <c r="R149" s="668"/>
      <c r="X149" s="668"/>
      <c r="AC149" s="668"/>
    </row>
    <row r="150" spans="4:29" s="665" customFormat="1" x14ac:dyDescent="0.2">
      <c r="D150" s="672"/>
      <c r="E150" s="672"/>
      <c r="F150" s="673"/>
      <c r="G150" s="674"/>
      <c r="H150" s="674"/>
      <c r="I150" s="674"/>
      <c r="J150" s="674"/>
      <c r="K150" s="674"/>
      <c r="L150" s="674"/>
      <c r="R150" s="674"/>
      <c r="X150" s="674"/>
      <c r="AC150" s="674"/>
    </row>
    <row r="151" spans="4:29" s="663" customFormat="1" x14ac:dyDescent="0.2">
      <c r="D151" s="670"/>
      <c r="E151" s="670"/>
      <c r="F151" s="671"/>
      <c r="G151" s="668"/>
      <c r="H151" s="668"/>
      <c r="I151" s="668"/>
      <c r="J151" s="668"/>
      <c r="K151" s="668"/>
      <c r="L151" s="668"/>
      <c r="R151" s="668"/>
      <c r="X151" s="668"/>
      <c r="AC151" s="668"/>
    </row>
    <row r="152" spans="4:29" s="663" customFormat="1" x14ac:dyDescent="0.2">
      <c r="D152" s="670"/>
      <c r="E152" s="670"/>
      <c r="F152" s="671"/>
      <c r="G152" s="668"/>
      <c r="H152" s="668"/>
      <c r="I152" s="668"/>
      <c r="J152" s="668"/>
      <c r="K152" s="668"/>
      <c r="L152" s="668"/>
      <c r="R152" s="668"/>
      <c r="X152" s="668"/>
      <c r="AC152" s="668"/>
    </row>
    <row r="153" spans="4:29" s="663" customFormat="1" x14ac:dyDescent="0.2">
      <c r="D153" s="670"/>
      <c r="E153" s="670"/>
      <c r="F153" s="671"/>
      <c r="G153" s="668"/>
      <c r="H153" s="668"/>
      <c r="I153" s="668"/>
      <c r="J153" s="668"/>
      <c r="K153" s="668"/>
      <c r="L153" s="668"/>
      <c r="R153" s="668"/>
      <c r="X153" s="668"/>
      <c r="AC153" s="668"/>
    </row>
    <row r="154" spans="4:29" s="663" customFormat="1" x14ac:dyDescent="0.2">
      <c r="D154" s="670"/>
      <c r="E154" s="670"/>
      <c r="F154" s="671"/>
      <c r="G154" s="668"/>
      <c r="H154" s="668"/>
      <c r="I154" s="668"/>
      <c r="J154" s="668"/>
      <c r="K154" s="668"/>
      <c r="L154" s="668"/>
      <c r="R154" s="668"/>
      <c r="X154" s="668"/>
      <c r="AC154" s="668"/>
    </row>
    <row r="155" spans="4:29" s="665" customFormat="1" x14ac:dyDescent="0.2">
      <c r="D155" s="672"/>
      <c r="E155" s="672"/>
      <c r="F155" s="673"/>
      <c r="G155" s="674"/>
      <c r="H155" s="674"/>
      <c r="I155" s="674"/>
      <c r="J155" s="674"/>
      <c r="K155" s="674"/>
      <c r="L155" s="674"/>
      <c r="R155" s="674"/>
      <c r="X155" s="674"/>
      <c r="AC155" s="674"/>
    </row>
    <row r="156" spans="4:29" s="663" customFormat="1" x14ac:dyDescent="0.2">
      <c r="D156" s="670"/>
      <c r="E156" s="670"/>
      <c r="F156" s="671"/>
      <c r="G156" s="668"/>
      <c r="H156" s="668"/>
      <c r="I156" s="668"/>
      <c r="J156" s="668"/>
      <c r="K156" s="668"/>
      <c r="L156" s="668"/>
      <c r="R156" s="668"/>
      <c r="X156" s="668"/>
      <c r="AC156" s="668"/>
    </row>
    <row r="157" spans="4:29" s="663" customFormat="1" x14ac:dyDescent="0.2">
      <c r="D157" s="670"/>
      <c r="E157" s="670"/>
      <c r="F157" s="671"/>
      <c r="G157" s="668"/>
      <c r="H157" s="668"/>
      <c r="I157" s="668"/>
      <c r="J157" s="668"/>
      <c r="K157" s="668"/>
      <c r="L157" s="668"/>
      <c r="R157" s="668"/>
      <c r="X157" s="668"/>
      <c r="AC157" s="668"/>
    </row>
    <row r="158" spans="4:29" s="663" customFormat="1" x14ac:dyDescent="0.2">
      <c r="D158" s="670"/>
      <c r="E158" s="670"/>
      <c r="F158" s="671"/>
      <c r="G158" s="668"/>
      <c r="H158" s="668"/>
      <c r="I158" s="668"/>
      <c r="J158" s="668"/>
      <c r="K158" s="668"/>
      <c r="L158" s="668"/>
      <c r="R158" s="668"/>
      <c r="X158" s="668"/>
      <c r="AC158" s="668"/>
    </row>
    <row r="159" spans="4:29" s="663" customFormat="1" x14ac:dyDescent="0.2">
      <c r="D159" s="670"/>
      <c r="E159" s="670"/>
      <c r="F159" s="671"/>
      <c r="G159" s="668"/>
      <c r="H159" s="668"/>
      <c r="I159" s="668"/>
      <c r="J159" s="668"/>
      <c r="K159" s="668"/>
      <c r="L159" s="668"/>
      <c r="R159" s="668"/>
      <c r="X159" s="668"/>
      <c r="AC159" s="668"/>
    </row>
    <row r="160" spans="4:29" s="665" customFormat="1" x14ac:dyDescent="0.2">
      <c r="D160" s="672"/>
      <c r="E160" s="672"/>
      <c r="F160" s="673"/>
      <c r="G160" s="674"/>
      <c r="H160" s="674"/>
      <c r="I160" s="674"/>
      <c r="J160" s="674"/>
      <c r="K160" s="674"/>
      <c r="L160" s="674"/>
      <c r="R160" s="674"/>
      <c r="X160" s="674"/>
      <c r="AC160" s="674"/>
    </row>
    <row r="161" spans="1:61" s="663" customFormat="1" x14ac:dyDescent="0.2">
      <c r="D161" s="670"/>
      <c r="E161" s="670"/>
      <c r="F161" s="671"/>
      <c r="G161" s="668"/>
      <c r="H161" s="668"/>
      <c r="I161" s="668"/>
      <c r="J161" s="668"/>
      <c r="K161" s="668"/>
      <c r="L161" s="668"/>
      <c r="R161" s="668"/>
      <c r="X161" s="668"/>
      <c r="AC161" s="668"/>
    </row>
    <row r="162" spans="1:61" s="663" customFormat="1" x14ac:dyDescent="0.2">
      <c r="D162" s="670"/>
      <c r="E162" s="670"/>
      <c r="F162" s="671"/>
      <c r="G162" s="668"/>
      <c r="H162" s="668"/>
      <c r="I162" s="668"/>
      <c r="J162" s="668"/>
      <c r="K162" s="668"/>
      <c r="L162" s="668"/>
      <c r="R162" s="668"/>
      <c r="X162" s="668"/>
      <c r="AC162" s="668"/>
    </row>
    <row r="163" spans="1:61" s="663" customFormat="1" x14ac:dyDescent="0.2">
      <c r="D163" s="672"/>
      <c r="E163" s="672"/>
      <c r="F163" s="673"/>
      <c r="G163" s="674"/>
      <c r="H163" s="674"/>
      <c r="I163" s="674"/>
      <c r="J163" s="668"/>
      <c r="K163" s="668"/>
      <c r="L163" s="674"/>
      <c r="R163" s="674"/>
      <c r="X163" s="674"/>
      <c r="AC163" s="674"/>
    </row>
    <row r="164" spans="1:61" s="663" customFormat="1" x14ac:dyDescent="0.2">
      <c r="D164" s="672"/>
      <c r="E164" s="672"/>
      <c r="F164" s="673"/>
      <c r="G164" s="674"/>
      <c r="H164" s="674"/>
      <c r="I164" s="674"/>
      <c r="J164" s="668"/>
      <c r="K164" s="668"/>
      <c r="L164" s="674"/>
      <c r="R164" s="674"/>
      <c r="X164" s="674"/>
      <c r="AC164" s="674"/>
    </row>
    <row r="165" spans="1:61" s="535" customFormat="1" x14ac:dyDescent="0.2">
      <c r="A165" s="665"/>
      <c r="D165" s="537"/>
      <c r="E165" s="537"/>
      <c r="F165" s="538"/>
      <c r="G165" s="539"/>
      <c r="H165" s="539"/>
      <c r="I165" s="539"/>
      <c r="J165" s="539"/>
      <c r="K165" s="539"/>
      <c r="L165" s="539"/>
      <c r="R165" s="539"/>
      <c r="X165" s="539"/>
      <c r="AC165" s="539"/>
      <c r="AJ165" s="665"/>
      <c r="AK165" s="665"/>
      <c r="AL165" s="665"/>
      <c r="AM165" s="665"/>
      <c r="AN165" s="665"/>
      <c r="AO165" s="665"/>
      <c r="AP165" s="665"/>
      <c r="AQ165" s="665"/>
      <c r="AR165" s="665"/>
      <c r="AS165" s="665"/>
      <c r="AT165" s="665"/>
      <c r="AU165" s="665"/>
      <c r="AV165" s="665"/>
      <c r="AW165" s="665"/>
      <c r="AX165" s="665"/>
      <c r="AY165" s="665"/>
      <c r="AZ165" s="665"/>
      <c r="BA165" s="665"/>
      <c r="BB165" s="665"/>
      <c r="BC165" s="665"/>
      <c r="BD165" s="665"/>
      <c r="BE165" s="665"/>
      <c r="BF165" s="665"/>
      <c r="BG165" s="665"/>
      <c r="BH165" s="665"/>
      <c r="BI165" s="665"/>
    </row>
  </sheetData>
  <sheetProtection password="DFB1" sheet="1" objects="1" scenarios="1"/>
  <phoneticPr fontId="61" type="noConversion"/>
  <pageMargins left="0.74803149606299213" right="0.74803149606299213" top="0.98425196850393704" bottom="0.98425196850393704" header="0.51181102362204722" footer="0.51181102362204722"/>
  <pageSetup paperSize="9" scale="50" orientation="portrait" r:id="rId1"/>
  <headerFooter alignWithMargins="0">
    <oddFooter>&amp;LPO-Raad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81"/>
  <sheetViews>
    <sheetView zoomScale="85" zoomScaleNormal="85" workbookViewId="0">
      <selection activeCell="B2" sqref="B2"/>
    </sheetView>
  </sheetViews>
  <sheetFormatPr defaultColWidth="9.140625" defaultRowHeight="12.75" x14ac:dyDescent="0.2"/>
  <cols>
    <col min="1" max="1" width="3.42578125" style="663" customWidth="1"/>
    <col min="2" max="3" width="2.7109375" style="531" customWidth="1"/>
    <col min="4" max="4" width="3.7109375" style="532" customWidth="1"/>
    <col min="5" max="5" width="25.7109375" style="532" customWidth="1"/>
    <col min="6" max="6" width="15.85546875" style="534" customWidth="1"/>
    <col min="7" max="7" width="15.7109375" style="534" customWidth="1"/>
    <col min="8" max="8" width="16.7109375" style="531" customWidth="1"/>
    <col min="9" max="9" width="2.7109375" style="534" customWidth="1"/>
    <col min="10" max="10" width="2.7109375" style="531" customWidth="1"/>
    <col min="11" max="38" width="9.140625" style="663"/>
    <col min="39" max="16384" width="9.140625" style="531"/>
  </cols>
  <sheetData>
    <row r="1" spans="1:38" s="663" customFormat="1" x14ac:dyDescent="0.2">
      <c r="D1" s="670"/>
      <c r="E1" s="670"/>
      <c r="F1" s="668"/>
      <c r="G1" s="668"/>
      <c r="I1" s="668"/>
    </row>
    <row r="2" spans="1:38" x14ac:dyDescent="0.2">
      <c r="B2" s="556"/>
      <c r="C2" s="557"/>
      <c r="D2" s="558"/>
      <c r="E2" s="558"/>
      <c r="F2" s="560"/>
      <c r="G2" s="560"/>
      <c r="H2" s="557"/>
      <c r="I2" s="560"/>
      <c r="J2" s="562"/>
    </row>
    <row r="3" spans="1:38" x14ac:dyDescent="0.2">
      <c r="B3" s="563"/>
      <c r="C3" s="542"/>
      <c r="D3" s="543"/>
      <c r="E3" s="543"/>
      <c r="F3" s="545"/>
      <c r="G3" s="545"/>
      <c r="H3" s="542"/>
      <c r="I3" s="545"/>
      <c r="J3" s="564"/>
    </row>
    <row r="4" spans="1:38" ht="18.75" x14ac:dyDescent="0.3">
      <c r="B4" s="563"/>
      <c r="C4" s="583" t="s">
        <v>525</v>
      </c>
      <c r="D4" s="542"/>
      <c r="E4" s="543"/>
      <c r="F4" s="545"/>
      <c r="G4" s="545"/>
      <c r="H4" s="542"/>
      <c r="I4" s="545"/>
      <c r="J4" s="564"/>
    </row>
    <row r="5" spans="1:38" x14ac:dyDescent="0.2">
      <c r="B5" s="563"/>
      <c r="C5" s="542"/>
      <c r="D5" s="543"/>
      <c r="E5" s="543"/>
      <c r="F5" s="545"/>
      <c r="G5" s="545"/>
      <c r="H5" s="542"/>
      <c r="I5" s="545"/>
      <c r="J5" s="564"/>
    </row>
    <row r="6" spans="1:38" x14ac:dyDescent="0.2">
      <c r="B6" s="563"/>
      <c r="C6" s="542"/>
      <c r="D6" s="543"/>
      <c r="E6" s="543"/>
      <c r="F6" s="545"/>
      <c r="G6" s="545"/>
      <c r="H6" s="542"/>
      <c r="I6" s="545"/>
      <c r="J6" s="564"/>
    </row>
    <row r="7" spans="1:38" x14ac:dyDescent="0.2">
      <c r="B7" s="563"/>
      <c r="C7" s="542"/>
      <c r="D7" s="543"/>
      <c r="E7" s="543"/>
      <c r="F7" s="545"/>
      <c r="G7" s="545"/>
      <c r="H7" s="542"/>
      <c r="I7" s="545"/>
      <c r="J7" s="564"/>
    </row>
    <row r="8" spans="1:38" x14ac:dyDescent="0.2">
      <c r="B8" s="563"/>
      <c r="C8" s="542"/>
      <c r="D8" s="543"/>
      <c r="E8" s="543"/>
      <c r="F8" s="545"/>
      <c r="G8" s="545"/>
      <c r="H8" s="542"/>
      <c r="I8" s="545"/>
      <c r="J8" s="564"/>
    </row>
    <row r="9" spans="1:38" s="535" customFormat="1" ht="12" customHeight="1" x14ac:dyDescent="0.2">
      <c r="A9" s="665"/>
      <c r="B9" s="567"/>
      <c r="D9" s="537"/>
      <c r="F9" s="539"/>
      <c r="G9" s="539"/>
      <c r="I9" s="539"/>
      <c r="J9" s="568"/>
      <c r="K9" s="665"/>
      <c r="L9" s="665"/>
      <c r="M9" s="665"/>
      <c r="N9" s="665"/>
      <c r="O9" s="665"/>
      <c r="P9" s="665"/>
      <c r="Q9" s="665"/>
      <c r="R9" s="665"/>
      <c r="S9" s="665"/>
      <c r="T9" s="665"/>
      <c r="U9" s="665"/>
      <c r="V9" s="665"/>
      <c r="W9" s="665"/>
      <c r="X9" s="665"/>
      <c r="Y9" s="665"/>
      <c r="Z9" s="665"/>
      <c r="AA9" s="665"/>
      <c r="AB9" s="665"/>
      <c r="AC9" s="665"/>
      <c r="AD9" s="665"/>
      <c r="AE9" s="665"/>
      <c r="AF9" s="665"/>
      <c r="AG9" s="665"/>
      <c r="AH9" s="665"/>
      <c r="AI9" s="665"/>
      <c r="AJ9" s="665"/>
      <c r="AK9" s="665"/>
      <c r="AL9" s="665"/>
    </row>
    <row r="10" spans="1:38" s="535" customFormat="1" ht="12" customHeight="1" x14ac:dyDescent="0.2">
      <c r="A10" s="665"/>
      <c r="B10" s="567"/>
      <c r="D10" s="535" t="s">
        <v>463</v>
      </c>
      <c r="F10" s="652">
        <f>bal!H36</f>
        <v>921007.66666666686</v>
      </c>
      <c r="G10" s="539"/>
      <c r="I10" s="539"/>
      <c r="J10" s="568"/>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row>
    <row r="11" spans="1:38" s="535" customFormat="1" ht="12" customHeight="1" x14ac:dyDescent="0.2">
      <c r="A11" s="665"/>
      <c r="B11" s="567"/>
      <c r="D11" s="537"/>
      <c r="F11" s="539"/>
      <c r="G11" s="539"/>
      <c r="I11" s="539"/>
      <c r="J11" s="568"/>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5"/>
      <c r="AK11" s="665"/>
      <c r="AL11" s="665"/>
    </row>
    <row r="12" spans="1:38" s="535" customFormat="1" ht="12" customHeight="1" x14ac:dyDescent="0.2">
      <c r="A12" s="665"/>
      <c r="B12" s="567"/>
      <c r="C12" s="546"/>
      <c r="D12" s="551"/>
      <c r="E12" s="546"/>
      <c r="F12" s="553"/>
      <c r="G12" s="553"/>
      <c r="H12" s="546"/>
      <c r="I12" s="553"/>
      <c r="J12" s="568"/>
      <c r="K12" s="665"/>
      <c r="L12" s="665"/>
      <c r="M12" s="665"/>
      <c r="N12" s="665"/>
      <c r="O12" s="665"/>
      <c r="P12" s="665"/>
      <c r="Q12" s="665"/>
      <c r="R12" s="665"/>
      <c r="S12" s="665"/>
      <c r="T12" s="665"/>
      <c r="U12" s="665"/>
      <c r="V12" s="665"/>
      <c r="W12" s="665"/>
      <c r="X12" s="665"/>
      <c r="Y12" s="665"/>
      <c r="Z12" s="665"/>
      <c r="AA12" s="665"/>
      <c r="AB12" s="665"/>
      <c r="AC12" s="665"/>
      <c r="AD12" s="665"/>
      <c r="AE12" s="665"/>
      <c r="AF12" s="665"/>
      <c r="AG12" s="665"/>
      <c r="AH12" s="665"/>
      <c r="AI12" s="665"/>
      <c r="AJ12" s="665"/>
      <c r="AK12" s="665"/>
      <c r="AL12" s="665"/>
    </row>
    <row r="13" spans="1:38" ht="12" customHeight="1" x14ac:dyDescent="0.2">
      <c r="B13" s="563"/>
      <c r="C13" s="542"/>
      <c r="D13" s="543"/>
      <c r="E13" s="542"/>
      <c r="F13" s="594" t="s">
        <v>452</v>
      </c>
      <c r="G13" s="587" t="s">
        <v>453</v>
      </c>
      <c r="H13" s="640" t="s">
        <v>524</v>
      </c>
      <c r="I13" s="586"/>
      <c r="J13" s="564"/>
    </row>
    <row r="14" spans="1:38" s="494" customFormat="1" ht="12" customHeight="1" x14ac:dyDescent="0.2">
      <c r="A14" s="666"/>
      <c r="B14" s="569"/>
      <c r="C14" s="487"/>
      <c r="D14" s="550"/>
      <c r="E14" s="587" t="s">
        <v>459</v>
      </c>
      <c r="F14" s="592"/>
      <c r="G14" s="653" t="str">
        <f>"per 1 oktober "&amp;tab!D4</f>
        <v>per 1 oktober 2013</v>
      </c>
      <c r="H14" s="586" t="s">
        <v>523</v>
      </c>
      <c r="I14" s="592"/>
      <c r="J14" s="570"/>
      <c r="K14" s="666"/>
      <c r="L14" s="666"/>
      <c r="M14" s="666"/>
      <c r="N14" s="666"/>
      <c r="O14" s="666"/>
      <c r="P14" s="666"/>
      <c r="Q14" s="666"/>
      <c r="R14" s="666"/>
      <c r="S14" s="666"/>
      <c r="T14" s="666"/>
      <c r="U14" s="666"/>
      <c r="V14" s="666"/>
      <c r="W14" s="666"/>
      <c r="X14" s="666"/>
      <c r="Y14" s="666"/>
      <c r="Z14" s="666"/>
      <c r="AA14" s="666"/>
      <c r="AB14" s="666"/>
      <c r="AC14" s="666"/>
      <c r="AD14" s="666"/>
      <c r="AE14" s="666"/>
      <c r="AF14" s="666"/>
      <c r="AG14" s="666"/>
      <c r="AH14" s="666"/>
      <c r="AI14" s="666"/>
      <c r="AJ14" s="666"/>
      <c r="AK14" s="666"/>
      <c r="AL14" s="666"/>
    </row>
    <row r="15" spans="1:38" s="534" customFormat="1" ht="12" customHeight="1" x14ac:dyDescent="0.2">
      <c r="A15" s="668"/>
      <c r="B15" s="573"/>
      <c r="C15" s="545"/>
      <c r="D15" s="543"/>
      <c r="E15" s="551"/>
      <c r="F15" s="545"/>
      <c r="G15" s="545"/>
      <c r="H15" s="545"/>
      <c r="I15" s="545"/>
      <c r="J15" s="574"/>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row>
    <row r="16" spans="1:38" s="534" customFormat="1" ht="12" customHeight="1" x14ac:dyDescent="0.2">
      <c r="A16" s="668"/>
      <c r="B16" s="573"/>
      <c r="C16" s="599"/>
      <c r="D16" s="600"/>
      <c r="E16" s="600"/>
      <c r="F16" s="602"/>
      <c r="G16" s="602"/>
      <c r="H16" s="602"/>
      <c r="I16" s="603"/>
      <c r="J16" s="574"/>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row>
    <row r="17" spans="1:38" s="534" customFormat="1" ht="12" customHeight="1" x14ac:dyDescent="0.2">
      <c r="A17" s="668"/>
      <c r="B17" s="573"/>
      <c r="C17" s="604"/>
      <c r="D17" s="605">
        <v>1</v>
      </c>
      <c r="E17" s="632" t="str">
        <f>+bas!E13</f>
        <v>school 1</v>
      </c>
      <c r="F17" s="633" t="str">
        <f>+bas!F13</f>
        <v>11AA</v>
      </c>
      <c r="G17" s="633">
        <f>+bas!I13</f>
        <v>150</v>
      </c>
      <c r="H17" s="639">
        <f>+F$10/G$104*G17</f>
        <v>22282.443548387102</v>
      </c>
      <c r="I17" s="610"/>
      <c r="J17" s="574"/>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row>
    <row r="18" spans="1:38" s="534" customFormat="1" ht="12" customHeight="1" x14ac:dyDescent="0.2">
      <c r="A18" s="668"/>
      <c r="B18" s="573"/>
      <c r="C18" s="604"/>
      <c r="D18" s="605">
        <v>2</v>
      </c>
      <c r="E18" s="632" t="str">
        <f>+bas!E14</f>
        <v>school 2</v>
      </c>
      <c r="F18" s="633" t="str">
        <f>+bas!F14</f>
        <v>11AA</v>
      </c>
      <c r="G18" s="633">
        <f>+bas!I14</f>
        <v>150</v>
      </c>
      <c r="H18" s="639">
        <f t="shared" ref="H18:H48" si="0">+F$10/G$104*G18</f>
        <v>22282.443548387102</v>
      </c>
      <c r="I18" s="610"/>
      <c r="J18" s="574"/>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row>
    <row r="19" spans="1:38" s="534" customFormat="1" ht="12" customHeight="1" x14ac:dyDescent="0.2">
      <c r="A19" s="668"/>
      <c r="B19" s="573"/>
      <c r="C19" s="604"/>
      <c r="D19" s="605">
        <v>3</v>
      </c>
      <c r="E19" s="632" t="str">
        <f>+bas!E15</f>
        <v>school 3</v>
      </c>
      <c r="F19" s="633" t="str">
        <f>+bas!F15</f>
        <v>11AA</v>
      </c>
      <c r="G19" s="633">
        <f>+bas!I15</f>
        <v>150</v>
      </c>
      <c r="H19" s="639">
        <f t="shared" si="0"/>
        <v>22282.443548387102</v>
      </c>
      <c r="I19" s="610"/>
      <c r="J19" s="574"/>
      <c r="K19" s="668"/>
      <c r="L19" s="668"/>
      <c r="M19" s="668"/>
      <c r="N19" s="668"/>
      <c r="O19" s="668"/>
      <c r="P19" s="668"/>
      <c r="Q19" s="668"/>
      <c r="R19" s="668"/>
      <c r="S19" s="668"/>
      <c r="T19" s="668"/>
      <c r="U19" s="668"/>
      <c r="V19" s="668"/>
      <c r="W19" s="668"/>
      <c r="X19" s="668"/>
      <c r="Y19" s="668"/>
      <c r="Z19" s="668"/>
      <c r="AA19" s="668"/>
      <c r="AB19" s="668"/>
      <c r="AC19" s="668"/>
      <c r="AD19" s="668"/>
      <c r="AE19" s="668"/>
      <c r="AF19" s="668"/>
      <c r="AG19" s="668"/>
      <c r="AH19" s="668"/>
      <c r="AI19" s="668"/>
      <c r="AJ19" s="668"/>
      <c r="AK19" s="668"/>
      <c r="AL19" s="668"/>
    </row>
    <row r="20" spans="1:38" s="534" customFormat="1" ht="12" customHeight="1" x14ac:dyDescent="0.2">
      <c r="A20" s="668"/>
      <c r="B20" s="573"/>
      <c r="C20" s="604"/>
      <c r="D20" s="605">
        <v>4</v>
      </c>
      <c r="E20" s="632" t="str">
        <f>+bas!E16</f>
        <v>school 4</v>
      </c>
      <c r="F20" s="633" t="str">
        <f>+bas!F16</f>
        <v>11AA</v>
      </c>
      <c r="G20" s="633">
        <f>+bas!I16</f>
        <v>150</v>
      </c>
      <c r="H20" s="639">
        <f t="shared" si="0"/>
        <v>22282.443548387102</v>
      </c>
      <c r="I20" s="610"/>
      <c r="J20" s="574"/>
      <c r="K20" s="668"/>
      <c r="L20" s="668"/>
      <c r="M20" s="668"/>
      <c r="N20" s="668"/>
      <c r="O20" s="668"/>
      <c r="P20" s="668"/>
      <c r="Q20" s="668"/>
      <c r="R20" s="668"/>
      <c r="S20" s="668"/>
      <c r="T20" s="668"/>
      <c r="U20" s="668"/>
      <c r="V20" s="668"/>
      <c r="W20" s="668"/>
      <c r="X20" s="668"/>
      <c r="Y20" s="668"/>
      <c r="Z20" s="668"/>
      <c r="AA20" s="668"/>
      <c r="AB20" s="668"/>
      <c r="AC20" s="668"/>
      <c r="AD20" s="668"/>
      <c r="AE20" s="668"/>
      <c r="AF20" s="668"/>
      <c r="AG20" s="668"/>
      <c r="AH20" s="668"/>
      <c r="AI20" s="668"/>
      <c r="AJ20" s="668"/>
      <c r="AK20" s="668"/>
      <c r="AL20" s="668"/>
    </row>
    <row r="21" spans="1:38" s="534" customFormat="1" ht="12" customHeight="1" x14ac:dyDescent="0.2">
      <c r="A21" s="668"/>
      <c r="B21" s="573"/>
      <c r="C21" s="604"/>
      <c r="D21" s="605">
        <v>5</v>
      </c>
      <c r="E21" s="632" t="str">
        <f>+bas!E17</f>
        <v>school 5</v>
      </c>
      <c r="F21" s="633" t="str">
        <f>+bas!F17</f>
        <v>11AA</v>
      </c>
      <c r="G21" s="633">
        <f>+bas!I17</f>
        <v>150</v>
      </c>
      <c r="H21" s="639">
        <f t="shared" si="0"/>
        <v>22282.443548387102</v>
      </c>
      <c r="I21" s="610"/>
      <c r="J21" s="574"/>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8"/>
      <c r="AH21" s="668"/>
      <c r="AI21" s="668"/>
      <c r="AJ21" s="668"/>
      <c r="AK21" s="668"/>
      <c r="AL21" s="668"/>
    </row>
    <row r="22" spans="1:38" s="534" customFormat="1" ht="12" customHeight="1" x14ac:dyDescent="0.2">
      <c r="A22" s="668"/>
      <c r="B22" s="573"/>
      <c r="C22" s="604"/>
      <c r="D22" s="605">
        <v>6</v>
      </c>
      <c r="E22" s="632" t="str">
        <f>+bas!E18</f>
        <v>school 6</v>
      </c>
      <c r="F22" s="633" t="str">
        <f>+bas!F18</f>
        <v>11AA</v>
      </c>
      <c r="G22" s="633">
        <f>+bas!I18</f>
        <v>150</v>
      </c>
      <c r="H22" s="639">
        <f t="shared" si="0"/>
        <v>22282.443548387102</v>
      </c>
      <c r="I22" s="610"/>
      <c r="J22" s="574"/>
      <c r="K22" s="668"/>
      <c r="L22" s="668"/>
      <c r="M22" s="668"/>
      <c r="N22" s="668"/>
      <c r="O22" s="668"/>
      <c r="P22" s="668"/>
      <c r="Q22" s="668"/>
      <c r="R22" s="668"/>
      <c r="S22" s="668"/>
      <c r="T22" s="668"/>
      <c r="U22" s="668"/>
      <c r="V22" s="668"/>
      <c r="W22" s="668"/>
      <c r="X22" s="668"/>
      <c r="Y22" s="668"/>
      <c r="Z22" s="668"/>
      <c r="AA22" s="668"/>
      <c r="AB22" s="668"/>
      <c r="AC22" s="668"/>
      <c r="AD22" s="668"/>
      <c r="AE22" s="668"/>
      <c r="AF22" s="668"/>
      <c r="AG22" s="668"/>
      <c r="AH22" s="668"/>
      <c r="AI22" s="668"/>
      <c r="AJ22" s="668"/>
      <c r="AK22" s="668"/>
      <c r="AL22" s="668"/>
    </row>
    <row r="23" spans="1:38" s="534" customFormat="1" ht="12" customHeight="1" x14ac:dyDescent="0.2">
      <c r="A23" s="668"/>
      <c r="B23" s="573"/>
      <c r="C23" s="604"/>
      <c r="D23" s="605">
        <v>7</v>
      </c>
      <c r="E23" s="632" t="str">
        <f>+bas!E19</f>
        <v>school 7</v>
      </c>
      <c r="F23" s="633" t="str">
        <f>+bas!F19</f>
        <v>11AA</v>
      </c>
      <c r="G23" s="633">
        <f>+bas!I19</f>
        <v>150</v>
      </c>
      <c r="H23" s="639">
        <f t="shared" si="0"/>
        <v>22282.443548387102</v>
      </c>
      <c r="I23" s="610"/>
      <c r="J23" s="574"/>
      <c r="K23" s="668"/>
      <c r="L23" s="668"/>
      <c r="M23" s="668"/>
      <c r="N23" s="668"/>
      <c r="O23" s="668"/>
      <c r="P23" s="668"/>
      <c r="Q23" s="668"/>
      <c r="R23" s="668"/>
      <c r="S23" s="668"/>
      <c r="T23" s="668"/>
      <c r="U23" s="668"/>
      <c r="V23" s="668"/>
      <c r="W23" s="668"/>
      <c r="X23" s="668"/>
      <c r="Y23" s="668"/>
      <c r="Z23" s="668"/>
      <c r="AA23" s="668"/>
      <c r="AB23" s="668"/>
      <c r="AC23" s="668"/>
      <c r="AD23" s="668"/>
      <c r="AE23" s="668"/>
      <c r="AF23" s="668"/>
      <c r="AG23" s="668"/>
      <c r="AH23" s="668"/>
      <c r="AI23" s="668"/>
      <c r="AJ23" s="668"/>
      <c r="AK23" s="668"/>
      <c r="AL23" s="668"/>
    </row>
    <row r="24" spans="1:38" s="534" customFormat="1" ht="12" customHeight="1" x14ac:dyDescent="0.2">
      <c r="A24" s="668"/>
      <c r="B24" s="573"/>
      <c r="C24" s="604"/>
      <c r="D24" s="605">
        <v>8</v>
      </c>
      <c r="E24" s="632" t="str">
        <f>+bas!E20</f>
        <v>school 8</v>
      </c>
      <c r="F24" s="633" t="str">
        <f>+bas!F20</f>
        <v>11AA</v>
      </c>
      <c r="G24" s="633">
        <f>+bas!I20</f>
        <v>150</v>
      </c>
      <c r="H24" s="639">
        <f t="shared" si="0"/>
        <v>22282.443548387102</v>
      </c>
      <c r="I24" s="610"/>
      <c r="J24" s="574"/>
      <c r="K24" s="668"/>
      <c r="L24" s="668"/>
      <c r="M24" s="668"/>
      <c r="N24" s="668"/>
      <c r="O24" s="668"/>
      <c r="P24" s="668"/>
      <c r="Q24" s="668"/>
      <c r="R24" s="668"/>
      <c r="S24" s="668"/>
      <c r="T24" s="668"/>
      <c r="U24" s="668"/>
      <c r="V24" s="668"/>
      <c r="W24" s="668"/>
      <c r="X24" s="668"/>
      <c r="Y24" s="668"/>
      <c r="Z24" s="668"/>
      <c r="AA24" s="668"/>
      <c r="AB24" s="668"/>
      <c r="AC24" s="668"/>
      <c r="AD24" s="668"/>
      <c r="AE24" s="668"/>
      <c r="AF24" s="668"/>
      <c r="AG24" s="668"/>
      <c r="AH24" s="668"/>
      <c r="AI24" s="668"/>
      <c r="AJ24" s="668"/>
      <c r="AK24" s="668"/>
      <c r="AL24" s="668"/>
    </row>
    <row r="25" spans="1:38" s="534" customFormat="1" ht="12" customHeight="1" x14ac:dyDescent="0.2">
      <c r="A25" s="668"/>
      <c r="B25" s="573"/>
      <c r="C25" s="604"/>
      <c r="D25" s="605">
        <v>9</v>
      </c>
      <c r="E25" s="632" t="str">
        <f>+bas!E21</f>
        <v>school 9</v>
      </c>
      <c r="F25" s="633" t="str">
        <f>+bas!F21</f>
        <v>11AA</v>
      </c>
      <c r="G25" s="633">
        <f>+bas!I21</f>
        <v>150</v>
      </c>
      <c r="H25" s="639">
        <f t="shared" si="0"/>
        <v>22282.443548387102</v>
      </c>
      <c r="I25" s="610"/>
      <c r="J25" s="574"/>
      <c r="K25" s="668"/>
      <c r="L25" s="668"/>
      <c r="M25" s="668"/>
      <c r="N25" s="668"/>
      <c r="O25" s="668"/>
      <c r="P25" s="668"/>
      <c r="Q25" s="668"/>
      <c r="R25" s="668"/>
      <c r="S25" s="668"/>
      <c r="T25" s="668"/>
      <c r="U25" s="668"/>
      <c r="V25" s="668"/>
      <c r="W25" s="668"/>
      <c r="X25" s="668"/>
      <c r="Y25" s="668"/>
      <c r="Z25" s="668"/>
      <c r="AA25" s="668"/>
      <c r="AB25" s="668"/>
      <c r="AC25" s="668"/>
      <c r="AD25" s="668"/>
      <c r="AE25" s="668"/>
      <c r="AF25" s="668"/>
      <c r="AG25" s="668"/>
      <c r="AH25" s="668"/>
      <c r="AI25" s="668"/>
      <c r="AJ25" s="668"/>
      <c r="AK25" s="668"/>
      <c r="AL25" s="668"/>
    </row>
    <row r="26" spans="1:38" s="534" customFormat="1" ht="12" customHeight="1" x14ac:dyDescent="0.2">
      <c r="A26" s="668"/>
      <c r="B26" s="573"/>
      <c r="C26" s="604"/>
      <c r="D26" s="605">
        <v>10</v>
      </c>
      <c r="E26" s="632" t="str">
        <f>+bas!E22</f>
        <v>school 10</v>
      </c>
      <c r="F26" s="633" t="str">
        <f>+bas!F22</f>
        <v>11AA</v>
      </c>
      <c r="G26" s="633">
        <f>+bas!I22</f>
        <v>150</v>
      </c>
      <c r="H26" s="639">
        <f t="shared" si="0"/>
        <v>22282.443548387102</v>
      </c>
      <c r="I26" s="610"/>
      <c r="J26" s="574"/>
      <c r="K26" s="668"/>
      <c r="L26" s="668"/>
      <c r="M26" s="668"/>
      <c r="N26" s="668"/>
      <c r="O26" s="668"/>
      <c r="P26" s="668"/>
      <c r="Q26" s="668"/>
      <c r="R26" s="668"/>
      <c r="S26" s="668"/>
      <c r="T26" s="668"/>
      <c r="U26" s="668"/>
      <c r="V26" s="668"/>
      <c r="W26" s="668"/>
      <c r="X26" s="668"/>
      <c r="Y26" s="668"/>
      <c r="Z26" s="668"/>
      <c r="AA26" s="668"/>
      <c r="AB26" s="668"/>
      <c r="AC26" s="668"/>
      <c r="AD26" s="668"/>
      <c r="AE26" s="668"/>
      <c r="AF26" s="668"/>
      <c r="AG26" s="668"/>
      <c r="AH26" s="668"/>
      <c r="AI26" s="668"/>
      <c r="AJ26" s="668"/>
      <c r="AK26" s="668"/>
      <c r="AL26" s="668"/>
    </row>
    <row r="27" spans="1:38" s="534" customFormat="1" ht="12" customHeight="1" x14ac:dyDescent="0.2">
      <c r="A27" s="668"/>
      <c r="B27" s="573"/>
      <c r="C27" s="604"/>
      <c r="D27" s="605">
        <v>11</v>
      </c>
      <c r="E27" s="632" t="str">
        <f>+bas!E23</f>
        <v>school 11</v>
      </c>
      <c r="F27" s="633" t="str">
        <f>+bas!F23</f>
        <v>11AA</v>
      </c>
      <c r="G27" s="633">
        <f>+bas!I23</f>
        <v>150</v>
      </c>
      <c r="H27" s="639">
        <f t="shared" si="0"/>
        <v>22282.443548387102</v>
      </c>
      <c r="I27" s="610"/>
      <c r="J27" s="574"/>
      <c r="K27" s="668"/>
      <c r="L27" s="668"/>
      <c r="M27" s="668"/>
      <c r="N27" s="668"/>
      <c r="O27" s="668"/>
      <c r="P27" s="668"/>
      <c r="Q27" s="668"/>
      <c r="R27" s="668"/>
      <c r="S27" s="668"/>
      <c r="T27" s="668"/>
      <c r="U27" s="668"/>
      <c r="V27" s="668"/>
      <c r="W27" s="668"/>
      <c r="X27" s="668"/>
      <c r="Y27" s="668"/>
      <c r="Z27" s="668"/>
      <c r="AA27" s="668"/>
      <c r="AB27" s="668"/>
      <c r="AC27" s="668"/>
      <c r="AD27" s="668"/>
      <c r="AE27" s="668"/>
      <c r="AF27" s="668"/>
      <c r="AG27" s="668"/>
      <c r="AH27" s="668"/>
      <c r="AI27" s="668"/>
      <c r="AJ27" s="668"/>
      <c r="AK27" s="668"/>
      <c r="AL27" s="668"/>
    </row>
    <row r="28" spans="1:38" s="534" customFormat="1" ht="12" customHeight="1" x14ac:dyDescent="0.2">
      <c r="A28" s="668"/>
      <c r="B28" s="573"/>
      <c r="C28" s="604"/>
      <c r="D28" s="605">
        <v>12</v>
      </c>
      <c r="E28" s="632" t="str">
        <f>+bas!E24</f>
        <v>school 12</v>
      </c>
      <c r="F28" s="633" t="str">
        <f>+bas!F24</f>
        <v>11AA</v>
      </c>
      <c r="G28" s="633">
        <f>+bas!I24</f>
        <v>150</v>
      </c>
      <c r="H28" s="639">
        <f t="shared" si="0"/>
        <v>22282.443548387102</v>
      </c>
      <c r="I28" s="610"/>
      <c r="J28" s="574"/>
      <c r="K28" s="668"/>
      <c r="L28" s="668"/>
      <c r="M28" s="668"/>
      <c r="N28" s="668"/>
      <c r="O28" s="668"/>
      <c r="P28" s="668"/>
      <c r="Q28" s="668"/>
      <c r="R28" s="668"/>
      <c r="S28" s="668"/>
      <c r="T28" s="668"/>
      <c r="U28" s="668"/>
      <c r="V28" s="668"/>
      <c r="W28" s="668"/>
      <c r="X28" s="668"/>
      <c r="Y28" s="668"/>
      <c r="Z28" s="668"/>
      <c r="AA28" s="668"/>
      <c r="AB28" s="668"/>
      <c r="AC28" s="668"/>
      <c r="AD28" s="668"/>
      <c r="AE28" s="668"/>
      <c r="AF28" s="668"/>
      <c r="AG28" s="668"/>
      <c r="AH28" s="668"/>
      <c r="AI28" s="668"/>
      <c r="AJ28" s="668"/>
      <c r="AK28" s="668"/>
      <c r="AL28" s="668"/>
    </row>
    <row r="29" spans="1:38" s="534" customFormat="1" ht="12" customHeight="1" x14ac:dyDescent="0.2">
      <c r="A29" s="668"/>
      <c r="B29" s="573"/>
      <c r="C29" s="604"/>
      <c r="D29" s="605">
        <v>13</v>
      </c>
      <c r="E29" s="632" t="str">
        <f>+bas!E25</f>
        <v>school 13</v>
      </c>
      <c r="F29" s="633" t="str">
        <f>+bas!F25</f>
        <v>11AA</v>
      </c>
      <c r="G29" s="633">
        <f>+bas!I25</f>
        <v>150</v>
      </c>
      <c r="H29" s="639">
        <f t="shared" si="0"/>
        <v>22282.443548387102</v>
      </c>
      <c r="I29" s="610"/>
      <c r="J29" s="574"/>
      <c r="K29" s="668"/>
      <c r="L29" s="668"/>
      <c r="M29" s="668"/>
      <c r="N29" s="668"/>
      <c r="O29" s="668"/>
      <c r="P29" s="668"/>
      <c r="Q29" s="668"/>
      <c r="R29" s="668"/>
      <c r="S29" s="668"/>
      <c r="T29" s="668"/>
      <c r="U29" s="668"/>
      <c r="V29" s="668"/>
      <c r="W29" s="668"/>
      <c r="X29" s="668"/>
      <c r="Y29" s="668"/>
      <c r="Z29" s="668"/>
      <c r="AA29" s="668"/>
      <c r="AB29" s="668"/>
      <c r="AC29" s="668"/>
      <c r="AD29" s="668"/>
      <c r="AE29" s="668"/>
      <c r="AF29" s="668"/>
      <c r="AG29" s="668"/>
      <c r="AH29" s="668"/>
      <c r="AI29" s="668"/>
      <c r="AJ29" s="668"/>
      <c r="AK29" s="668"/>
      <c r="AL29" s="668"/>
    </row>
    <row r="30" spans="1:38" s="534" customFormat="1" ht="12" customHeight="1" x14ac:dyDescent="0.2">
      <c r="A30" s="668"/>
      <c r="B30" s="573"/>
      <c r="C30" s="604"/>
      <c r="D30" s="605">
        <v>14</v>
      </c>
      <c r="E30" s="632" t="str">
        <f>+bas!E26</f>
        <v>school 14</v>
      </c>
      <c r="F30" s="633" t="str">
        <f>+bas!F26</f>
        <v>11AA</v>
      </c>
      <c r="G30" s="633">
        <f>+bas!I26</f>
        <v>150</v>
      </c>
      <c r="H30" s="639">
        <f t="shared" si="0"/>
        <v>22282.443548387102</v>
      </c>
      <c r="I30" s="610"/>
      <c r="J30" s="574"/>
      <c r="K30" s="668"/>
      <c r="L30" s="668"/>
      <c r="M30" s="668"/>
      <c r="N30" s="668"/>
      <c r="O30" s="668"/>
      <c r="P30" s="668"/>
      <c r="Q30" s="668"/>
      <c r="R30" s="668"/>
      <c r="S30" s="668"/>
      <c r="T30" s="668"/>
      <c r="U30" s="668"/>
      <c r="V30" s="668"/>
      <c r="W30" s="668"/>
      <c r="X30" s="668"/>
      <c r="Y30" s="668"/>
      <c r="Z30" s="668"/>
      <c r="AA30" s="668"/>
      <c r="AB30" s="668"/>
      <c r="AC30" s="668"/>
      <c r="AD30" s="668"/>
      <c r="AE30" s="668"/>
      <c r="AF30" s="668"/>
      <c r="AG30" s="668"/>
      <c r="AH30" s="668"/>
      <c r="AI30" s="668"/>
      <c r="AJ30" s="668"/>
      <c r="AK30" s="668"/>
      <c r="AL30" s="668"/>
    </row>
    <row r="31" spans="1:38" s="534" customFormat="1" ht="12" customHeight="1" x14ac:dyDescent="0.2">
      <c r="A31" s="668"/>
      <c r="B31" s="573"/>
      <c r="C31" s="604"/>
      <c r="D31" s="605">
        <v>15</v>
      </c>
      <c r="E31" s="632" t="str">
        <f>+bas!E27</f>
        <v>school 15</v>
      </c>
      <c r="F31" s="633" t="str">
        <f>+bas!F27</f>
        <v>11AA</v>
      </c>
      <c r="G31" s="633">
        <f>+bas!I27</f>
        <v>150</v>
      </c>
      <c r="H31" s="639">
        <f t="shared" si="0"/>
        <v>22282.443548387102</v>
      </c>
      <c r="I31" s="610"/>
      <c r="J31" s="574"/>
      <c r="K31" s="668"/>
      <c r="L31" s="668"/>
      <c r="M31" s="668"/>
      <c r="N31" s="668"/>
      <c r="O31" s="668"/>
      <c r="P31" s="668"/>
      <c r="Q31" s="668"/>
      <c r="R31" s="668"/>
      <c r="S31" s="668"/>
      <c r="T31" s="668"/>
      <c r="U31" s="668"/>
      <c r="V31" s="668"/>
      <c r="W31" s="668"/>
      <c r="X31" s="668"/>
      <c r="Y31" s="668"/>
      <c r="Z31" s="668"/>
      <c r="AA31" s="668"/>
      <c r="AB31" s="668"/>
      <c r="AC31" s="668"/>
      <c r="AD31" s="668"/>
      <c r="AE31" s="668"/>
      <c r="AF31" s="668"/>
      <c r="AG31" s="668"/>
      <c r="AH31" s="668"/>
      <c r="AI31" s="668"/>
      <c r="AJ31" s="668"/>
      <c r="AK31" s="668"/>
      <c r="AL31" s="668"/>
    </row>
    <row r="32" spans="1:38" s="534" customFormat="1" ht="12" customHeight="1" x14ac:dyDescent="0.2">
      <c r="A32" s="668"/>
      <c r="B32" s="573"/>
      <c r="C32" s="604"/>
      <c r="D32" s="605">
        <v>16</v>
      </c>
      <c r="E32" s="632" t="str">
        <f>+bas!E28</f>
        <v>school 16</v>
      </c>
      <c r="F32" s="633" t="str">
        <f>+bas!F28</f>
        <v>11AA</v>
      </c>
      <c r="G32" s="633">
        <f>+bas!I28</f>
        <v>150</v>
      </c>
      <c r="H32" s="639">
        <f t="shared" si="0"/>
        <v>22282.443548387102</v>
      </c>
      <c r="I32" s="610"/>
      <c r="J32" s="574"/>
      <c r="K32" s="668"/>
      <c r="L32" s="668"/>
      <c r="M32" s="668"/>
      <c r="N32" s="668"/>
      <c r="O32" s="668"/>
      <c r="P32" s="668"/>
      <c r="Q32" s="668"/>
      <c r="R32" s="668"/>
      <c r="S32" s="668"/>
      <c r="T32" s="668"/>
      <c r="U32" s="668"/>
      <c r="V32" s="668"/>
      <c r="W32" s="668"/>
      <c r="X32" s="668"/>
      <c r="Y32" s="668"/>
      <c r="Z32" s="668"/>
      <c r="AA32" s="668"/>
      <c r="AB32" s="668"/>
      <c r="AC32" s="668"/>
      <c r="AD32" s="668"/>
      <c r="AE32" s="668"/>
      <c r="AF32" s="668"/>
      <c r="AG32" s="668"/>
      <c r="AH32" s="668"/>
      <c r="AI32" s="668"/>
      <c r="AJ32" s="668"/>
      <c r="AK32" s="668"/>
      <c r="AL32" s="668"/>
    </row>
    <row r="33" spans="1:38" s="534" customFormat="1" ht="12" customHeight="1" x14ac:dyDescent="0.2">
      <c r="A33" s="668"/>
      <c r="B33" s="573"/>
      <c r="C33" s="604"/>
      <c r="D33" s="605">
        <v>17</v>
      </c>
      <c r="E33" s="632" t="str">
        <f>+bas!E29</f>
        <v>school 17</v>
      </c>
      <c r="F33" s="633" t="str">
        <f>+bas!F29</f>
        <v>11AA</v>
      </c>
      <c r="G33" s="633">
        <f>+bas!I29</f>
        <v>150</v>
      </c>
      <c r="H33" s="639">
        <f t="shared" si="0"/>
        <v>22282.443548387102</v>
      </c>
      <c r="I33" s="610"/>
      <c r="J33" s="574"/>
      <c r="K33" s="668"/>
      <c r="L33" s="668"/>
      <c r="M33" s="668"/>
      <c r="N33" s="668"/>
      <c r="O33" s="668"/>
      <c r="P33" s="668"/>
      <c r="Q33" s="668"/>
      <c r="R33" s="668"/>
      <c r="S33" s="668"/>
      <c r="T33" s="668"/>
      <c r="U33" s="668"/>
      <c r="V33" s="668"/>
      <c r="W33" s="668"/>
      <c r="X33" s="668"/>
      <c r="Y33" s="668"/>
      <c r="Z33" s="668"/>
      <c r="AA33" s="668"/>
      <c r="AB33" s="668"/>
      <c r="AC33" s="668"/>
      <c r="AD33" s="668"/>
      <c r="AE33" s="668"/>
      <c r="AF33" s="668"/>
      <c r="AG33" s="668"/>
      <c r="AH33" s="668"/>
      <c r="AI33" s="668"/>
      <c r="AJ33" s="668"/>
      <c r="AK33" s="668"/>
      <c r="AL33" s="668"/>
    </row>
    <row r="34" spans="1:38" s="534" customFormat="1" ht="12" customHeight="1" x14ac:dyDescent="0.2">
      <c r="A34" s="668"/>
      <c r="B34" s="573"/>
      <c r="C34" s="604"/>
      <c r="D34" s="605">
        <v>18</v>
      </c>
      <c r="E34" s="632" t="str">
        <f>+bas!E30</f>
        <v>school 18</v>
      </c>
      <c r="F34" s="633" t="str">
        <f>+bas!F30</f>
        <v>11AA</v>
      </c>
      <c r="G34" s="633">
        <f>+bas!I30</f>
        <v>150</v>
      </c>
      <c r="H34" s="639">
        <f t="shared" si="0"/>
        <v>22282.443548387102</v>
      </c>
      <c r="I34" s="610"/>
      <c r="J34" s="574"/>
      <c r="K34" s="668"/>
      <c r="L34" s="668"/>
      <c r="M34" s="668"/>
      <c r="N34" s="668"/>
      <c r="O34" s="668"/>
      <c r="P34" s="668"/>
      <c r="Q34" s="668"/>
      <c r="R34" s="668"/>
      <c r="S34" s="668"/>
      <c r="T34" s="668"/>
      <c r="U34" s="668"/>
      <c r="V34" s="668"/>
      <c r="W34" s="668"/>
      <c r="X34" s="668"/>
      <c r="Y34" s="668"/>
      <c r="Z34" s="668"/>
      <c r="AA34" s="668"/>
      <c r="AB34" s="668"/>
      <c r="AC34" s="668"/>
      <c r="AD34" s="668"/>
      <c r="AE34" s="668"/>
      <c r="AF34" s="668"/>
      <c r="AG34" s="668"/>
      <c r="AH34" s="668"/>
      <c r="AI34" s="668"/>
      <c r="AJ34" s="668"/>
      <c r="AK34" s="668"/>
      <c r="AL34" s="668"/>
    </row>
    <row r="35" spans="1:38" s="534" customFormat="1" ht="12" customHeight="1" x14ac:dyDescent="0.2">
      <c r="A35" s="668"/>
      <c r="B35" s="573"/>
      <c r="C35" s="604"/>
      <c r="D35" s="605">
        <v>19</v>
      </c>
      <c r="E35" s="632" t="str">
        <f>+bas!E31</f>
        <v>school 19</v>
      </c>
      <c r="F35" s="633" t="str">
        <f>+bas!F31</f>
        <v>11AA</v>
      </c>
      <c r="G35" s="633">
        <f>+bas!I31</f>
        <v>150</v>
      </c>
      <c r="H35" s="639">
        <f t="shared" si="0"/>
        <v>22282.443548387102</v>
      </c>
      <c r="I35" s="610"/>
      <c r="J35" s="574"/>
      <c r="K35" s="668"/>
      <c r="L35" s="668"/>
      <c r="M35" s="668"/>
      <c r="N35" s="668"/>
      <c r="O35" s="668"/>
      <c r="P35" s="668"/>
      <c r="Q35" s="668"/>
      <c r="R35" s="668"/>
      <c r="S35" s="668"/>
      <c r="T35" s="668"/>
      <c r="U35" s="668"/>
      <c r="V35" s="668"/>
      <c r="W35" s="668"/>
      <c r="X35" s="668"/>
      <c r="Y35" s="668"/>
      <c r="Z35" s="668"/>
      <c r="AA35" s="668"/>
      <c r="AB35" s="668"/>
      <c r="AC35" s="668"/>
      <c r="AD35" s="668"/>
      <c r="AE35" s="668"/>
      <c r="AF35" s="668"/>
      <c r="AG35" s="668"/>
      <c r="AH35" s="668"/>
      <c r="AI35" s="668"/>
      <c r="AJ35" s="668"/>
      <c r="AK35" s="668"/>
      <c r="AL35" s="668"/>
    </row>
    <row r="36" spans="1:38" s="534" customFormat="1" ht="12" customHeight="1" x14ac:dyDescent="0.2">
      <c r="A36" s="668"/>
      <c r="B36" s="573"/>
      <c r="C36" s="604"/>
      <c r="D36" s="605">
        <v>20</v>
      </c>
      <c r="E36" s="632" t="str">
        <f>+bas!E32</f>
        <v>school 20</v>
      </c>
      <c r="F36" s="633" t="str">
        <f>+bas!F32</f>
        <v>11AA</v>
      </c>
      <c r="G36" s="633">
        <f>+bas!I32</f>
        <v>150</v>
      </c>
      <c r="H36" s="639">
        <f t="shared" si="0"/>
        <v>22282.443548387102</v>
      </c>
      <c r="I36" s="610"/>
      <c r="J36" s="574"/>
      <c r="K36" s="668"/>
      <c r="L36" s="668"/>
      <c r="M36" s="668"/>
      <c r="N36" s="668"/>
      <c r="O36" s="668"/>
      <c r="P36" s="668"/>
      <c r="Q36" s="668"/>
      <c r="R36" s="668"/>
      <c r="S36" s="668"/>
      <c r="T36" s="668"/>
      <c r="U36" s="668"/>
      <c r="V36" s="668"/>
      <c r="W36" s="668"/>
      <c r="X36" s="668"/>
      <c r="Y36" s="668"/>
      <c r="Z36" s="668"/>
      <c r="AA36" s="668"/>
      <c r="AB36" s="668"/>
      <c r="AC36" s="668"/>
      <c r="AD36" s="668"/>
      <c r="AE36" s="668"/>
      <c r="AF36" s="668"/>
      <c r="AG36" s="668"/>
      <c r="AH36" s="668"/>
      <c r="AI36" s="668"/>
      <c r="AJ36" s="668"/>
      <c r="AK36" s="668"/>
      <c r="AL36" s="668"/>
    </row>
    <row r="37" spans="1:38" s="534" customFormat="1" ht="12" customHeight="1" x14ac:dyDescent="0.2">
      <c r="A37" s="668"/>
      <c r="B37" s="573"/>
      <c r="C37" s="604"/>
      <c r="D37" s="605">
        <v>21</v>
      </c>
      <c r="E37" s="632" t="str">
        <f>+bas!E33</f>
        <v>school 21</v>
      </c>
      <c r="F37" s="633" t="str">
        <f>+bas!F33</f>
        <v>11AA</v>
      </c>
      <c r="G37" s="633">
        <f>+bas!I33</f>
        <v>150</v>
      </c>
      <c r="H37" s="639">
        <f t="shared" si="0"/>
        <v>22282.443548387102</v>
      </c>
      <c r="I37" s="610"/>
      <c r="J37" s="574"/>
      <c r="K37" s="668"/>
      <c r="L37" s="668"/>
      <c r="M37" s="668"/>
      <c r="N37" s="668"/>
      <c r="O37" s="668"/>
      <c r="P37" s="668"/>
      <c r="Q37" s="668"/>
      <c r="R37" s="668"/>
      <c r="S37" s="668"/>
      <c r="T37" s="668"/>
      <c r="U37" s="668"/>
      <c r="V37" s="668"/>
      <c r="W37" s="668"/>
      <c r="X37" s="668"/>
      <c r="Y37" s="668"/>
      <c r="Z37" s="668"/>
      <c r="AA37" s="668"/>
      <c r="AB37" s="668"/>
      <c r="AC37" s="668"/>
      <c r="AD37" s="668"/>
      <c r="AE37" s="668"/>
      <c r="AF37" s="668"/>
      <c r="AG37" s="668"/>
      <c r="AH37" s="668"/>
      <c r="AI37" s="668"/>
      <c r="AJ37" s="668"/>
      <c r="AK37" s="668"/>
      <c r="AL37" s="668"/>
    </row>
    <row r="38" spans="1:38" s="534" customFormat="1" ht="12" customHeight="1" x14ac:dyDescent="0.2">
      <c r="A38" s="668"/>
      <c r="B38" s="573"/>
      <c r="C38" s="604"/>
      <c r="D38" s="605">
        <v>22</v>
      </c>
      <c r="E38" s="632" t="str">
        <f>+bas!E34</f>
        <v>school 22</v>
      </c>
      <c r="F38" s="633" t="str">
        <f>+bas!F34</f>
        <v>11AA</v>
      </c>
      <c r="G38" s="633">
        <f>+bas!I34</f>
        <v>150</v>
      </c>
      <c r="H38" s="639">
        <f t="shared" si="0"/>
        <v>22282.443548387102</v>
      </c>
      <c r="I38" s="610"/>
      <c r="J38" s="574"/>
      <c r="K38" s="668"/>
      <c r="L38" s="668"/>
      <c r="M38" s="668"/>
      <c r="N38" s="668"/>
      <c r="O38" s="668"/>
      <c r="P38" s="668"/>
      <c r="Q38" s="668"/>
      <c r="R38" s="668"/>
      <c r="S38" s="668"/>
      <c r="T38" s="668"/>
      <c r="U38" s="668"/>
      <c r="V38" s="668"/>
      <c r="W38" s="668"/>
      <c r="X38" s="668"/>
      <c r="Y38" s="668"/>
      <c r="Z38" s="668"/>
      <c r="AA38" s="668"/>
      <c r="AB38" s="668"/>
      <c r="AC38" s="668"/>
      <c r="AD38" s="668"/>
      <c r="AE38" s="668"/>
      <c r="AF38" s="668"/>
      <c r="AG38" s="668"/>
      <c r="AH38" s="668"/>
      <c r="AI38" s="668"/>
      <c r="AJ38" s="668"/>
      <c r="AK38" s="668"/>
      <c r="AL38" s="668"/>
    </row>
    <row r="39" spans="1:38" s="534" customFormat="1" ht="12" customHeight="1" x14ac:dyDescent="0.2">
      <c r="A39" s="668"/>
      <c r="B39" s="573"/>
      <c r="C39" s="604"/>
      <c r="D39" s="605">
        <v>23</v>
      </c>
      <c r="E39" s="632" t="str">
        <f>+bas!E35</f>
        <v>school 23</v>
      </c>
      <c r="F39" s="633" t="str">
        <f>+bas!F35</f>
        <v>11AA</v>
      </c>
      <c r="G39" s="633">
        <f>+bas!I35</f>
        <v>150</v>
      </c>
      <c r="H39" s="639">
        <f t="shared" si="0"/>
        <v>22282.443548387102</v>
      </c>
      <c r="I39" s="610"/>
      <c r="J39" s="574"/>
      <c r="K39" s="668"/>
      <c r="L39" s="668"/>
      <c r="M39" s="668"/>
      <c r="N39" s="668"/>
      <c r="O39" s="668"/>
      <c r="P39" s="668"/>
      <c r="Q39" s="668"/>
      <c r="R39" s="668"/>
      <c r="S39" s="668"/>
      <c r="T39" s="668"/>
      <c r="U39" s="668"/>
      <c r="V39" s="668"/>
      <c r="W39" s="668"/>
      <c r="X39" s="668"/>
      <c r="Y39" s="668"/>
      <c r="Z39" s="668"/>
      <c r="AA39" s="668"/>
      <c r="AB39" s="668"/>
      <c r="AC39" s="668"/>
      <c r="AD39" s="668"/>
      <c r="AE39" s="668"/>
      <c r="AF39" s="668"/>
      <c r="AG39" s="668"/>
      <c r="AH39" s="668"/>
      <c r="AI39" s="668"/>
      <c r="AJ39" s="668"/>
      <c r="AK39" s="668"/>
      <c r="AL39" s="668"/>
    </row>
    <row r="40" spans="1:38" s="534" customFormat="1" ht="12" customHeight="1" x14ac:dyDescent="0.2">
      <c r="A40" s="668"/>
      <c r="B40" s="573"/>
      <c r="C40" s="604"/>
      <c r="D40" s="605">
        <v>24</v>
      </c>
      <c r="E40" s="632" t="str">
        <f>+bas!E36</f>
        <v>school 24</v>
      </c>
      <c r="F40" s="633" t="str">
        <f>+bas!F36</f>
        <v>11AA</v>
      </c>
      <c r="G40" s="633">
        <f>+bas!I36</f>
        <v>150</v>
      </c>
      <c r="H40" s="639">
        <f t="shared" si="0"/>
        <v>22282.443548387102</v>
      </c>
      <c r="I40" s="610"/>
      <c r="J40" s="574"/>
      <c r="K40" s="668"/>
      <c r="L40" s="668"/>
      <c r="M40" s="668"/>
      <c r="N40" s="668"/>
      <c r="O40" s="668"/>
      <c r="P40" s="668"/>
      <c r="Q40" s="668"/>
      <c r="R40" s="668"/>
      <c r="S40" s="668"/>
      <c r="T40" s="668"/>
      <c r="U40" s="668"/>
      <c r="V40" s="668"/>
      <c r="W40" s="668"/>
      <c r="X40" s="668"/>
      <c r="Y40" s="668"/>
      <c r="Z40" s="668"/>
      <c r="AA40" s="668"/>
      <c r="AB40" s="668"/>
      <c r="AC40" s="668"/>
      <c r="AD40" s="668"/>
      <c r="AE40" s="668"/>
      <c r="AF40" s="668"/>
      <c r="AG40" s="668"/>
      <c r="AH40" s="668"/>
      <c r="AI40" s="668"/>
      <c r="AJ40" s="668"/>
      <c r="AK40" s="668"/>
      <c r="AL40" s="668"/>
    </row>
    <row r="41" spans="1:38" s="534" customFormat="1" ht="12" customHeight="1" x14ac:dyDescent="0.2">
      <c r="A41" s="668"/>
      <c r="B41" s="573"/>
      <c r="C41" s="604"/>
      <c r="D41" s="605">
        <v>25</v>
      </c>
      <c r="E41" s="632" t="str">
        <f>+bas!E37</f>
        <v>school 25</v>
      </c>
      <c r="F41" s="633" t="str">
        <f>+bas!F37</f>
        <v>11AA</v>
      </c>
      <c r="G41" s="633">
        <f>+bas!I37</f>
        <v>150</v>
      </c>
      <c r="H41" s="639">
        <f t="shared" si="0"/>
        <v>22282.443548387102</v>
      </c>
      <c r="I41" s="610"/>
      <c r="J41" s="574"/>
      <c r="K41" s="668"/>
      <c r="L41" s="668"/>
      <c r="M41" s="668"/>
      <c r="N41" s="668"/>
      <c r="O41" s="668"/>
      <c r="P41" s="668"/>
      <c r="Q41" s="668"/>
      <c r="R41" s="668"/>
      <c r="S41" s="668"/>
      <c r="T41" s="668"/>
      <c r="U41" s="668"/>
      <c r="V41" s="668"/>
      <c r="W41" s="668"/>
      <c r="X41" s="668"/>
      <c r="Y41" s="668"/>
      <c r="Z41" s="668"/>
      <c r="AA41" s="668"/>
      <c r="AB41" s="668"/>
      <c r="AC41" s="668"/>
      <c r="AD41" s="668"/>
      <c r="AE41" s="668"/>
      <c r="AF41" s="668"/>
      <c r="AG41" s="668"/>
      <c r="AH41" s="668"/>
      <c r="AI41" s="668"/>
      <c r="AJ41" s="668"/>
      <c r="AK41" s="668"/>
      <c r="AL41" s="668"/>
    </row>
    <row r="42" spans="1:38" s="534" customFormat="1" ht="12" customHeight="1" x14ac:dyDescent="0.2">
      <c r="A42" s="668"/>
      <c r="B42" s="573"/>
      <c r="C42" s="604"/>
      <c r="D42" s="605">
        <v>26</v>
      </c>
      <c r="E42" s="632" t="str">
        <f>+bas!E38</f>
        <v>school 26</v>
      </c>
      <c r="F42" s="633" t="str">
        <f>+bas!F38</f>
        <v>11AA</v>
      </c>
      <c r="G42" s="633">
        <f>+bas!I38</f>
        <v>150</v>
      </c>
      <c r="H42" s="639">
        <f t="shared" si="0"/>
        <v>22282.443548387102</v>
      </c>
      <c r="I42" s="610"/>
      <c r="J42" s="574"/>
      <c r="K42" s="668"/>
      <c r="L42" s="668"/>
      <c r="M42" s="668"/>
      <c r="N42" s="668"/>
      <c r="O42" s="668"/>
      <c r="P42" s="668"/>
      <c r="Q42" s="668"/>
      <c r="R42" s="668"/>
      <c r="S42" s="668"/>
      <c r="T42" s="668"/>
      <c r="U42" s="668"/>
      <c r="V42" s="668"/>
      <c r="W42" s="668"/>
      <c r="X42" s="668"/>
      <c r="Y42" s="668"/>
      <c r="Z42" s="668"/>
      <c r="AA42" s="668"/>
      <c r="AB42" s="668"/>
      <c r="AC42" s="668"/>
      <c r="AD42" s="668"/>
      <c r="AE42" s="668"/>
      <c r="AF42" s="668"/>
      <c r="AG42" s="668"/>
      <c r="AH42" s="668"/>
      <c r="AI42" s="668"/>
      <c r="AJ42" s="668"/>
      <c r="AK42" s="668"/>
      <c r="AL42" s="668"/>
    </row>
    <row r="43" spans="1:38" s="534" customFormat="1" ht="12" customHeight="1" x14ac:dyDescent="0.2">
      <c r="A43" s="668"/>
      <c r="B43" s="573"/>
      <c r="C43" s="604"/>
      <c r="D43" s="605">
        <v>27</v>
      </c>
      <c r="E43" s="632" t="str">
        <f>+bas!E39</f>
        <v>school 27</v>
      </c>
      <c r="F43" s="633" t="str">
        <f>+bas!F39</f>
        <v>11AA</v>
      </c>
      <c r="G43" s="633">
        <f>+bas!I39</f>
        <v>150</v>
      </c>
      <c r="H43" s="639">
        <f t="shared" si="0"/>
        <v>22282.443548387102</v>
      </c>
      <c r="I43" s="610"/>
      <c r="J43" s="574"/>
      <c r="K43" s="668"/>
      <c r="L43" s="668"/>
      <c r="M43" s="668"/>
      <c r="N43" s="668"/>
      <c r="O43" s="668"/>
      <c r="P43" s="668"/>
      <c r="Q43" s="668"/>
      <c r="R43" s="668"/>
      <c r="S43" s="668"/>
      <c r="T43" s="668"/>
      <c r="U43" s="668"/>
      <c r="V43" s="668"/>
      <c r="W43" s="668"/>
      <c r="X43" s="668"/>
      <c r="Y43" s="668"/>
      <c r="Z43" s="668"/>
      <c r="AA43" s="668"/>
      <c r="AB43" s="668"/>
      <c r="AC43" s="668"/>
      <c r="AD43" s="668"/>
      <c r="AE43" s="668"/>
      <c r="AF43" s="668"/>
      <c r="AG43" s="668"/>
      <c r="AH43" s="668"/>
      <c r="AI43" s="668"/>
      <c r="AJ43" s="668"/>
      <c r="AK43" s="668"/>
      <c r="AL43" s="668"/>
    </row>
    <row r="44" spans="1:38" s="534" customFormat="1" ht="12" customHeight="1" x14ac:dyDescent="0.2">
      <c r="A44" s="668"/>
      <c r="B44" s="573"/>
      <c r="C44" s="604"/>
      <c r="D44" s="605">
        <v>28</v>
      </c>
      <c r="E44" s="632" t="str">
        <f>+bas!E40</f>
        <v>school 28</v>
      </c>
      <c r="F44" s="633" t="str">
        <f>+bas!F40</f>
        <v>11AA</v>
      </c>
      <c r="G44" s="633">
        <f>+bas!I40</f>
        <v>150</v>
      </c>
      <c r="H44" s="639">
        <f t="shared" si="0"/>
        <v>22282.443548387102</v>
      </c>
      <c r="I44" s="610"/>
      <c r="J44" s="574"/>
      <c r="K44" s="668"/>
      <c r="L44" s="668"/>
      <c r="M44" s="668"/>
      <c r="N44" s="668"/>
      <c r="O44" s="668"/>
      <c r="P44" s="668"/>
      <c r="Q44" s="668"/>
      <c r="R44" s="668"/>
      <c r="S44" s="668"/>
      <c r="T44" s="668"/>
      <c r="U44" s="668"/>
      <c r="V44" s="668"/>
      <c r="W44" s="668"/>
      <c r="X44" s="668"/>
      <c r="Y44" s="668"/>
      <c r="Z44" s="668"/>
      <c r="AA44" s="668"/>
      <c r="AB44" s="668"/>
      <c r="AC44" s="668"/>
      <c r="AD44" s="668"/>
      <c r="AE44" s="668"/>
      <c r="AF44" s="668"/>
      <c r="AG44" s="668"/>
      <c r="AH44" s="668"/>
      <c r="AI44" s="668"/>
      <c r="AJ44" s="668"/>
      <c r="AK44" s="668"/>
      <c r="AL44" s="668"/>
    </row>
    <row r="45" spans="1:38" s="534" customFormat="1" ht="12" customHeight="1" x14ac:dyDescent="0.2">
      <c r="A45" s="668"/>
      <c r="B45" s="573"/>
      <c r="C45" s="604"/>
      <c r="D45" s="605">
        <v>29</v>
      </c>
      <c r="E45" s="632" t="str">
        <f>+bas!E41</f>
        <v>school 29</v>
      </c>
      <c r="F45" s="633" t="str">
        <f>+bas!F41</f>
        <v>11AA</v>
      </c>
      <c r="G45" s="633">
        <f>+bas!I41</f>
        <v>150</v>
      </c>
      <c r="H45" s="639">
        <f t="shared" si="0"/>
        <v>22282.443548387102</v>
      </c>
      <c r="I45" s="610"/>
      <c r="J45" s="574"/>
      <c r="K45" s="668"/>
      <c r="L45" s="668"/>
      <c r="M45" s="668"/>
      <c r="N45" s="668"/>
      <c r="O45" s="668"/>
      <c r="P45" s="668"/>
      <c r="Q45" s="668"/>
      <c r="R45" s="668"/>
      <c r="S45" s="668"/>
      <c r="T45" s="668"/>
      <c r="U45" s="668"/>
      <c r="V45" s="668"/>
      <c r="W45" s="668"/>
      <c r="X45" s="668"/>
      <c r="Y45" s="668"/>
      <c r="Z45" s="668"/>
      <c r="AA45" s="668"/>
      <c r="AB45" s="668"/>
      <c r="AC45" s="668"/>
      <c r="AD45" s="668"/>
      <c r="AE45" s="668"/>
      <c r="AF45" s="668"/>
      <c r="AG45" s="668"/>
      <c r="AH45" s="668"/>
      <c r="AI45" s="668"/>
      <c r="AJ45" s="668"/>
      <c r="AK45" s="668"/>
      <c r="AL45" s="668"/>
    </row>
    <row r="46" spans="1:38" s="534" customFormat="1" ht="12" customHeight="1" x14ac:dyDescent="0.2">
      <c r="A46" s="668"/>
      <c r="B46" s="573"/>
      <c r="C46" s="604"/>
      <c r="D46" s="605">
        <v>30</v>
      </c>
      <c r="E46" s="632" t="str">
        <f>+bas!E42</f>
        <v>school 30</v>
      </c>
      <c r="F46" s="633" t="str">
        <f>+bas!F42</f>
        <v>11AA</v>
      </c>
      <c r="G46" s="633">
        <f>+bas!I42</f>
        <v>150</v>
      </c>
      <c r="H46" s="639">
        <f t="shared" si="0"/>
        <v>22282.443548387102</v>
      </c>
      <c r="I46" s="610"/>
      <c r="J46" s="574"/>
      <c r="K46" s="668"/>
      <c r="L46" s="668"/>
      <c r="M46" s="668"/>
      <c r="N46" s="668"/>
      <c r="O46" s="668"/>
      <c r="P46" s="668"/>
      <c r="Q46" s="668"/>
      <c r="R46" s="668"/>
      <c r="S46" s="668"/>
      <c r="T46" s="668"/>
      <c r="U46" s="668"/>
      <c r="V46" s="668"/>
      <c r="W46" s="668"/>
      <c r="X46" s="668"/>
      <c r="Y46" s="668"/>
      <c r="Z46" s="668"/>
      <c r="AA46" s="668"/>
      <c r="AB46" s="668"/>
      <c r="AC46" s="668"/>
      <c r="AD46" s="668"/>
      <c r="AE46" s="668"/>
      <c r="AF46" s="668"/>
      <c r="AG46" s="668"/>
      <c r="AH46" s="668"/>
      <c r="AI46" s="668"/>
      <c r="AJ46" s="668"/>
      <c r="AK46" s="668"/>
      <c r="AL46" s="668"/>
    </row>
    <row r="47" spans="1:38" s="534" customFormat="1" ht="12" customHeight="1" x14ac:dyDescent="0.2">
      <c r="A47" s="668"/>
      <c r="B47" s="573"/>
      <c r="C47" s="604"/>
      <c r="D47" s="605">
        <v>31</v>
      </c>
      <c r="E47" s="632" t="str">
        <f>+bas!E43</f>
        <v>school 31</v>
      </c>
      <c r="F47" s="633" t="str">
        <f>+bas!F43</f>
        <v>11AA</v>
      </c>
      <c r="G47" s="633">
        <f>+bas!I43</f>
        <v>150</v>
      </c>
      <c r="H47" s="639">
        <f t="shared" si="0"/>
        <v>22282.443548387102</v>
      </c>
      <c r="I47" s="610"/>
      <c r="J47" s="574"/>
      <c r="K47" s="668"/>
      <c r="L47" s="668"/>
      <c r="M47" s="668"/>
      <c r="N47" s="668"/>
      <c r="O47" s="668"/>
      <c r="P47" s="668"/>
      <c r="Q47" s="668"/>
      <c r="R47" s="668"/>
      <c r="S47" s="668"/>
      <c r="T47" s="668"/>
      <c r="U47" s="668"/>
      <c r="V47" s="668"/>
      <c r="W47" s="668"/>
      <c r="X47" s="668"/>
      <c r="Y47" s="668"/>
      <c r="Z47" s="668"/>
      <c r="AA47" s="668"/>
      <c r="AB47" s="668"/>
      <c r="AC47" s="668"/>
      <c r="AD47" s="668"/>
      <c r="AE47" s="668"/>
      <c r="AF47" s="668"/>
      <c r="AG47" s="668"/>
      <c r="AH47" s="668"/>
      <c r="AI47" s="668"/>
      <c r="AJ47" s="668"/>
      <c r="AK47" s="668"/>
      <c r="AL47" s="668"/>
    </row>
    <row r="48" spans="1:38" s="534" customFormat="1" ht="12" customHeight="1" x14ac:dyDescent="0.2">
      <c r="A48" s="668"/>
      <c r="B48" s="573"/>
      <c r="C48" s="604"/>
      <c r="D48" s="605">
        <v>32</v>
      </c>
      <c r="E48" s="632" t="str">
        <f>+bas!E44</f>
        <v>school 32</v>
      </c>
      <c r="F48" s="633" t="str">
        <f>+bas!F44</f>
        <v>11AA</v>
      </c>
      <c r="G48" s="633">
        <f>+bas!I44</f>
        <v>150</v>
      </c>
      <c r="H48" s="639">
        <f t="shared" si="0"/>
        <v>22282.443548387102</v>
      </c>
      <c r="I48" s="610"/>
      <c r="J48" s="574"/>
      <c r="K48" s="668"/>
      <c r="L48" s="668"/>
      <c r="M48" s="668"/>
      <c r="N48" s="668"/>
      <c r="O48" s="668"/>
      <c r="P48" s="668"/>
      <c r="Q48" s="668"/>
      <c r="R48" s="668"/>
      <c r="S48" s="668"/>
      <c r="T48" s="668"/>
      <c r="U48" s="668"/>
      <c r="V48" s="668"/>
      <c r="W48" s="668"/>
      <c r="X48" s="668"/>
      <c r="Y48" s="668"/>
      <c r="Z48" s="668"/>
      <c r="AA48" s="668"/>
      <c r="AB48" s="668"/>
      <c r="AC48" s="668"/>
      <c r="AD48" s="668"/>
      <c r="AE48" s="668"/>
      <c r="AF48" s="668"/>
      <c r="AG48" s="668"/>
      <c r="AH48" s="668"/>
      <c r="AI48" s="668"/>
      <c r="AJ48" s="668"/>
      <c r="AK48" s="668"/>
      <c r="AL48" s="668"/>
    </row>
    <row r="49" spans="1:38" s="534" customFormat="1" ht="12" customHeight="1" x14ac:dyDescent="0.2">
      <c r="A49" s="668"/>
      <c r="B49" s="573"/>
      <c r="C49" s="604"/>
      <c r="D49" s="605">
        <v>33</v>
      </c>
      <c r="E49" s="632" t="str">
        <f>+bas!E45</f>
        <v>school 33</v>
      </c>
      <c r="F49" s="633" t="str">
        <f>+bas!F45</f>
        <v>11AA</v>
      </c>
      <c r="G49" s="633">
        <f>+bas!I45</f>
        <v>150</v>
      </c>
      <c r="H49" s="639">
        <f t="shared" ref="H49:H80" si="1">+F$10/G$104*G49</f>
        <v>22282.443548387102</v>
      </c>
      <c r="I49" s="610"/>
      <c r="J49" s="574"/>
      <c r="K49" s="668"/>
      <c r="L49" s="668"/>
      <c r="M49" s="668"/>
      <c r="N49" s="668"/>
      <c r="O49" s="668"/>
      <c r="P49" s="668"/>
      <c r="Q49" s="668"/>
      <c r="R49" s="668"/>
      <c r="S49" s="668"/>
      <c r="T49" s="668"/>
      <c r="U49" s="668"/>
      <c r="V49" s="668"/>
      <c r="W49" s="668"/>
      <c r="X49" s="668"/>
      <c r="Y49" s="668"/>
      <c r="Z49" s="668"/>
      <c r="AA49" s="668"/>
      <c r="AB49" s="668"/>
      <c r="AC49" s="668"/>
      <c r="AD49" s="668"/>
      <c r="AE49" s="668"/>
      <c r="AF49" s="668"/>
      <c r="AG49" s="668"/>
      <c r="AH49" s="668"/>
      <c r="AI49" s="668"/>
      <c r="AJ49" s="668"/>
      <c r="AK49" s="668"/>
      <c r="AL49" s="668"/>
    </row>
    <row r="50" spans="1:38" s="534" customFormat="1" ht="12" customHeight="1" x14ac:dyDescent="0.2">
      <c r="A50" s="668"/>
      <c r="B50" s="573"/>
      <c r="C50" s="604"/>
      <c r="D50" s="605">
        <v>34</v>
      </c>
      <c r="E50" s="632" t="str">
        <f>+bas!E46</f>
        <v>school 34</v>
      </c>
      <c r="F50" s="633" t="str">
        <f>+bas!F46</f>
        <v>11AA</v>
      </c>
      <c r="G50" s="633">
        <f>+bas!I46</f>
        <v>150</v>
      </c>
      <c r="H50" s="639">
        <f t="shared" si="1"/>
        <v>22282.443548387102</v>
      </c>
      <c r="I50" s="610"/>
      <c r="J50" s="574"/>
      <c r="K50" s="668"/>
      <c r="L50" s="668"/>
      <c r="M50" s="668"/>
      <c r="N50" s="668"/>
      <c r="O50" s="668"/>
      <c r="P50" s="668"/>
      <c r="Q50" s="668"/>
      <c r="R50" s="668"/>
      <c r="S50" s="668"/>
      <c r="T50" s="668"/>
      <c r="U50" s="668"/>
      <c r="V50" s="668"/>
      <c r="W50" s="668"/>
      <c r="X50" s="668"/>
      <c r="Y50" s="668"/>
      <c r="Z50" s="668"/>
      <c r="AA50" s="668"/>
      <c r="AB50" s="668"/>
      <c r="AC50" s="668"/>
      <c r="AD50" s="668"/>
      <c r="AE50" s="668"/>
      <c r="AF50" s="668"/>
      <c r="AG50" s="668"/>
      <c r="AH50" s="668"/>
      <c r="AI50" s="668"/>
      <c r="AJ50" s="668"/>
      <c r="AK50" s="668"/>
      <c r="AL50" s="668"/>
    </row>
    <row r="51" spans="1:38" s="534" customFormat="1" ht="12" customHeight="1" x14ac:dyDescent="0.2">
      <c r="A51" s="668"/>
      <c r="B51" s="573"/>
      <c r="C51" s="604"/>
      <c r="D51" s="605">
        <v>35</v>
      </c>
      <c r="E51" s="632" t="str">
        <f>+bas!E47</f>
        <v>school 35</v>
      </c>
      <c r="F51" s="633" t="str">
        <f>+bas!F47</f>
        <v>11AA</v>
      </c>
      <c r="G51" s="633">
        <f>+bas!I47</f>
        <v>150</v>
      </c>
      <c r="H51" s="639">
        <f t="shared" si="1"/>
        <v>22282.443548387102</v>
      </c>
      <c r="I51" s="610"/>
      <c r="J51" s="574"/>
      <c r="K51" s="668"/>
      <c r="L51" s="668"/>
      <c r="M51" s="668"/>
      <c r="N51" s="668"/>
      <c r="O51" s="668"/>
      <c r="P51" s="668"/>
      <c r="Q51" s="668"/>
      <c r="R51" s="668"/>
      <c r="S51" s="668"/>
      <c r="T51" s="668"/>
      <c r="U51" s="668"/>
      <c r="V51" s="668"/>
      <c r="W51" s="668"/>
      <c r="X51" s="668"/>
      <c r="Y51" s="668"/>
      <c r="Z51" s="668"/>
      <c r="AA51" s="668"/>
      <c r="AB51" s="668"/>
      <c r="AC51" s="668"/>
      <c r="AD51" s="668"/>
      <c r="AE51" s="668"/>
      <c r="AF51" s="668"/>
      <c r="AG51" s="668"/>
      <c r="AH51" s="668"/>
      <c r="AI51" s="668"/>
      <c r="AJ51" s="668"/>
      <c r="AK51" s="668"/>
      <c r="AL51" s="668"/>
    </row>
    <row r="52" spans="1:38" s="534" customFormat="1" ht="12" customHeight="1" x14ac:dyDescent="0.2">
      <c r="A52" s="668"/>
      <c r="B52" s="573"/>
      <c r="C52" s="604"/>
      <c r="D52" s="605">
        <v>36</v>
      </c>
      <c r="E52" s="632" t="str">
        <f>+bas!E48</f>
        <v>school 36</v>
      </c>
      <c r="F52" s="633" t="str">
        <f>+bas!F48</f>
        <v>11AA</v>
      </c>
      <c r="G52" s="633">
        <f>+bas!I48</f>
        <v>150</v>
      </c>
      <c r="H52" s="639">
        <f t="shared" si="1"/>
        <v>22282.443548387102</v>
      </c>
      <c r="I52" s="610"/>
      <c r="J52" s="574"/>
      <c r="K52" s="668"/>
      <c r="L52" s="668"/>
      <c r="M52" s="668"/>
      <c r="N52" s="668"/>
      <c r="O52" s="668"/>
      <c r="P52" s="668"/>
      <c r="Q52" s="668"/>
      <c r="R52" s="668"/>
      <c r="S52" s="668"/>
      <c r="T52" s="668"/>
      <c r="U52" s="668"/>
      <c r="V52" s="668"/>
      <c r="W52" s="668"/>
      <c r="X52" s="668"/>
      <c r="Y52" s="668"/>
      <c r="Z52" s="668"/>
      <c r="AA52" s="668"/>
      <c r="AB52" s="668"/>
      <c r="AC52" s="668"/>
      <c r="AD52" s="668"/>
      <c r="AE52" s="668"/>
      <c r="AF52" s="668"/>
      <c r="AG52" s="668"/>
      <c r="AH52" s="668"/>
      <c r="AI52" s="668"/>
      <c r="AJ52" s="668"/>
      <c r="AK52" s="668"/>
      <c r="AL52" s="668"/>
    </row>
    <row r="53" spans="1:38" s="534" customFormat="1" ht="12" customHeight="1" x14ac:dyDescent="0.2">
      <c r="A53" s="668"/>
      <c r="B53" s="573"/>
      <c r="C53" s="604"/>
      <c r="D53" s="605">
        <v>37</v>
      </c>
      <c r="E53" s="632" t="str">
        <f>+bas!E49</f>
        <v>school 37</v>
      </c>
      <c r="F53" s="633" t="str">
        <f>+bas!F49</f>
        <v>11AA</v>
      </c>
      <c r="G53" s="633">
        <f>+bas!I49</f>
        <v>150</v>
      </c>
      <c r="H53" s="639">
        <f t="shared" si="1"/>
        <v>22282.443548387102</v>
      </c>
      <c r="I53" s="610"/>
      <c r="J53" s="574"/>
      <c r="K53" s="668"/>
      <c r="L53" s="668"/>
      <c r="M53" s="668"/>
      <c r="N53" s="668"/>
      <c r="O53" s="668"/>
      <c r="P53" s="668"/>
      <c r="Q53" s="668"/>
      <c r="R53" s="668"/>
      <c r="S53" s="668"/>
      <c r="T53" s="668"/>
      <c r="U53" s="668"/>
      <c r="V53" s="668"/>
      <c r="W53" s="668"/>
      <c r="X53" s="668"/>
      <c r="Y53" s="668"/>
      <c r="Z53" s="668"/>
      <c r="AA53" s="668"/>
      <c r="AB53" s="668"/>
      <c r="AC53" s="668"/>
      <c r="AD53" s="668"/>
      <c r="AE53" s="668"/>
      <c r="AF53" s="668"/>
      <c r="AG53" s="668"/>
      <c r="AH53" s="668"/>
      <c r="AI53" s="668"/>
      <c r="AJ53" s="668"/>
      <c r="AK53" s="668"/>
      <c r="AL53" s="668"/>
    </row>
    <row r="54" spans="1:38" s="534" customFormat="1" ht="12" customHeight="1" x14ac:dyDescent="0.2">
      <c r="A54" s="668"/>
      <c r="B54" s="573"/>
      <c r="C54" s="604"/>
      <c r="D54" s="605">
        <v>38</v>
      </c>
      <c r="E54" s="632" t="str">
        <f>+bas!E50</f>
        <v>school 38</v>
      </c>
      <c r="F54" s="633" t="str">
        <f>+bas!F50</f>
        <v>11AA</v>
      </c>
      <c r="G54" s="633">
        <f>+bas!I50</f>
        <v>150</v>
      </c>
      <c r="H54" s="639">
        <f t="shared" si="1"/>
        <v>22282.443548387102</v>
      </c>
      <c r="I54" s="610"/>
      <c r="J54" s="574"/>
      <c r="K54" s="668"/>
      <c r="L54" s="668"/>
      <c r="M54" s="668"/>
      <c r="N54" s="668"/>
      <c r="O54" s="668"/>
      <c r="P54" s="668"/>
      <c r="Q54" s="668"/>
      <c r="R54" s="668"/>
      <c r="S54" s="668"/>
      <c r="T54" s="668"/>
      <c r="U54" s="668"/>
      <c r="V54" s="668"/>
      <c r="W54" s="668"/>
      <c r="X54" s="668"/>
      <c r="Y54" s="668"/>
      <c r="Z54" s="668"/>
      <c r="AA54" s="668"/>
      <c r="AB54" s="668"/>
      <c r="AC54" s="668"/>
      <c r="AD54" s="668"/>
      <c r="AE54" s="668"/>
      <c r="AF54" s="668"/>
      <c r="AG54" s="668"/>
      <c r="AH54" s="668"/>
      <c r="AI54" s="668"/>
      <c r="AJ54" s="668"/>
      <c r="AK54" s="668"/>
      <c r="AL54" s="668"/>
    </row>
    <row r="55" spans="1:38" s="534" customFormat="1" ht="12" customHeight="1" x14ac:dyDescent="0.2">
      <c r="A55" s="668"/>
      <c r="B55" s="573"/>
      <c r="C55" s="604"/>
      <c r="D55" s="605">
        <v>39</v>
      </c>
      <c r="E55" s="632" t="str">
        <f>+bas!E51</f>
        <v>school 39</v>
      </c>
      <c r="F55" s="633" t="str">
        <f>+bas!F51</f>
        <v>11AA</v>
      </c>
      <c r="G55" s="633">
        <f>+bas!I51</f>
        <v>150</v>
      </c>
      <c r="H55" s="639">
        <f t="shared" si="1"/>
        <v>22282.443548387102</v>
      </c>
      <c r="I55" s="610"/>
      <c r="J55" s="574"/>
      <c r="K55" s="668"/>
      <c r="L55" s="668"/>
      <c r="M55" s="668"/>
      <c r="N55" s="668"/>
      <c r="O55" s="668"/>
      <c r="P55" s="668"/>
      <c r="Q55" s="668"/>
      <c r="R55" s="668"/>
      <c r="S55" s="668"/>
      <c r="T55" s="668"/>
      <c r="U55" s="668"/>
      <c r="V55" s="668"/>
      <c r="W55" s="668"/>
      <c r="X55" s="668"/>
      <c r="Y55" s="668"/>
      <c r="Z55" s="668"/>
      <c r="AA55" s="668"/>
      <c r="AB55" s="668"/>
      <c r="AC55" s="668"/>
      <c r="AD55" s="668"/>
      <c r="AE55" s="668"/>
      <c r="AF55" s="668"/>
      <c r="AG55" s="668"/>
      <c r="AH55" s="668"/>
      <c r="AI55" s="668"/>
      <c r="AJ55" s="668"/>
      <c r="AK55" s="668"/>
      <c r="AL55" s="668"/>
    </row>
    <row r="56" spans="1:38" s="534" customFormat="1" ht="12" customHeight="1" x14ac:dyDescent="0.2">
      <c r="A56" s="668"/>
      <c r="B56" s="573"/>
      <c r="C56" s="604"/>
      <c r="D56" s="605">
        <v>40</v>
      </c>
      <c r="E56" s="632" t="str">
        <f>+bas!E52</f>
        <v>school 40</v>
      </c>
      <c r="F56" s="633" t="str">
        <f>+bas!F52</f>
        <v>11AA</v>
      </c>
      <c r="G56" s="633">
        <f>+bas!I52</f>
        <v>150</v>
      </c>
      <c r="H56" s="639">
        <f t="shared" si="1"/>
        <v>22282.443548387102</v>
      </c>
      <c r="I56" s="610"/>
      <c r="J56" s="574"/>
      <c r="K56" s="668"/>
      <c r="L56" s="668"/>
      <c r="M56" s="668"/>
      <c r="N56" s="668"/>
      <c r="O56" s="668"/>
      <c r="P56" s="668"/>
      <c r="Q56" s="668"/>
      <c r="R56" s="668"/>
      <c r="S56" s="668"/>
      <c r="T56" s="668"/>
      <c r="U56" s="668"/>
      <c r="V56" s="668"/>
      <c r="W56" s="668"/>
      <c r="X56" s="668"/>
      <c r="Y56" s="668"/>
      <c r="Z56" s="668"/>
      <c r="AA56" s="668"/>
      <c r="AB56" s="668"/>
      <c r="AC56" s="668"/>
      <c r="AD56" s="668"/>
      <c r="AE56" s="668"/>
      <c r="AF56" s="668"/>
      <c r="AG56" s="668"/>
      <c r="AH56" s="668"/>
      <c r="AI56" s="668"/>
      <c r="AJ56" s="668"/>
      <c r="AK56" s="668"/>
      <c r="AL56" s="668"/>
    </row>
    <row r="57" spans="1:38" s="534" customFormat="1" ht="12" customHeight="1" x14ac:dyDescent="0.2">
      <c r="A57" s="668"/>
      <c r="B57" s="573"/>
      <c r="C57" s="604"/>
      <c r="D57" s="605">
        <v>41</v>
      </c>
      <c r="E57" s="632">
        <f>+bas!E53</f>
        <v>0</v>
      </c>
      <c r="F57" s="633">
        <f>+bas!F53</f>
        <v>0</v>
      </c>
      <c r="G57" s="633">
        <f>+bas!I53</f>
        <v>0</v>
      </c>
      <c r="H57" s="639">
        <f t="shared" si="1"/>
        <v>0</v>
      </c>
      <c r="I57" s="610"/>
      <c r="J57" s="574"/>
      <c r="K57" s="668"/>
      <c r="L57" s="668"/>
      <c r="M57" s="668"/>
      <c r="N57" s="668"/>
      <c r="O57" s="668"/>
      <c r="P57" s="668"/>
      <c r="Q57" s="668"/>
      <c r="R57" s="668"/>
      <c r="S57" s="668"/>
      <c r="T57" s="668"/>
      <c r="U57" s="668"/>
      <c r="V57" s="668"/>
      <c r="W57" s="668"/>
      <c r="X57" s="668"/>
      <c r="Y57" s="668"/>
      <c r="Z57" s="668"/>
      <c r="AA57" s="668"/>
      <c r="AB57" s="668"/>
      <c r="AC57" s="668"/>
      <c r="AD57" s="668"/>
      <c r="AE57" s="668"/>
      <c r="AF57" s="668"/>
      <c r="AG57" s="668"/>
      <c r="AH57" s="668"/>
      <c r="AI57" s="668"/>
      <c r="AJ57" s="668"/>
      <c r="AK57" s="668"/>
      <c r="AL57" s="668"/>
    </row>
    <row r="58" spans="1:38" s="534" customFormat="1" ht="12" customHeight="1" x14ac:dyDescent="0.2">
      <c r="A58" s="668"/>
      <c r="B58" s="573"/>
      <c r="C58" s="604"/>
      <c r="D58" s="605">
        <v>42</v>
      </c>
      <c r="E58" s="632">
        <f>+bas!E54</f>
        <v>0</v>
      </c>
      <c r="F58" s="633">
        <f>+bas!F54</f>
        <v>0</v>
      </c>
      <c r="G58" s="633">
        <f>+bas!I54</f>
        <v>0</v>
      </c>
      <c r="H58" s="639">
        <f t="shared" si="1"/>
        <v>0</v>
      </c>
      <c r="I58" s="610"/>
      <c r="J58" s="574"/>
      <c r="K58" s="668"/>
      <c r="L58" s="668"/>
      <c r="M58" s="668"/>
      <c r="N58" s="668"/>
      <c r="O58" s="668"/>
      <c r="P58" s="668"/>
      <c r="Q58" s="668"/>
      <c r="R58" s="668"/>
      <c r="S58" s="668"/>
      <c r="T58" s="668"/>
      <c r="U58" s="668"/>
      <c r="V58" s="668"/>
      <c r="W58" s="668"/>
      <c r="X58" s="668"/>
      <c r="Y58" s="668"/>
      <c r="Z58" s="668"/>
      <c r="AA58" s="668"/>
      <c r="AB58" s="668"/>
      <c r="AC58" s="668"/>
      <c r="AD58" s="668"/>
      <c r="AE58" s="668"/>
      <c r="AF58" s="668"/>
      <c r="AG58" s="668"/>
      <c r="AH58" s="668"/>
      <c r="AI58" s="668"/>
      <c r="AJ58" s="668"/>
      <c r="AK58" s="668"/>
      <c r="AL58" s="668"/>
    </row>
    <row r="59" spans="1:38" s="534" customFormat="1" ht="12" customHeight="1" x14ac:dyDescent="0.2">
      <c r="A59" s="668"/>
      <c r="B59" s="573"/>
      <c r="C59" s="604"/>
      <c r="D59" s="605">
        <v>43</v>
      </c>
      <c r="E59" s="632">
        <f>+bas!E55</f>
        <v>0</v>
      </c>
      <c r="F59" s="633">
        <f>+bas!F55</f>
        <v>0</v>
      </c>
      <c r="G59" s="633">
        <f>+bas!I55</f>
        <v>0</v>
      </c>
      <c r="H59" s="639">
        <f t="shared" si="1"/>
        <v>0</v>
      </c>
      <c r="I59" s="610"/>
      <c r="J59" s="574"/>
      <c r="K59" s="668"/>
      <c r="L59" s="668"/>
      <c r="M59" s="668"/>
      <c r="N59" s="668"/>
      <c r="O59" s="668"/>
      <c r="P59" s="668"/>
      <c r="Q59" s="668"/>
      <c r="R59" s="668"/>
      <c r="S59" s="668"/>
      <c r="T59" s="668"/>
      <c r="U59" s="668"/>
      <c r="V59" s="668"/>
      <c r="W59" s="668"/>
      <c r="X59" s="668"/>
      <c r="Y59" s="668"/>
      <c r="Z59" s="668"/>
      <c r="AA59" s="668"/>
      <c r="AB59" s="668"/>
      <c r="AC59" s="668"/>
      <c r="AD59" s="668"/>
      <c r="AE59" s="668"/>
      <c r="AF59" s="668"/>
      <c r="AG59" s="668"/>
      <c r="AH59" s="668"/>
      <c r="AI59" s="668"/>
      <c r="AJ59" s="668"/>
      <c r="AK59" s="668"/>
      <c r="AL59" s="668"/>
    </row>
    <row r="60" spans="1:38" s="534" customFormat="1" ht="12" customHeight="1" x14ac:dyDescent="0.2">
      <c r="A60" s="668"/>
      <c r="B60" s="573"/>
      <c r="C60" s="604"/>
      <c r="D60" s="605">
        <v>44</v>
      </c>
      <c r="E60" s="632">
        <f>+bas!E56</f>
        <v>0</v>
      </c>
      <c r="F60" s="633">
        <f>+bas!F56</f>
        <v>0</v>
      </c>
      <c r="G60" s="633">
        <f>+bas!I56</f>
        <v>0</v>
      </c>
      <c r="H60" s="639">
        <f t="shared" si="1"/>
        <v>0</v>
      </c>
      <c r="I60" s="610"/>
      <c r="J60" s="574"/>
      <c r="K60" s="668"/>
      <c r="L60" s="668"/>
      <c r="M60" s="668"/>
      <c r="N60" s="668"/>
      <c r="O60" s="668"/>
      <c r="P60" s="668"/>
      <c r="Q60" s="668"/>
      <c r="R60" s="668"/>
      <c r="S60" s="668"/>
      <c r="T60" s="668"/>
      <c r="U60" s="668"/>
      <c r="V60" s="668"/>
      <c r="W60" s="668"/>
      <c r="X60" s="668"/>
      <c r="Y60" s="668"/>
      <c r="Z60" s="668"/>
      <c r="AA60" s="668"/>
      <c r="AB60" s="668"/>
      <c r="AC60" s="668"/>
      <c r="AD60" s="668"/>
      <c r="AE60" s="668"/>
      <c r="AF60" s="668"/>
      <c r="AG60" s="668"/>
      <c r="AH60" s="668"/>
      <c r="AI60" s="668"/>
      <c r="AJ60" s="668"/>
      <c r="AK60" s="668"/>
      <c r="AL60" s="668"/>
    </row>
    <row r="61" spans="1:38" s="534" customFormat="1" ht="12" customHeight="1" x14ac:dyDescent="0.2">
      <c r="A61" s="668"/>
      <c r="B61" s="573"/>
      <c r="C61" s="604"/>
      <c r="D61" s="605">
        <v>45</v>
      </c>
      <c r="E61" s="632">
        <f>+bas!E57</f>
        <v>0</v>
      </c>
      <c r="F61" s="633">
        <f>+bas!F57</f>
        <v>0</v>
      </c>
      <c r="G61" s="633">
        <f>+bas!I57</f>
        <v>0</v>
      </c>
      <c r="H61" s="639">
        <f t="shared" si="1"/>
        <v>0</v>
      </c>
      <c r="I61" s="610"/>
      <c r="J61" s="574"/>
      <c r="K61" s="668"/>
      <c r="L61" s="668"/>
      <c r="M61" s="668"/>
      <c r="N61" s="668"/>
      <c r="O61" s="668"/>
      <c r="P61" s="668"/>
      <c r="Q61" s="668"/>
      <c r="R61" s="668"/>
      <c r="S61" s="668"/>
      <c r="T61" s="668"/>
      <c r="U61" s="668"/>
      <c r="V61" s="668"/>
      <c r="W61" s="668"/>
      <c r="X61" s="668"/>
      <c r="Y61" s="668"/>
      <c r="Z61" s="668"/>
      <c r="AA61" s="668"/>
      <c r="AB61" s="668"/>
      <c r="AC61" s="668"/>
      <c r="AD61" s="668"/>
      <c r="AE61" s="668"/>
      <c r="AF61" s="668"/>
      <c r="AG61" s="668"/>
      <c r="AH61" s="668"/>
      <c r="AI61" s="668"/>
      <c r="AJ61" s="668"/>
      <c r="AK61" s="668"/>
      <c r="AL61" s="668"/>
    </row>
    <row r="62" spans="1:38" s="534" customFormat="1" ht="12" customHeight="1" x14ac:dyDescent="0.2">
      <c r="A62" s="668"/>
      <c r="B62" s="573"/>
      <c r="C62" s="604"/>
      <c r="D62" s="605">
        <v>46</v>
      </c>
      <c r="E62" s="632">
        <f>+bas!E58</f>
        <v>0</v>
      </c>
      <c r="F62" s="633">
        <f>+bas!F58</f>
        <v>0</v>
      </c>
      <c r="G62" s="633">
        <f>+bas!I58</f>
        <v>0</v>
      </c>
      <c r="H62" s="639">
        <f t="shared" si="1"/>
        <v>0</v>
      </c>
      <c r="I62" s="610"/>
      <c r="J62" s="574"/>
      <c r="K62" s="668"/>
      <c r="L62" s="668"/>
      <c r="M62" s="668"/>
      <c r="N62" s="668"/>
      <c r="O62" s="668"/>
      <c r="P62" s="668"/>
      <c r="Q62" s="668"/>
      <c r="R62" s="668"/>
      <c r="S62" s="668"/>
      <c r="T62" s="668"/>
      <c r="U62" s="668"/>
      <c r="V62" s="668"/>
      <c r="W62" s="668"/>
      <c r="X62" s="668"/>
      <c r="Y62" s="668"/>
      <c r="Z62" s="668"/>
      <c r="AA62" s="668"/>
      <c r="AB62" s="668"/>
      <c r="AC62" s="668"/>
      <c r="AD62" s="668"/>
      <c r="AE62" s="668"/>
      <c r="AF62" s="668"/>
      <c r="AG62" s="668"/>
      <c r="AH62" s="668"/>
      <c r="AI62" s="668"/>
      <c r="AJ62" s="668"/>
      <c r="AK62" s="668"/>
      <c r="AL62" s="668"/>
    </row>
    <row r="63" spans="1:38" s="534" customFormat="1" ht="12" customHeight="1" x14ac:dyDescent="0.2">
      <c r="A63" s="668"/>
      <c r="B63" s="573"/>
      <c r="C63" s="604"/>
      <c r="D63" s="605">
        <v>47</v>
      </c>
      <c r="E63" s="632">
        <f>+bas!E59</f>
        <v>0</v>
      </c>
      <c r="F63" s="633">
        <f>+bas!F59</f>
        <v>0</v>
      </c>
      <c r="G63" s="633">
        <f>+bas!I59</f>
        <v>0</v>
      </c>
      <c r="H63" s="639">
        <f t="shared" si="1"/>
        <v>0</v>
      </c>
      <c r="I63" s="610"/>
      <c r="J63" s="574"/>
      <c r="K63" s="668"/>
      <c r="L63" s="668"/>
      <c r="M63" s="668"/>
      <c r="N63" s="668"/>
      <c r="O63" s="668"/>
      <c r="P63" s="668"/>
      <c r="Q63" s="668"/>
      <c r="R63" s="668"/>
      <c r="S63" s="668"/>
      <c r="T63" s="668"/>
      <c r="U63" s="668"/>
      <c r="V63" s="668"/>
      <c r="W63" s="668"/>
      <c r="X63" s="668"/>
      <c r="Y63" s="668"/>
      <c r="Z63" s="668"/>
      <c r="AA63" s="668"/>
      <c r="AB63" s="668"/>
      <c r="AC63" s="668"/>
      <c r="AD63" s="668"/>
      <c r="AE63" s="668"/>
      <c r="AF63" s="668"/>
      <c r="AG63" s="668"/>
      <c r="AH63" s="668"/>
      <c r="AI63" s="668"/>
      <c r="AJ63" s="668"/>
      <c r="AK63" s="668"/>
      <c r="AL63" s="668"/>
    </row>
    <row r="64" spans="1:38" s="534" customFormat="1" ht="12" customHeight="1" x14ac:dyDescent="0.2">
      <c r="A64" s="668"/>
      <c r="B64" s="573"/>
      <c r="C64" s="604"/>
      <c r="D64" s="605">
        <v>48</v>
      </c>
      <c r="E64" s="632">
        <f>+bas!E60</f>
        <v>0</v>
      </c>
      <c r="F64" s="633">
        <f>+bas!F60</f>
        <v>0</v>
      </c>
      <c r="G64" s="633">
        <f>+bas!I60</f>
        <v>0</v>
      </c>
      <c r="H64" s="639">
        <f t="shared" si="1"/>
        <v>0</v>
      </c>
      <c r="I64" s="610"/>
      <c r="J64" s="574"/>
      <c r="K64" s="668"/>
      <c r="L64" s="668"/>
      <c r="M64" s="668"/>
      <c r="N64" s="668"/>
      <c r="O64" s="668"/>
      <c r="P64" s="668"/>
      <c r="Q64" s="668"/>
      <c r="R64" s="668"/>
      <c r="S64" s="668"/>
      <c r="T64" s="668"/>
      <c r="U64" s="668"/>
      <c r="V64" s="668"/>
      <c r="W64" s="668"/>
      <c r="X64" s="668"/>
      <c r="Y64" s="668"/>
      <c r="Z64" s="668"/>
      <c r="AA64" s="668"/>
      <c r="AB64" s="668"/>
      <c r="AC64" s="668"/>
      <c r="AD64" s="668"/>
      <c r="AE64" s="668"/>
      <c r="AF64" s="668"/>
      <c r="AG64" s="668"/>
      <c r="AH64" s="668"/>
      <c r="AI64" s="668"/>
      <c r="AJ64" s="668"/>
      <c r="AK64" s="668"/>
      <c r="AL64" s="668"/>
    </row>
    <row r="65" spans="1:38" s="534" customFormat="1" ht="12" customHeight="1" x14ac:dyDescent="0.2">
      <c r="A65" s="668"/>
      <c r="B65" s="573"/>
      <c r="C65" s="604"/>
      <c r="D65" s="605">
        <v>49</v>
      </c>
      <c r="E65" s="632">
        <f>+bas!E61</f>
        <v>0</v>
      </c>
      <c r="F65" s="633">
        <f>+bas!F61</f>
        <v>0</v>
      </c>
      <c r="G65" s="633">
        <f>+bas!I61</f>
        <v>0</v>
      </c>
      <c r="H65" s="639">
        <f t="shared" si="1"/>
        <v>0</v>
      </c>
      <c r="I65" s="610"/>
      <c r="J65" s="574"/>
      <c r="K65" s="668"/>
      <c r="L65" s="668"/>
      <c r="M65" s="668"/>
      <c r="N65" s="668"/>
      <c r="O65" s="668"/>
      <c r="P65" s="668"/>
      <c r="Q65" s="668"/>
      <c r="R65" s="668"/>
      <c r="S65" s="668"/>
      <c r="T65" s="668"/>
      <c r="U65" s="668"/>
      <c r="V65" s="668"/>
      <c r="W65" s="668"/>
      <c r="X65" s="668"/>
      <c r="Y65" s="668"/>
      <c r="Z65" s="668"/>
      <c r="AA65" s="668"/>
      <c r="AB65" s="668"/>
      <c r="AC65" s="668"/>
      <c r="AD65" s="668"/>
      <c r="AE65" s="668"/>
      <c r="AF65" s="668"/>
      <c r="AG65" s="668"/>
      <c r="AH65" s="668"/>
      <c r="AI65" s="668"/>
      <c r="AJ65" s="668"/>
      <c r="AK65" s="668"/>
      <c r="AL65" s="668"/>
    </row>
    <row r="66" spans="1:38" s="534" customFormat="1" ht="12" customHeight="1" x14ac:dyDescent="0.2">
      <c r="A66" s="668"/>
      <c r="B66" s="573"/>
      <c r="C66" s="604"/>
      <c r="D66" s="605">
        <v>50</v>
      </c>
      <c r="E66" s="632">
        <f>+bas!E62</f>
        <v>0</v>
      </c>
      <c r="F66" s="633">
        <f>+bas!F62</f>
        <v>0</v>
      </c>
      <c r="G66" s="633">
        <f>+bas!I62</f>
        <v>0</v>
      </c>
      <c r="H66" s="639">
        <f t="shared" si="1"/>
        <v>0</v>
      </c>
      <c r="I66" s="610"/>
      <c r="J66" s="574"/>
      <c r="K66" s="668"/>
      <c r="L66" s="668"/>
      <c r="M66" s="668"/>
      <c r="N66" s="668"/>
      <c r="O66" s="668"/>
      <c r="P66" s="668"/>
      <c r="Q66" s="668"/>
      <c r="R66" s="668"/>
      <c r="S66" s="668"/>
      <c r="T66" s="668"/>
      <c r="U66" s="668"/>
      <c r="V66" s="668"/>
      <c r="W66" s="668"/>
      <c r="X66" s="668"/>
      <c r="Y66" s="668"/>
      <c r="Z66" s="668"/>
      <c r="AA66" s="668"/>
      <c r="AB66" s="668"/>
      <c r="AC66" s="668"/>
      <c r="AD66" s="668"/>
      <c r="AE66" s="668"/>
      <c r="AF66" s="668"/>
      <c r="AG66" s="668"/>
      <c r="AH66" s="668"/>
      <c r="AI66" s="668"/>
      <c r="AJ66" s="668"/>
      <c r="AK66" s="668"/>
      <c r="AL66" s="668"/>
    </row>
    <row r="67" spans="1:38" s="534" customFormat="1" ht="12" customHeight="1" x14ac:dyDescent="0.2">
      <c r="A67" s="668"/>
      <c r="B67" s="573"/>
      <c r="C67" s="604"/>
      <c r="D67" s="605">
        <v>51</v>
      </c>
      <c r="E67" s="632">
        <f>+bas!E63</f>
        <v>0</v>
      </c>
      <c r="F67" s="633">
        <f>+bas!F63</f>
        <v>0</v>
      </c>
      <c r="G67" s="633">
        <f>+bas!I63</f>
        <v>0</v>
      </c>
      <c r="H67" s="639">
        <f t="shared" si="1"/>
        <v>0</v>
      </c>
      <c r="I67" s="610"/>
      <c r="J67" s="574"/>
      <c r="K67" s="668"/>
      <c r="L67" s="668"/>
      <c r="M67" s="668"/>
      <c r="N67" s="668"/>
      <c r="O67" s="668"/>
      <c r="P67" s="668"/>
      <c r="Q67" s="668"/>
      <c r="R67" s="668"/>
      <c r="S67" s="668"/>
      <c r="T67" s="668"/>
      <c r="U67" s="668"/>
      <c r="V67" s="668"/>
      <c r="W67" s="668"/>
      <c r="X67" s="668"/>
      <c r="Y67" s="668"/>
      <c r="Z67" s="668"/>
      <c r="AA67" s="668"/>
      <c r="AB67" s="668"/>
      <c r="AC67" s="668"/>
      <c r="AD67" s="668"/>
      <c r="AE67" s="668"/>
      <c r="AF67" s="668"/>
      <c r="AG67" s="668"/>
      <c r="AH67" s="668"/>
      <c r="AI67" s="668"/>
      <c r="AJ67" s="668"/>
      <c r="AK67" s="668"/>
      <c r="AL67" s="668"/>
    </row>
    <row r="68" spans="1:38" s="534" customFormat="1" ht="12" customHeight="1" x14ac:dyDescent="0.2">
      <c r="A68" s="668"/>
      <c r="B68" s="573"/>
      <c r="C68" s="604"/>
      <c r="D68" s="605">
        <v>52</v>
      </c>
      <c r="E68" s="632">
        <f>+bas!E64</f>
        <v>0</v>
      </c>
      <c r="F68" s="633">
        <f>+bas!F64</f>
        <v>0</v>
      </c>
      <c r="G68" s="633">
        <f>+bas!I64</f>
        <v>0</v>
      </c>
      <c r="H68" s="639">
        <f t="shared" si="1"/>
        <v>0</v>
      </c>
      <c r="I68" s="610"/>
      <c r="J68" s="574"/>
      <c r="K68" s="668"/>
      <c r="L68" s="668"/>
      <c r="M68" s="668"/>
      <c r="N68" s="668"/>
      <c r="O68" s="668"/>
      <c r="P68" s="668"/>
      <c r="Q68" s="668"/>
      <c r="R68" s="668"/>
      <c r="S68" s="668"/>
      <c r="T68" s="668"/>
      <c r="U68" s="668"/>
      <c r="V68" s="668"/>
      <c r="W68" s="668"/>
      <c r="X68" s="668"/>
      <c r="Y68" s="668"/>
      <c r="Z68" s="668"/>
      <c r="AA68" s="668"/>
      <c r="AB68" s="668"/>
      <c r="AC68" s="668"/>
      <c r="AD68" s="668"/>
      <c r="AE68" s="668"/>
      <c r="AF68" s="668"/>
      <c r="AG68" s="668"/>
      <c r="AH68" s="668"/>
      <c r="AI68" s="668"/>
      <c r="AJ68" s="668"/>
      <c r="AK68" s="668"/>
      <c r="AL68" s="668"/>
    </row>
    <row r="69" spans="1:38" s="534" customFormat="1" ht="12" customHeight="1" x14ac:dyDescent="0.2">
      <c r="A69" s="668"/>
      <c r="B69" s="573"/>
      <c r="C69" s="604"/>
      <c r="D69" s="605">
        <v>53</v>
      </c>
      <c r="E69" s="632">
        <f>+bas!E65</f>
        <v>0</v>
      </c>
      <c r="F69" s="633">
        <f>+bas!F65</f>
        <v>0</v>
      </c>
      <c r="G69" s="633">
        <f>+bas!I65</f>
        <v>0</v>
      </c>
      <c r="H69" s="639">
        <f t="shared" si="1"/>
        <v>0</v>
      </c>
      <c r="I69" s="610"/>
      <c r="J69" s="574"/>
      <c r="K69" s="668"/>
      <c r="L69" s="668"/>
      <c r="M69" s="668"/>
      <c r="N69" s="668"/>
      <c r="O69" s="668"/>
      <c r="P69" s="668"/>
      <c r="Q69" s="668"/>
      <c r="R69" s="668"/>
      <c r="S69" s="668"/>
      <c r="T69" s="668"/>
      <c r="U69" s="668"/>
      <c r="V69" s="668"/>
      <c r="W69" s="668"/>
      <c r="X69" s="668"/>
      <c r="Y69" s="668"/>
      <c r="Z69" s="668"/>
      <c r="AA69" s="668"/>
      <c r="AB69" s="668"/>
      <c r="AC69" s="668"/>
      <c r="AD69" s="668"/>
      <c r="AE69" s="668"/>
      <c r="AF69" s="668"/>
      <c r="AG69" s="668"/>
      <c r="AH69" s="668"/>
      <c r="AI69" s="668"/>
      <c r="AJ69" s="668"/>
      <c r="AK69" s="668"/>
      <c r="AL69" s="668"/>
    </row>
    <row r="70" spans="1:38" s="534" customFormat="1" ht="12" customHeight="1" x14ac:dyDescent="0.2">
      <c r="A70" s="668"/>
      <c r="B70" s="573"/>
      <c r="C70" s="604"/>
      <c r="D70" s="605">
        <v>54</v>
      </c>
      <c r="E70" s="632">
        <f>+bas!E66</f>
        <v>0</v>
      </c>
      <c r="F70" s="633">
        <f>+bas!F66</f>
        <v>0</v>
      </c>
      <c r="G70" s="633">
        <f>+bas!I66</f>
        <v>0</v>
      </c>
      <c r="H70" s="639">
        <f t="shared" si="1"/>
        <v>0</v>
      </c>
      <c r="I70" s="610"/>
      <c r="J70" s="574"/>
      <c r="K70" s="668"/>
      <c r="L70" s="668"/>
      <c r="M70" s="668"/>
      <c r="N70" s="668"/>
      <c r="O70" s="668"/>
      <c r="P70" s="668"/>
      <c r="Q70" s="668"/>
      <c r="R70" s="668"/>
      <c r="S70" s="668"/>
      <c r="T70" s="668"/>
      <c r="U70" s="668"/>
      <c r="V70" s="668"/>
      <c r="W70" s="668"/>
      <c r="X70" s="668"/>
      <c r="Y70" s="668"/>
      <c r="Z70" s="668"/>
      <c r="AA70" s="668"/>
      <c r="AB70" s="668"/>
      <c r="AC70" s="668"/>
      <c r="AD70" s="668"/>
      <c r="AE70" s="668"/>
      <c r="AF70" s="668"/>
      <c r="AG70" s="668"/>
      <c r="AH70" s="668"/>
      <c r="AI70" s="668"/>
      <c r="AJ70" s="668"/>
      <c r="AK70" s="668"/>
      <c r="AL70" s="668"/>
    </row>
    <row r="71" spans="1:38" s="534" customFormat="1" ht="12" customHeight="1" x14ac:dyDescent="0.2">
      <c r="A71" s="668"/>
      <c r="B71" s="573"/>
      <c r="C71" s="604"/>
      <c r="D71" s="605">
        <v>55</v>
      </c>
      <c r="E71" s="632">
        <f>+bas!E67</f>
        <v>0</v>
      </c>
      <c r="F71" s="633">
        <f>+bas!F67</f>
        <v>0</v>
      </c>
      <c r="G71" s="633">
        <f>+bas!I67</f>
        <v>0</v>
      </c>
      <c r="H71" s="639">
        <f t="shared" si="1"/>
        <v>0</v>
      </c>
      <c r="I71" s="610"/>
      <c r="J71" s="574"/>
      <c r="K71" s="668"/>
      <c r="L71" s="668"/>
      <c r="M71" s="668"/>
      <c r="N71" s="668"/>
      <c r="O71" s="668"/>
      <c r="P71" s="668"/>
      <c r="Q71" s="668"/>
      <c r="R71" s="668"/>
      <c r="S71" s="668"/>
      <c r="T71" s="668"/>
      <c r="U71" s="668"/>
      <c r="V71" s="668"/>
      <c r="W71" s="668"/>
      <c r="X71" s="668"/>
      <c r="Y71" s="668"/>
      <c r="Z71" s="668"/>
      <c r="AA71" s="668"/>
      <c r="AB71" s="668"/>
      <c r="AC71" s="668"/>
      <c r="AD71" s="668"/>
      <c r="AE71" s="668"/>
      <c r="AF71" s="668"/>
      <c r="AG71" s="668"/>
      <c r="AH71" s="668"/>
      <c r="AI71" s="668"/>
      <c r="AJ71" s="668"/>
      <c r="AK71" s="668"/>
      <c r="AL71" s="668"/>
    </row>
    <row r="72" spans="1:38" s="534" customFormat="1" ht="12" customHeight="1" x14ac:dyDescent="0.2">
      <c r="A72" s="668"/>
      <c r="B72" s="573"/>
      <c r="C72" s="604"/>
      <c r="D72" s="605">
        <v>56</v>
      </c>
      <c r="E72" s="632">
        <f>+bas!E68</f>
        <v>0</v>
      </c>
      <c r="F72" s="633">
        <f>+bas!F68</f>
        <v>0</v>
      </c>
      <c r="G72" s="633">
        <f>+bas!I68</f>
        <v>0</v>
      </c>
      <c r="H72" s="639">
        <f t="shared" si="1"/>
        <v>0</v>
      </c>
      <c r="I72" s="610"/>
      <c r="J72" s="574"/>
      <c r="K72" s="668"/>
      <c r="L72" s="668"/>
      <c r="M72" s="668"/>
      <c r="N72" s="668"/>
      <c r="O72" s="668"/>
      <c r="P72" s="668"/>
      <c r="Q72" s="668"/>
      <c r="R72" s="668"/>
      <c r="S72" s="668"/>
      <c r="T72" s="668"/>
      <c r="U72" s="668"/>
      <c r="V72" s="668"/>
      <c r="W72" s="668"/>
      <c r="X72" s="668"/>
      <c r="Y72" s="668"/>
      <c r="Z72" s="668"/>
      <c r="AA72" s="668"/>
      <c r="AB72" s="668"/>
      <c r="AC72" s="668"/>
      <c r="AD72" s="668"/>
      <c r="AE72" s="668"/>
      <c r="AF72" s="668"/>
      <c r="AG72" s="668"/>
      <c r="AH72" s="668"/>
      <c r="AI72" s="668"/>
      <c r="AJ72" s="668"/>
      <c r="AK72" s="668"/>
      <c r="AL72" s="668"/>
    </row>
    <row r="73" spans="1:38" s="534" customFormat="1" ht="12" customHeight="1" x14ac:dyDescent="0.2">
      <c r="A73" s="668"/>
      <c r="B73" s="573"/>
      <c r="C73" s="604"/>
      <c r="D73" s="605">
        <v>57</v>
      </c>
      <c r="E73" s="632">
        <f>+bas!E69</f>
        <v>0</v>
      </c>
      <c r="F73" s="633">
        <f>+bas!F69</f>
        <v>0</v>
      </c>
      <c r="G73" s="633">
        <f>+bas!I69</f>
        <v>0</v>
      </c>
      <c r="H73" s="639">
        <f t="shared" si="1"/>
        <v>0</v>
      </c>
      <c r="I73" s="610"/>
      <c r="J73" s="574"/>
      <c r="K73" s="668"/>
      <c r="L73" s="668"/>
      <c r="M73" s="668"/>
      <c r="N73" s="668"/>
      <c r="O73" s="668"/>
      <c r="P73" s="668"/>
      <c r="Q73" s="668"/>
      <c r="R73" s="668"/>
      <c r="S73" s="668"/>
      <c r="T73" s="668"/>
      <c r="U73" s="668"/>
      <c r="V73" s="668"/>
      <c r="W73" s="668"/>
      <c r="X73" s="668"/>
      <c r="Y73" s="668"/>
      <c r="Z73" s="668"/>
      <c r="AA73" s="668"/>
      <c r="AB73" s="668"/>
      <c r="AC73" s="668"/>
      <c r="AD73" s="668"/>
      <c r="AE73" s="668"/>
      <c r="AF73" s="668"/>
      <c r="AG73" s="668"/>
      <c r="AH73" s="668"/>
      <c r="AI73" s="668"/>
      <c r="AJ73" s="668"/>
      <c r="AK73" s="668"/>
      <c r="AL73" s="668"/>
    </row>
    <row r="74" spans="1:38" s="534" customFormat="1" ht="12" customHeight="1" x14ac:dyDescent="0.2">
      <c r="A74" s="668"/>
      <c r="B74" s="573"/>
      <c r="C74" s="604"/>
      <c r="D74" s="605">
        <v>58</v>
      </c>
      <c r="E74" s="632">
        <f>+bas!E70</f>
        <v>0</v>
      </c>
      <c r="F74" s="633">
        <f>+bas!F70</f>
        <v>0</v>
      </c>
      <c r="G74" s="633">
        <f>+bas!I70</f>
        <v>0</v>
      </c>
      <c r="H74" s="639">
        <f t="shared" si="1"/>
        <v>0</v>
      </c>
      <c r="I74" s="610"/>
      <c r="J74" s="574"/>
      <c r="K74" s="668"/>
      <c r="L74" s="668"/>
      <c r="M74" s="668"/>
      <c r="N74" s="668"/>
      <c r="O74" s="668"/>
      <c r="P74" s="668"/>
      <c r="Q74" s="668"/>
      <c r="R74" s="668"/>
      <c r="S74" s="668"/>
      <c r="T74" s="668"/>
      <c r="U74" s="668"/>
      <c r="V74" s="668"/>
      <c r="W74" s="668"/>
      <c r="X74" s="668"/>
      <c r="Y74" s="668"/>
      <c r="Z74" s="668"/>
      <c r="AA74" s="668"/>
      <c r="AB74" s="668"/>
      <c r="AC74" s="668"/>
      <c r="AD74" s="668"/>
      <c r="AE74" s="668"/>
      <c r="AF74" s="668"/>
      <c r="AG74" s="668"/>
      <c r="AH74" s="668"/>
      <c r="AI74" s="668"/>
      <c r="AJ74" s="668"/>
      <c r="AK74" s="668"/>
      <c r="AL74" s="668"/>
    </row>
    <row r="75" spans="1:38" s="534" customFormat="1" ht="12" customHeight="1" x14ac:dyDescent="0.2">
      <c r="A75" s="668"/>
      <c r="B75" s="573"/>
      <c r="C75" s="604"/>
      <c r="D75" s="605">
        <v>59</v>
      </c>
      <c r="E75" s="632">
        <f>+bas!E71</f>
        <v>0</v>
      </c>
      <c r="F75" s="633">
        <f>+bas!F71</f>
        <v>0</v>
      </c>
      <c r="G75" s="633">
        <f>+bas!I71</f>
        <v>0</v>
      </c>
      <c r="H75" s="639">
        <f t="shared" si="1"/>
        <v>0</v>
      </c>
      <c r="I75" s="610"/>
      <c r="J75" s="574"/>
      <c r="K75" s="668"/>
      <c r="L75" s="668"/>
      <c r="M75" s="668"/>
      <c r="N75" s="668"/>
      <c r="O75" s="668"/>
      <c r="P75" s="668"/>
      <c r="Q75" s="668"/>
      <c r="R75" s="668"/>
      <c r="S75" s="668"/>
      <c r="T75" s="668"/>
      <c r="U75" s="668"/>
      <c r="V75" s="668"/>
      <c r="W75" s="668"/>
      <c r="X75" s="668"/>
      <c r="Y75" s="668"/>
      <c r="Z75" s="668"/>
      <c r="AA75" s="668"/>
      <c r="AB75" s="668"/>
      <c r="AC75" s="668"/>
      <c r="AD75" s="668"/>
      <c r="AE75" s="668"/>
      <c r="AF75" s="668"/>
      <c r="AG75" s="668"/>
      <c r="AH75" s="668"/>
      <c r="AI75" s="668"/>
      <c r="AJ75" s="668"/>
      <c r="AK75" s="668"/>
      <c r="AL75" s="668"/>
    </row>
    <row r="76" spans="1:38" s="534" customFormat="1" ht="12" customHeight="1" x14ac:dyDescent="0.2">
      <c r="A76" s="668"/>
      <c r="B76" s="573"/>
      <c r="C76" s="604"/>
      <c r="D76" s="605">
        <v>60</v>
      </c>
      <c r="E76" s="632">
        <f>+bas!E72</f>
        <v>0</v>
      </c>
      <c r="F76" s="633">
        <f>+bas!F72</f>
        <v>0</v>
      </c>
      <c r="G76" s="633">
        <f>+bas!I72</f>
        <v>0</v>
      </c>
      <c r="H76" s="639">
        <f t="shared" si="1"/>
        <v>0</v>
      </c>
      <c r="I76" s="610"/>
      <c r="J76" s="574"/>
      <c r="K76" s="668"/>
      <c r="L76" s="668"/>
      <c r="M76" s="668"/>
      <c r="N76" s="668"/>
      <c r="O76" s="668"/>
      <c r="P76" s="668"/>
      <c r="Q76" s="668"/>
      <c r="R76" s="668"/>
      <c r="S76" s="668"/>
      <c r="T76" s="668"/>
      <c r="U76" s="668"/>
      <c r="V76" s="668"/>
      <c r="W76" s="668"/>
      <c r="X76" s="668"/>
      <c r="Y76" s="668"/>
      <c r="Z76" s="668"/>
      <c r="AA76" s="668"/>
      <c r="AB76" s="668"/>
      <c r="AC76" s="668"/>
      <c r="AD76" s="668"/>
      <c r="AE76" s="668"/>
      <c r="AF76" s="668"/>
      <c r="AG76" s="668"/>
      <c r="AH76" s="668"/>
      <c r="AI76" s="668"/>
      <c r="AJ76" s="668"/>
      <c r="AK76" s="668"/>
      <c r="AL76" s="668"/>
    </row>
    <row r="77" spans="1:38" s="534" customFormat="1" ht="12" customHeight="1" x14ac:dyDescent="0.2">
      <c r="A77" s="668"/>
      <c r="B77" s="573"/>
      <c r="C77" s="604"/>
      <c r="D77" s="605">
        <v>61</v>
      </c>
      <c r="E77" s="632">
        <f>+bas!E73</f>
        <v>0</v>
      </c>
      <c r="F77" s="633">
        <f>+bas!F73</f>
        <v>0</v>
      </c>
      <c r="G77" s="633">
        <f>+bas!I73</f>
        <v>0</v>
      </c>
      <c r="H77" s="639">
        <f t="shared" si="1"/>
        <v>0</v>
      </c>
      <c r="I77" s="610"/>
      <c r="J77" s="574"/>
      <c r="K77" s="668"/>
      <c r="L77" s="668"/>
      <c r="M77" s="668"/>
      <c r="N77" s="668"/>
      <c r="O77" s="668"/>
      <c r="P77" s="668"/>
      <c r="Q77" s="668"/>
      <c r="R77" s="668"/>
      <c r="S77" s="668"/>
      <c r="T77" s="668"/>
      <c r="U77" s="668"/>
      <c r="V77" s="668"/>
      <c r="W77" s="668"/>
      <c r="X77" s="668"/>
      <c r="Y77" s="668"/>
      <c r="Z77" s="668"/>
      <c r="AA77" s="668"/>
      <c r="AB77" s="668"/>
      <c r="AC77" s="668"/>
      <c r="AD77" s="668"/>
      <c r="AE77" s="668"/>
      <c r="AF77" s="668"/>
      <c r="AG77" s="668"/>
      <c r="AH77" s="668"/>
      <c r="AI77" s="668"/>
      <c r="AJ77" s="668"/>
      <c r="AK77" s="668"/>
      <c r="AL77" s="668"/>
    </row>
    <row r="78" spans="1:38" s="534" customFormat="1" ht="12" customHeight="1" x14ac:dyDescent="0.2">
      <c r="A78" s="668"/>
      <c r="B78" s="573"/>
      <c r="C78" s="604"/>
      <c r="D78" s="605">
        <v>62</v>
      </c>
      <c r="E78" s="632">
        <f>+bas!E74</f>
        <v>0</v>
      </c>
      <c r="F78" s="633">
        <f>+bas!F74</f>
        <v>0</v>
      </c>
      <c r="G78" s="633">
        <f>+bas!I74</f>
        <v>0</v>
      </c>
      <c r="H78" s="639">
        <f t="shared" si="1"/>
        <v>0</v>
      </c>
      <c r="I78" s="610"/>
      <c r="J78" s="574"/>
      <c r="K78" s="668"/>
      <c r="L78" s="668"/>
      <c r="M78" s="668"/>
      <c r="N78" s="668"/>
      <c r="O78" s="668"/>
      <c r="P78" s="668"/>
      <c r="Q78" s="668"/>
      <c r="R78" s="668"/>
      <c r="S78" s="668"/>
      <c r="T78" s="668"/>
      <c r="U78" s="668"/>
      <c r="V78" s="668"/>
      <c r="W78" s="668"/>
      <c r="X78" s="668"/>
      <c r="Y78" s="668"/>
      <c r="Z78" s="668"/>
      <c r="AA78" s="668"/>
      <c r="AB78" s="668"/>
      <c r="AC78" s="668"/>
      <c r="AD78" s="668"/>
      <c r="AE78" s="668"/>
      <c r="AF78" s="668"/>
      <c r="AG78" s="668"/>
      <c r="AH78" s="668"/>
      <c r="AI78" s="668"/>
      <c r="AJ78" s="668"/>
      <c r="AK78" s="668"/>
      <c r="AL78" s="668"/>
    </row>
    <row r="79" spans="1:38" s="534" customFormat="1" ht="12" customHeight="1" x14ac:dyDescent="0.2">
      <c r="A79" s="668"/>
      <c r="B79" s="573"/>
      <c r="C79" s="604"/>
      <c r="D79" s="605">
        <v>63</v>
      </c>
      <c r="E79" s="632">
        <f>+bas!E75</f>
        <v>0</v>
      </c>
      <c r="F79" s="633">
        <f>+bas!F75</f>
        <v>0</v>
      </c>
      <c r="G79" s="633">
        <f>+bas!I75</f>
        <v>0</v>
      </c>
      <c r="H79" s="639">
        <f t="shared" si="1"/>
        <v>0</v>
      </c>
      <c r="I79" s="610"/>
      <c r="J79" s="574"/>
      <c r="K79" s="668"/>
      <c r="L79" s="668"/>
      <c r="M79" s="668"/>
      <c r="N79" s="668"/>
      <c r="O79" s="668"/>
      <c r="P79" s="668"/>
      <c r="Q79" s="668"/>
      <c r="R79" s="668"/>
      <c r="S79" s="668"/>
      <c r="T79" s="668"/>
      <c r="U79" s="668"/>
      <c r="V79" s="668"/>
      <c r="W79" s="668"/>
      <c r="X79" s="668"/>
      <c r="Y79" s="668"/>
      <c r="Z79" s="668"/>
      <c r="AA79" s="668"/>
      <c r="AB79" s="668"/>
      <c r="AC79" s="668"/>
      <c r="AD79" s="668"/>
      <c r="AE79" s="668"/>
      <c r="AF79" s="668"/>
      <c r="AG79" s="668"/>
      <c r="AH79" s="668"/>
      <c r="AI79" s="668"/>
      <c r="AJ79" s="668"/>
      <c r="AK79" s="668"/>
      <c r="AL79" s="668"/>
    </row>
    <row r="80" spans="1:38" s="534" customFormat="1" ht="12" customHeight="1" x14ac:dyDescent="0.2">
      <c r="A80" s="668"/>
      <c r="B80" s="573"/>
      <c r="C80" s="604"/>
      <c r="D80" s="605">
        <v>64</v>
      </c>
      <c r="E80" s="632">
        <f>+bas!E76</f>
        <v>0</v>
      </c>
      <c r="F80" s="633">
        <f>+bas!F76</f>
        <v>0</v>
      </c>
      <c r="G80" s="633">
        <f>+bas!I76</f>
        <v>0</v>
      </c>
      <c r="H80" s="639">
        <f t="shared" si="1"/>
        <v>0</v>
      </c>
      <c r="I80" s="610"/>
      <c r="J80" s="574"/>
      <c r="K80" s="668"/>
      <c r="L80" s="668"/>
      <c r="M80" s="668"/>
      <c r="N80" s="668"/>
      <c r="O80" s="668"/>
      <c r="P80" s="668"/>
      <c r="Q80" s="668"/>
      <c r="R80" s="668"/>
      <c r="S80" s="668"/>
      <c r="T80" s="668"/>
      <c r="U80" s="668"/>
      <c r="V80" s="668"/>
      <c r="W80" s="668"/>
      <c r="X80" s="668"/>
      <c r="Y80" s="668"/>
      <c r="Z80" s="668"/>
      <c r="AA80" s="668"/>
      <c r="AB80" s="668"/>
      <c r="AC80" s="668"/>
      <c r="AD80" s="668"/>
      <c r="AE80" s="668"/>
      <c r="AF80" s="668"/>
      <c r="AG80" s="668"/>
      <c r="AH80" s="668"/>
      <c r="AI80" s="668"/>
      <c r="AJ80" s="668"/>
      <c r="AK80" s="668"/>
      <c r="AL80" s="668"/>
    </row>
    <row r="81" spans="1:38" s="534" customFormat="1" ht="12" customHeight="1" x14ac:dyDescent="0.2">
      <c r="A81" s="668"/>
      <c r="B81" s="573"/>
      <c r="C81" s="604"/>
      <c r="D81" s="605">
        <v>65</v>
      </c>
      <c r="E81" s="632">
        <f>+bas!E77</f>
        <v>0</v>
      </c>
      <c r="F81" s="633">
        <f>+bas!F77</f>
        <v>0</v>
      </c>
      <c r="G81" s="633">
        <f>+bas!I77</f>
        <v>0</v>
      </c>
      <c r="H81" s="639">
        <f t="shared" ref="H81:H91" si="2">+F$10/G$104*G81</f>
        <v>0</v>
      </c>
      <c r="I81" s="610"/>
      <c r="J81" s="574"/>
      <c r="K81" s="668"/>
      <c r="L81" s="668"/>
      <c r="M81" s="668"/>
      <c r="N81" s="668"/>
      <c r="O81" s="668"/>
      <c r="P81" s="668"/>
      <c r="Q81" s="668"/>
      <c r="R81" s="668"/>
      <c r="S81" s="668"/>
      <c r="T81" s="668"/>
      <c r="U81" s="668"/>
      <c r="V81" s="668"/>
      <c r="W81" s="668"/>
      <c r="X81" s="668"/>
      <c r="Y81" s="668"/>
      <c r="Z81" s="668"/>
      <c r="AA81" s="668"/>
      <c r="AB81" s="668"/>
      <c r="AC81" s="668"/>
      <c r="AD81" s="668"/>
      <c r="AE81" s="668"/>
      <c r="AF81" s="668"/>
      <c r="AG81" s="668"/>
      <c r="AH81" s="668"/>
      <c r="AI81" s="668"/>
      <c r="AJ81" s="668"/>
      <c r="AK81" s="668"/>
      <c r="AL81" s="668"/>
    </row>
    <row r="82" spans="1:38" s="534" customFormat="1" ht="12" customHeight="1" x14ac:dyDescent="0.2">
      <c r="A82" s="668"/>
      <c r="B82" s="573"/>
      <c r="C82" s="604"/>
      <c r="D82" s="605">
        <v>66</v>
      </c>
      <c r="E82" s="632">
        <f>+bas!E78</f>
        <v>0</v>
      </c>
      <c r="F82" s="633">
        <f>+bas!F78</f>
        <v>0</v>
      </c>
      <c r="G82" s="633">
        <f>+bas!I78</f>
        <v>0</v>
      </c>
      <c r="H82" s="639">
        <f t="shared" si="2"/>
        <v>0</v>
      </c>
      <c r="I82" s="610"/>
      <c r="J82" s="574"/>
      <c r="K82" s="668"/>
      <c r="L82" s="668"/>
      <c r="M82" s="668"/>
      <c r="N82" s="668"/>
      <c r="O82" s="668"/>
      <c r="P82" s="668"/>
      <c r="Q82" s="668"/>
      <c r="R82" s="668"/>
      <c r="S82" s="668"/>
      <c r="T82" s="668"/>
      <c r="U82" s="668"/>
      <c r="V82" s="668"/>
      <c r="W82" s="668"/>
      <c r="X82" s="668"/>
      <c r="Y82" s="668"/>
      <c r="Z82" s="668"/>
      <c r="AA82" s="668"/>
      <c r="AB82" s="668"/>
      <c r="AC82" s="668"/>
      <c r="AD82" s="668"/>
      <c r="AE82" s="668"/>
      <c r="AF82" s="668"/>
      <c r="AG82" s="668"/>
      <c r="AH82" s="668"/>
      <c r="AI82" s="668"/>
      <c r="AJ82" s="668"/>
      <c r="AK82" s="668"/>
      <c r="AL82" s="668"/>
    </row>
    <row r="83" spans="1:38" s="534" customFormat="1" ht="12" customHeight="1" x14ac:dyDescent="0.2">
      <c r="A83" s="668"/>
      <c r="B83" s="573"/>
      <c r="C83" s="604"/>
      <c r="D83" s="605">
        <v>67</v>
      </c>
      <c r="E83" s="632">
        <f>+bas!E79</f>
        <v>0</v>
      </c>
      <c r="F83" s="633">
        <f>+bas!F79</f>
        <v>0</v>
      </c>
      <c r="G83" s="633">
        <f>+bas!I79</f>
        <v>0</v>
      </c>
      <c r="H83" s="639">
        <f t="shared" si="2"/>
        <v>0</v>
      </c>
      <c r="I83" s="610"/>
      <c r="J83" s="574"/>
      <c r="K83" s="668"/>
      <c r="L83" s="668"/>
      <c r="M83" s="668"/>
      <c r="N83" s="668"/>
      <c r="O83" s="668"/>
      <c r="P83" s="668"/>
      <c r="Q83" s="668"/>
      <c r="R83" s="668"/>
      <c r="S83" s="668"/>
      <c r="T83" s="668"/>
      <c r="U83" s="668"/>
      <c r="V83" s="668"/>
      <c r="W83" s="668"/>
      <c r="X83" s="668"/>
      <c r="Y83" s="668"/>
      <c r="Z83" s="668"/>
      <c r="AA83" s="668"/>
      <c r="AB83" s="668"/>
      <c r="AC83" s="668"/>
      <c r="AD83" s="668"/>
      <c r="AE83" s="668"/>
      <c r="AF83" s="668"/>
      <c r="AG83" s="668"/>
      <c r="AH83" s="668"/>
      <c r="AI83" s="668"/>
      <c r="AJ83" s="668"/>
      <c r="AK83" s="668"/>
      <c r="AL83" s="668"/>
    </row>
    <row r="84" spans="1:38" s="534" customFormat="1" ht="12" customHeight="1" x14ac:dyDescent="0.2">
      <c r="A84" s="668"/>
      <c r="B84" s="573"/>
      <c r="C84" s="604"/>
      <c r="D84" s="605">
        <v>68</v>
      </c>
      <c r="E84" s="632">
        <f>+bas!E80</f>
        <v>0</v>
      </c>
      <c r="F84" s="633">
        <f>+bas!F80</f>
        <v>0</v>
      </c>
      <c r="G84" s="633">
        <f>+bas!I80</f>
        <v>0</v>
      </c>
      <c r="H84" s="639">
        <f t="shared" si="2"/>
        <v>0</v>
      </c>
      <c r="I84" s="610"/>
      <c r="J84" s="574"/>
      <c r="K84" s="668"/>
      <c r="L84" s="668"/>
      <c r="M84" s="668"/>
      <c r="N84" s="668"/>
      <c r="O84" s="668"/>
      <c r="P84" s="668"/>
      <c r="Q84" s="668"/>
      <c r="R84" s="668"/>
      <c r="S84" s="668"/>
      <c r="T84" s="668"/>
      <c r="U84" s="668"/>
      <c r="V84" s="668"/>
      <c r="W84" s="668"/>
      <c r="X84" s="668"/>
      <c r="Y84" s="668"/>
      <c r="Z84" s="668"/>
      <c r="AA84" s="668"/>
      <c r="AB84" s="668"/>
      <c r="AC84" s="668"/>
      <c r="AD84" s="668"/>
      <c r="AE84" s="668"/>
      <c r="AF84" s="668"/>
      <c r="AG84" s="668"/>
      <c r="AH84" s="668"/>
      <c r="AI84" s="668"/>
      <c r="AJ84" s="668"/>
      <c r="AK84" s="668"/>
      <c r="AL84" s="668"/>
    </row>
    <row r="85" spans="1:38" s="534" customFormat="1" ht="12" customHeight="1" x14ac:dyDescent="0.2">
      <c r="A85" s="668"/>
      <c r="B85" s="573"/>
      <c r="C85" s="604"/>
      <c r="D85" s="605">
        <v>69</v>
      </c>
      <c r="E85" s="632">
        <f>+bas!E81</f>
        <v>0</v>
      </c>
      <c r="F85" s="633">
        <f>+bas!F81</f>
        <v>0</v>
      </c>
      <c r="G85" s="633">
        <f>+bas!I81</f>
        <v>0</v>
      </c>
      <c r="H85" s="639">
        <f t="shared" si="2"/>
        <v>0</v>
      </c>
      <c r="I85" s="610"/>
      <c r="J85" s="574"/>
      <c r="K85" s="668"/>
      <c r="L85" s="668"/>
      <c r="M85" s="668"/>
      <c r="N85" s="668"/>
      <c r="O85" s="668"/>
      <c r="P85" s="668"/>
      <c r="Q85" s="668"/>
      <c r="R85" s="668"/>
      <c r="S85" s="668"/>
      <c r="T85" s="668"/>
      <c r="U85" s="668"/>
      <c r="V85" s="668"/>
      <c r="W85" s="668"/>
      <c r="X85" s="668"/>
      <c r="Y85" s="668"/>
      <c r="Z85" s="668"/>
      <c r="AA85" s="668"/>
      <c r="AB85" s="668"/>
      <c r="AC85" s="668"/>
      <c r="AD85" s="668"/>
      <c r="AE85" s="668"/>
      <c r="AF85" s="668"/>
      <c r="AG85" s="668"/>
      <c r="AH85" s="668"/>
      <c r="AI85" s="668"/>
      <c r="AJ85" s="668"/>
      <c r="AK85" s="668"/>
      <c r="AL85" s="668"/>
    </row>
    <row r="86" spans="1:38" s="534" customFormat="1" ht="12" customHeight="1" x14ac:dyDescent="0.2">
      <c r="A86" s="668"/>
      <c r="B86" s="573"/>
      <c r="C86" s="604"/>
      <c r="D86" s="605">
        <v>70</v>
      </c>
      <c r="E86" s="632">
        <f>+bas!E82</f>
        <v>0</v>
      </c>
      <c r="F86" s="633">
        <f>+bas!F82</f>
        <v>0</v>
      </c>
      <c r="G86" s="633">
        <f>+bas!I82</f>
        <v>0</v>
      </c>
      <c r="H86" s="639">
        <f t="shared" si="2"/>
        <v>0</v>
      </c>
      <c r="I86" s="610"/>
      <c r="J86" s="574"/>
      <c r="K86" s="668"/>
      <c r="L86" s="668"/>
      <c r="M86" s="668"/>
      <c r="N86" s="668"/>
      <c r="O86" s="668"/>
      <c r="P86" s="668"/>
      <c r="Q86" s="668"/>
      <c r="R86" s="668"/>
      <c r="S86" s="668"/>
      <c r="T86" s="668"/>
      <c r="U86" s="668"/>
      <c r="V86" s="668"/>
      <c r="W86" s="668"/>
      <c r="X86" s="668"/>
      <c r="Y86" s="668"/>
      <c r="Z86" s="668"/>
      <c r="AA86" s="668"/>
      <c r="AB86" s="668"/>
      <c r="AC86" s="668"/>
      <c r="AD86" s="668"/>
      <c r="AE86" s="668"/>
      <c r="AF86" s="668"/>
      <c r="AG86" s="668"/>
      <c r="AH86" s="668"/>
      <c r="AI86" s="668"/>
      <c r="AJ86" s="668"/>
      <c r="AK86" s="668"/>
      <c r="AL86" s="668"/>
    </row>
    <row r="87" spans="1:38" s="534" customFormat="1" ht="12" customHeight="1" x14ac:dyDescent="0.2">
      <c r="A87" s="668"/>
      <c r="B87" s="573"/>
      <c r="C87" s="604"/>
      <c r="D87" s="605">
        <v>71</v>
      </c>
      <c r="E87" s="632">
        <f>+bas!E83</f>
        <v>0</v>
      </c>
      <c r="F87" s="633">
        <f>+bas!F83</f>
        <v>0</v>
      </c>
      <c r="G87" s="633">
        <f>+bas!I83</f>
        <v>0</v>
      </c>
      <c r="H87" s="639">
        <f t="shared" si="2"/>
        <v>0</v>
      </c>
      <c r="I87" s="610"/>
      <c r="J87" s="574"/>
      <c r="K87" s="668"/>
      <c r="L87" s="668"/>
      <c r="M87" s="668"/>
      <c r="N87" s="668"/>
      <c r="O87" s="668"/>
      <c r="P87" s="668"/>
      <c r="Q87" s="668"/>
      <c r="R87" s="668"/>
      <c r="S87" s="668"/>
      <c r="T87" s="668"/>
      <c r="U87" s="668"/>
      <c r="V87" s="668"/>
      <c r="W87" s="668"/>
      <c r="X87" s="668"/>
      <c r="Y87" s="668"/>
      <c r="Z87" s="668"/>
      <c r="AA87" s="668"/>
      <c r="AB87" s="668"/>
      <c r="AC87" s="668"/>
      <c r="AD87" s="668"/>
      <c r="AE87" s="668"/>
      <c r="AF87" s="668"/>
      <c r="AG87" s="668"/>
      <c r="AH87" s="668"/>
      <c r="AI87" s="668"/>
      <c r="AJ87" s="668"/>
      <c r="AK87" s="668"/>
      <c r="AL87" s="668"/>
    </row>
    <row r="88" spans="1:38" s="534" customFormat="1" ht="12" customHeight="1" x14ac:dyDescent="0.2">
      <c r="A88" s="668"/>
      <c r="B88" s="573"/>
      <c r="C88" s="604"/>
      <c r="D88" s="605">
        <v>72</v>
      </c>
      <c r="E88" s="632">
        <f>+bas!E84</f>
        <v>0</v>
      </c>
      <c r="F88" s="633">
        <f>+bas!F84</f>
        <v>0</v>
      </c>
      <c r="G88" s="633">
        <f>+bas!I84</f>
        <v>0</v>
      </c>
      <c r="H88" s="639">
        <f t="shared" si="2"/>
        <v>0</v>
      </c>
      <c r="I88" s="610"/>
      <c r="J88" s="574"/>
      <c r="K88" s="668"/>
      <c r="L88" s="668"/>
      <c r="M88" s="668"/>
      <c r="N88" s="668"/>
      <c r="O88" s="668"/>
      <c r="P88" s="668"/>
      <c r="Q88" s="668"/>
      <c r="R88" s="668"/>
      <c r="S88" s="668"/>
      <c r="T88" s="668"/>
      <c r="U88" s="668"/>
      <c r="V88" s="668"/>
      <c r="W88" s="668"/>
      <c r="X88" s="668"/>
      <c r="Y88" s="668"/>
      <c r="Z88" s="668"/>
      <c r="AA88" s="668"/>
      <c r="AB88" s="668"/>
      <c r="AC88" s="668"/>
      <c r="AD88" s="668"/>
      <c r="AE88" s="668"/>
      <c r="AF88" s="668"/>
      <c r="AG88" s="668"/>
      <c r="AH88" s="668"/>
      <c r="AI88" s="668"/>
      <c r="AJ88" s="668"/>
      <c r="AK88" s="668"/>
      <c r="AL88" s="668"/>
    </row>
    <row r="89" spans="1:38" s="534" customFormat="1" ht="12" customHeight="1" x14ac:dyDescent="0.2">
      <c r="A89" s="668"/>
      <c r="B89" s="573"/>
      <c r="C89" s="604"/>
      <c r="D89" s="605">
        <v>73</v>
      </c>
      <c r="E89" s="632">
        <f>+bas!E85</f>
        <v>0</v>
      </c>
      <c r="F89" s="633">
        <f>+bas!F85</f>
        <v>0</v>
      </c>
      <c r="G89" s="633">
        <f>+bas!I85</f>
        <v>0</v>
      </c>
      <c r="H89" s="639">
        <f t="shared" si="2"/>
        <v>0</v>
      </c>
      <c r="I89" s="610"/>
      <c r="J89" s="574"/>
      <c r="K89" s="668"/>
      <c r="L89" s="668"/>
      <c r="M89" s="668"/>
      <c r="N89" s="668"/>
      <c r="O89" s="668"/>
      <c r="P89" s="668"/>
      <c r="Q89" s="668"/>
      <c r="R89" s="668"/>
      <c r="S89" s="668"/>
      <c r="T89" s="668"/>
      <c r="U89" s="668"/>
      <c r="V89" s="668"/>
      <c r="W89" s="668"/>
      <c r="X89" s="668"/>
      <c r="Y89" s="668"/>
      <c r="Z89" s="668"/>
      <c r="AA89" s="668"/>
      <c r="AB89" s="668"/>
      <c r="AC89" s="668"/>
      <c r="AD89" s="668"/>
      <c r="AE89" s="668"/>
      <c r="AF89" s="668"/>
      <c r="AG89" s="668"/>
      <c r="AH89" s="668"/>
      <c r="AI89" s="668"/>
      <c r="AJ89" s="668"/>
      <c r="AK89" s="668"/>
      <c r="AL89" s="668"/>
    </row>
    <row r="90" spans="1:38" s="534" customFormat="1" ht="12" customHeight="1" x14ac:dyDescent="0.2">
      <c r="A90" s="668"/>
      <c r="B90" s="573"/>
      <c r="C90" s="604"/>
      <c r="D90" s="605">
        <v>74</v>
      </c>
      <c r="E90" s="632">
        <f>+bas!E86</f>
        <v>0</v>
      </c>
      <c r="F90" s="633">
        <f>+bas!F86</f>
        <v>0</v>
      </c>
      <c r="G90" s="633">
        <f>+bas!I86</f>
        <v>0</v>
      </c>
      <c r="H90" s="639">
        <f t="shared" si="2"/>
        <v>0</v>
      </c>
      <c r="I90" s="610"/>
      <c r="J90" s="574"/>
      <c r="K90" s="668"/>
      <c r="L90" s="668"/>
      <c r="M90" s="668"/>
      <c r="N90" s="668"/>
      <c r="O90" s="668"/>
      <c r="P90" s="668"/>
      <c r="Q90" s="668"/>
      <c r="R90" s="668"/>
      <c r="S90" s="668"/>
      <c r="T90" s="668"/>
      <c r="U90" s="668"/>
      <c r="V90" s="668"/>
      <c r="W90" s="668"/>
      <c r="X90" s="668"/>
      <c r="Y90" s="668"/>
      <c r="Z90" s="668"/>
      <c r="AA90" s="668"/>
      <c r="AB90" s="668"/>
      <c r="AC90" s="668"/>
      <c r="AD90" s="668"/>
      <c r="AE90" s="668"/>
      <c r="AF90" s="668"/>
      <c r="AG90" s="668"/>
      <c r="AH90" s="668"/>
      <c r="AI90" s="668"/>
      <c r="AJ90" s="668"/>
      <c r="AK90" s="668"/>
      <c r="AL90" s="668"/>
    </row>
    <row r="91" spans="1:38" s="534" customFormat="1" ht="12" customHeight="1" x14ac:dyDescent="0.2">
      <c r="A91" s="668"/>
      <c r="B91" s="573"/>
      <c r="C91" s="604"/>
      <c r="D91" s="605">
        <v>75</v>
      </c>
      <c r="E91" s="632">
        <f>+bas!E87</f>
        <v>0</v>
      </c>
      <c r="F91" s="633">
        <f>+bas!F87</f>
        <v>0</v>
      </c>
      <c r="G91" s="633">
        <f>+bas!I87</f>
        <v>0</v>
      </c>
      <c r="H91" s="639">
        <f t="shared" si="2"/>
        <v>0</v>
      </c>
      <c r="I91" s="610"/>
      <c r="J91" s="574"/>
      <c r="K91" s="668"/>
      <c r="L91" s="668"/>
      <c r="M91" s="668"/>
      <c r="N91" s="668"/>
      <c r="O91" s="668"/>
      <c r="P91" s="668"/>
      <c r="Q91" s="668"/>
      <c r="R91" s="668"/>
      <c r="S91" s="668"/>
      <c r="T91" s="668"/>
      <c r="U91" s="668"/>
      <c r="V91" s="668"/>
      <c r="W91" s="668"/>
      <c r="X91" s="668"/>
      <c r="Y91" s="668"/>
      <c r="Z91" s="668"/>
      <c r="AA91" s="668"/>
      <c r="AB91" s="668"/>
      <c r="AC91" s="668"/>
      <c r="AD91" s="668"/>
      <c r="AE91" s="668"/>
      <c r="AF91" s="668"/>
      <c r="AG91" s="668"/>
      <c r="AH91" s="668"/>
      <c r="AI91" s="668"/>
      <c r="AJ91" s="668"/>
      <c r="AK91" s="668"/>
      <c r="AL91" s="668"/>
    </row>
    <row r="92" spans="1:38" s="541" customFormat="1" ht="12" customHeight="1" x14ac:dyDescent="0.2">
      <c r="A92" s="669"/>
      <c r="B92" s="575"/>
      <c r="C92" s="611"/>
      <c r="D92" s="612"/>
      <c r="E92" s="612"/>
      <c r="F92" s="614" t="s">
        <v>461</v>
      </c>
      <c r="G92" s="630">
        <f>SUM(G17:G91)</f>
        <v>6000</v>
      </c>
      <c r="H92" s="631">
        <f>ROUND(SUM(H17:H91),0)</f>
        <v>891298</v>
      </c>
      <c r="I92" s="634"/>
      <c r="J92" s="576"/>
      <c r="K92" s="669"/>
      <c r="L92" s="669"/>
      <c r="M92" s="669"/>
      <c r="N92" s="669"/>
      <c r="O92" s="669"/>
      <c r="P92" s="669"/>
      <c r="Q92" s="669"/>
      <c r="R92" s="669"/>
      <c r="S92" s="669"/>
      <c r="T92" s="669"/>
      <c r="U92" s="669"/>
      <c r="V92" s="669"/>
      <c r="W92" s="669"/>
      <c r="X92" s="669"/>
      <c r="Y92" s="669"/>
      <c r="Z92" s="669"/>
      <c r="AA92" s="669"/>
      <c r="AB92" s="669"/>
      <c r="AC92" s="669"/>
      <c r="AD92" s="669"/>
      <c r="AE92" s="669"/>
      <c r="AF92" s="669"/>
      <c r="AG92" s="669"/>
      <c r="AH92" s="669"/>
      <c r="AI92" s="669"/>
      <c r="AJ92" s="669"/>
      <c r="AK92" s="669"/>
      <c r="AL92" s="669"/>
    </row>
    <row r="93" spans="1:38" ht="12" customHeight="1" x14ac:dyDescent="0.2">
      <c r="B93" s="563"/>
      <c r="C93" s="611"/>
      <c r="D93" s="645"/>
      <c r="E93" s="645"/>
      <c r="F93" s="646"/>
      <c r="G93" s="646"/>
      <c r="H93" s="647"/>
      <c r="I93" s="611"/>
      <c r="J93" s="564"/>
    </row>
    <row r="94" spans="1:38" ht="12" customHeight="1" x14ac:dyDescent="0.2">
      <c r="B94" s="563"/>
      <c r="C94" s="643"/>
      <c r="D94" s="600"/>
      <c r="E94" s="600"/>
      <c r="F94" s="602"/>
      <c r="G94" s="602"/>
      <c r="H94" s="644"/>
      <c r="I94" s="603"/>
      <c r="J94" s="564"/>
    </row>
    <row r="95" spans="1:38" ht="12" customHeight="1" x14ac:dyDescent="0.2">
      <c r="B95" s="563"/>
      <c r="C95" s="635"/>
      <c r="D95" s="605"/>
      <c r="E95" s="641" t="s">
        <v>460</v>
      </c>
      <c r="F95" s="607"/>
      <c r="G95" s="607"/>
      <c r="H95" s="636"/>
      <c r="I95" s="610"/>
      <c r="J95" s="564"/>
    </row>
    <row r="96" spans="1:38" ht="12" customHeight="1" x14ac:dyDescent="0.2">
      <c r="B96" s="563"/>
      <c r="C96" s="635"/>
      <c r="D96" s="605"/>
      <c r="E96" s="605"/>
      <c r="F96" s="607"/>
      <c r="G96" s="607"/>
      <c r="H96" s="636"/>
      <c r="I96" s="610"/>
      <c r="J96" s="564"/>
    </row>
    <row r="97" spans="1:38" s="534" customFormat="1" ht="12" customHeight="1" x14ac:dyDescent="0.2">
      <c r="A97" s="668"/>
      <c r="B97" s="573"/>
      <c r="C97" s="604"/>
      <c r="D97" s="605">
        <v>1</v>
      </c>
      <c r="E97" s="632" t="str">
        <f>+geg!D25</f>
        <v>Naam SBO 1</v>
      </c>
      <c r="F97" s="633"/>
      <c r="G97" s="633">
        <f>+geg!F25</f>
        <v>120</v>
      </c>
      <c r="H97" s="639">
        <f>+F$10/G$104*G97</f>
        <v>17825.954838709684</v>
      </c>
      <c r="I97" s="610"/>
      <c r="J97" s="574"/>
      <c r="K97" s="668"/>
      <c r="L97" s="668"/>
      <c r="M97" s="668"/>
      <c r="N97" s="668"/>
      <c r="O97" s="668"/>
      <c r="P97" s="668"/>
      <c r="Q97" s="668"/>
      <c r="R97" s="668"/>
      <c r="S97" s="668"/>
      <c r="T97" s="668"/>
      <c r="U97" s="668"/>
      <c r="V97" s="668"/>
      <c r="W97" s="668"/>
      <c r="X97" s="668"/>
      <c r="Y97" s="668"/>
      <c r="Z97" s="668"/>
      <c r="AA97" s="668"/>
      <c r="AB97" s="668"/>
      <c r="AC97" s="668"/>
      <c r="AD97" s="668"/>
      <c r="AE97" s="668"/>
      <c r="AF97" s="668"/>
      <c r="AG97" s="668"/>
      <c r="AH97" s="668"/>
      <c r="AI97" s="668"/>
      <c r="AJ97" s="668"/>
      <c r="AK97" s="668"/>
      <c r="AL97" s="668"/>
    </row>
    <row r="98" spans="1:38" s="534" customFormat="1" ht="12" customHeight="1" x14ac:dyDescent="0.2">
      <c r="A98" s="668"/>
      <c r="B98" s="573"/>
      <c r="C98" s="604"/>
      <c r="D98" s="605">
        <v>2</v>
      </c>
      <c r="E98" s="632" t="str">
        <f>+geg!D26</f>
        <v>Naam SBO 2</v>
      </c>
      <c r="F98" s="633"/>
      <c r="G98" s="633">
        <f>+geg!F26</f>
        <v>80</v>
      </c>
      <c r="H98" s="639">
        <f>+F$10/G$104*G98</f>
        <v>11883.969892473122</v>
      </c>
      <c r="I98" s="610"/>
      <c r="J98" s="574"/>
      <c r="K98" s="668"/>
      <c r="L98" s="668"/>
      <c r="M98" s="668"/>
      <c r="N98" s="668"/>
      <c r="O98" s="668"/>
      <c r="P98" s="668"/>
      <c r="Q98" s="668"/>
      <c r="R98" s="668"/>
      <c r="S98" s="668"/>
      <c r="T98" s="668"/>
      <c r="U98" s="668"/>
      <c r="V98" s="668"/>
      <c r="W98" s="668"/>
      <c r="X98" s="668"/>
      <c r="Y98" s="668"/>
      <c r="Z98" s="668"/>
      <c r="AA98" s="668"/>
      <c r="AB98" s="668"/>
      <c r="AC98" s="668"/>
      <c r="AD98" s="668"/>
      <c r="AE98" s="668"/>
      <c r="AF98" s="668"/>
      <c r="AG98" s="668"/>
      <c r="AH98" s="668"/>
      <c r="AI98" s="668"/>
      <c r="AJ98" s="668"/>
      <c r="AK98" s="668"/>
      <c r="AL98" s="668"/>
    </row>
    <row r="99" spans="1:38" s="534" customFormat="1" ht="12" customHeight="1" x14ac:dyDescent="0.2">
      <c r="A99" s="668"/>
      <c r="B99" s="573"/>
      <c r="C99" s="604"/>
      <c r="D99" s="605">
        <v>3</v>
      </c>
      <c r="E99" s="632" t="str">
        <f>+geg!D27</f>
        <v>Naam SBO 3</v>
      </c>
      <c r="F99" s="633"/>
      <c r="G99" s="633">
        <f>+geg!F37</f>
        <v>0</v>
      </c>
      <c r="H99" s="639">
        <f>+F$10/G$104*G99</f>
        <v>0</v>
      </c>
      <c r="I99" s="610"/>
      <c r="J99" s="574"/>
      <c r="K99" s="668"/>
      <c r="L99" s="668"/>
      <c r="M99" s="668"/>
      <c r="N99" s="668"/>
      <c r="O99" s="668"/>
      <c r="P99" s="668"/>
      <c r="Q99" s="668"/>
      <c r="R99" s="668"/>
      <c r="S99" s="668"/>
      <c r="T99" s="668"/>
      <c r="U99" s="668"/>
      <c r="V99" s="668"/>
      <c r="W99" s="668"/>
      <c r="X99" s="668"/>
      <c r="Y99" s="668"/>
      <c r="Z99" s="668"/>
      <c r="AA99" s="668"/>
      <c r="AB99" s="668"/>
      <c r="AC99" s="668"/>
      <c r="AD99" s="668"/>
      <c r="AE99" s="668"/>
      <c r="AF99" s="668"/>
      <c r="AG99" s="668"/>
      <c r="AH99" s="668"/>
      <c r="AI99" s="668"/>
      <c r="AJ99" s="668"/>
      <c r="AK99" s="668"/>
      <c r="AL99" s="668"/>
    </row>
    <row r="100" spans="1:38" s="534" customFormat="1" ht="12" customHeight="1" x14ac:dyDescent="0.2">
      <c r="A100" s="668"/>
      <c r="B100" s="573"/>
      <c r="C100" s="604"/>
      <c r="D100" s="605">
        <v>4</v>
      </c>
      <c r="E100" s="632" t="str">
        <f>+geg!D28</f>
        <v>Naam SBO 4</v>
      </c>
      <c r="F100" s="633"/>
      <c r="G100" s="633">
        <f>+geg!F38</f>
        <v>0</v>
      </c>
      <c r="H100" s="639">
        <f>+F$10/G$104*G100</f>
        <v>0</v>
      </c>
      <c r="I100" s="610"/>
      <c r="J100" s="574"/>
      <c r="K100" s="668"/>
      <c r="L100" s="668"/>
      <c r="M100" s="668"/>
      <c r="N100" s="668"/>
      <c r="O100" s="668"/>
      <c r="P100" s="668"/>
      <c r="Q100" s="668"/>
      <c r="R100" s="668"/>
      <c r="S100" s="668"/>
      <c r="T100" s="668"/>
      <c r="U100" s="668"/>
      <c r="V100" s="668"/>
      <c r="W100" s="668"/>
      <c r="X100" s="668"/>
      <c r="Y100" s="668"/>
      <c r="Z100" s="668"/>
      <c r="AA100" s="668"/>
      <c r="AB100" s="668"/>
      <c r="AC100" s="668"/>
      <c r="AD100" s="668"/>
      <c r="AE100" s="668"/>
      <c r="AF100" s="668"/>
      <c r="AG100" s="668"/>
      <c r="AH100" s="668"/>
      <c r="AI100" s="668"/>
      <c r="AJ100" s="668"/>
      <c r="AK100" s="668"/>
      <c r="AL100" s="668"/>
    </row>
    <row r="101" spans="1:38" ht="12" customHeight="1" x14ac:dyDescent="0.2">
      <c r="B101" s="563"/>
      <c r="C101" s="635"/>
      <c r="D101" s="605"/>
      <c r="E101" s="605"/>
      <c r="F101" s="614" t="s">
        <v>461</v>
      </c>
      <c r="G101" s="630">
        <f>SUM(G97:G100)</f>
        <v>200</v>
      </c>
      <c r="H101" s="642">
        <f>SUM(H97:H100)</f>
        <v>29709.924731182808</v>
      </c>
      <c r="I101" s="610"/>
      <c r="J101" s="564"/>
    </row>
    <row r="102" spans="1:38" ht="12" customHeight="1" x14ac:dyDescent="0.2">
      <c r="B102" s="563"/>
      <c r="C102" s="611"/>
      <c r="D102" s="645"/>
      <c r="E102" s="645"/>
      <c r="F102" s="648"/>
      <c r="G102" s="646"/>
      <c r="H102" s="647"/>
      <c r="I102" s="611"/>
      <c r="J102" s="564"/>
    </row>
    <row r="103" spans="1:38" ht="12" customHeight="1" x14ac:dyDescent="0.2">
      <c r="B103" s="563"/>
      <c r="C103" s="643"/>
      <c r="D103" s="600"/>
      <c r="E103" s="600"/>
      <c r="F103" s="649"/>
      <c r="G103" s="602"/>
      <c r="H103" s="644"/>
      <c r="I103" s="603"/>
      <c r="J103" s="564"/>
    </row>
    <row r="104" spans="1:38" ht="12" customHeight="1" x14ac:dyDescent="0.2">
      <c r="B104" s="563"/>
      <c r="C104" s="635"/>
      <c r="D104" s="605"/>
      <c r="E104" s="637" t="s">
        <v>462</v>
      </c>
      <c r="F104" s="650"/>
      <c r="G104" s="859">
        <f>+G92+G101</f>
        <v>6200</v>
      </c>
      <c r="H104" s="860">
        <f>+H92+H101</f>
        <v>921007.92473118287</v>
      </c>
      <c r="I104" s="610"/>
      <c r="J104" s="564"/>
    </row>
    <row r="105" spans="1:38" ht="12" customHeight="1" x14ac:dyDescent="0.2">
      <c r="B105" s="563"/>
      <c r="C105" s="618"/>
      <c r="D105" s="619"/>
      <c r="E105" s="619"/>
      <c r="F105" s="651"/>
      <c r="G105" s="621"/>
      <c r="H105" s="622"/>
      <c r="I105" s="638"/>
      <c r="J105" s="564"/>
    </row>
    <row r="106" spans="1:38" ht="12" customHeight="1" x14ac:dyDescent="0.2">
      <c r="B106" s="563"/>
      <c r="C106" s="542"/>
      <c r="D106" s="543"/>
      <c r="E106" s="543"/>
      <c r="F106" s="545"/>
      <c r="G106" s="545"/>
      <c r="H106" s="542"/>
      <c r="I106" s="545"/>
      <c r="J106" s="564"/>
    </row>
    <row r="107" spans="1:38" ht="12" customHeight="1" x14ac:dyDescent="0.2">
      <c r="B107" s="577"/>
      <c r="C107" s="578"/>
      <c r="D107" s="579"/>
      <c r="E107" s="579"/>
      <c r="F107" s="581"/>
      <c r="G107" s="581"/>
      <c r="H107" s="578"/>
      <c r="I107" s="581"/>
      <c r="J107" s="582"/>
    </row>
    <row r="108" spans="1:38" s="663" customFormat="1" x14ac:dyDescent="0.2">
      <c r="D108" s="670"/>
      <c r="E108" s="670"/>
      <c r="F108" s="668"/>
      <c r="G108" s="668"/>
      <c r="I108" s="668"/>
    </row>
    <row r="109" spans="1:38" s="663" customFormat="1" x14ac:dyDescent="0.2">
      <c r="D109" s="670"/>
      <c r="E109" s="670"/>
      <c r="F109" s="668"/>
      <c r="G109" s="668"/>
      <c r="I109" s="668"/>
    </row>
    <row r="110" spans="1:38" s="665" customFormat="1" x14ac:dyDescent="0.2">
      <c r="D110" s="672"/>
      <c r="E110" s="672"/>
      <c r="F110" s="674"/>
      <c r="G110" s="674"/>
      <c r="I110" s="674"/>
    </row>
    <row r="111" spans="1:38" s="663" customFormat="1" x14ac:dyDescent="0.2">
      <c r="D111" s="670"/>
      <c r="E111" s="670"/>
      <c r="F111" s="668"/>
      <c r="G111" s="668"/>
      <c r="I111" s="668"/>
    </row>
    <row r="112" spans="1:38" s="663" customFormat="1" x14ac:dyDescent="0.2">
      <c r="D112" s="670"/>
      <c r="E112" s="670"/>
      <c r="F112" s="668"/>
      <c r="G112" s="668"/>
      <c r="I112" s="668"/>
    </row>
    <row r="113" spans="4:9" s="663" customFormat="1" x14ac:dyDescent="0.2">
      <c r="D113" s="670"/>
      <c r="E113" s="670"/>
      <c r="F113" s="668"/>
      <c r="G113" s="668"/>
      <c r="I113" s="668"/>
    </row>
    <row r="114" spans="4:9" s="663" customFormat="1" x14ac:dyDescent="0.2">
      <c r="D114" s="670"/>
      <c r="E114" s="670"/>
      <c r="F114" s="668"/>
      <c r="G114" s="668"/>
      <c r="I114" s="668"/>
    </row>
    <row r="115" spans="4:9" s="663" customFormat="1" x14ac:dyDescent="0.2">
      <c r="D115" s="670"/>
      <c r="E115" s="670"/>
      <c r="F115" s="668"/>
      <c r="G115" s="668"/>
      <c r="I115" s="668"/>
    </row>
    <row r="116" spans="4:9" s="663" customFormat="1" x14ac:dyDescent="0.2">
      <c r="D116" s="670"/>
      <c r="E116" s="670"/>
      <c r="F116" s="668"/>
      <c r="G116" s="668"/>
      <c r="I116" s="668"/>
    </row>
    <row r="117" spans="4:9" s="663" customFormat="1" x14ac:dyDescent="0.2">
      <c r="D117" s="670"/>
      <c r="E117" s="670"/>
      <c r="F117" s="668"/>
      <c r="G117" s="668"/>
      <c r="I117" s="668"/>
    </row>
    <row r="118" spans="4:9" s="663" customFormat="1" x14ac:dyDescent="0.2">
      <c r="D118" s="670"/>
      <c r="E118" s="670"/>
      <c r="F118" s="668"/>
      <c r="G118" s="668"/>
      <c r="I118" s="668"/>
    </row>
    <row r="119" spans="4:9" s="663" customFormat="1" x14ac:dyDescent="0.2">
      <c r="D119" s="670"/>
      <c r="E119" s="670"/>
      <c r="F119" s="668"/>
      <c r="G119" s="668"/>
      <c r="I119" s="668"/>
    </row>
    <row r="120" spans="4:9" s="665" customFormat="1" x14ac:dyDescent="0.2">
      <c r="D120" s="672"/>
      <c r="E120" s="672"/>
      <c r="F120" s="674"/>
      <c r="G120" s="674"/>
      <c r="I120" s="674"/>
    </row>
    <row r="121" spans="4:9" s="663" customFormat="1" x14ac:dyDescent="0.2">
      <c r="D121" s="670"/>
      <c r="E121" s="670"/>
      <c r="F121" s="668"/>
      <c r="G121" s="668"/>
      <c r="I121" s="668"/>
    </row>
    <row r="122" spans="4:9" s="663" customFormat="1" x14ac:dyDescent="0.2">
      <c r="D122" s="670"/>
      <c r="E122" s="670"/>
      <c r="F122" s="668"/>
      <c r="G122" s="668"/>
      <c r="I122" s="668"/>
    </row>
    <row r="123" spans="4:9" s="663" customFormat="1" x14ac:dyDescent="0.2">
      <c r="D123" s="670"/>
      <c r="E123" s="670"/>
      <c r="F123" s="668"/>
      <c r="G123" s="668"/>
      <c r="I123" s="668"/>
    </row>
    <row r="124" spans="4:9" s="663" customFormat="1" x14ac:dyDescent="0.2">
      <c r="D124" s="670"/>
      <c r="E124" s="670"/>
      <c r="F124" s="668"/>
      <c r="G124" s="668"/>
      <c r="I124" s="668"/>
    </row>
    <row r="125" spans="4:9" s="665" customFormat="1" x14ac:dyDescent="0.2">
      <c r="D125" s="672"/>
      <c r="E125" s="672"/>
      <c r="F125" s="674"/>
      <c r="G125" s="674"/>
      <c r="I125" s="674"/>
    </row>
    <row r="126" spans="4:9" s="663" customFormat="1" x14ac:dyDescent="0.2">
      <c r="D126" s="670"/>
      <c r="E126" s="670"/>
      <c r="F126" s="668"/>
      <c r="G126" s="668"/>
      <c r="I126" s="668"/>
    </row>
    <row r="127" spans="4:9" s="663" customFormat="1" x14ac:dyDescent="0.2">
      <c r="D127" s="670"/>
      <c r="E127" s="670"/>
      <c r="F127" s="668"/>
      <c r="G127" s="668"/>
      <c r="I127" s="668"/>
    </row>
    <row r="128" spans="4:9" s="663" customFormat="1" x14ac:dyDescent="0.2">
      <c r="D128" s="670"/>
      <c r="E128" s="670"/>
      <c r="F128" s="668"/>
      <c r="G128" s="668"/>
      <c r="I128" s="668"/>
    </row>
    <row r="129" spans="4:9" s="663" customFormat="1" x14ac:dyDescent="0.2">
      <c r="D129" s="670"/>
      <c r="E129" s="670"/>
      <c r="F129" s="668"/>
      <c r="G129" s="668"/>
      <c r="I129" s="668"/>
    </row>
    <row r="130" spans="4:9" s="665" customFormat="1" x14ac:dyDescent="0.2">
      <c r="D130" s="672"/>
      <c r="E130" s="672"/>
      <c r="F130" s="674"/>
      <c r="G130" s="674"/>
      <c r="I130" s="674"/>
    </row>
    <row r="131" spans="4:9" s="663" customFormat="1" x14ac:dyDescent="0.2">
      <c r="D131" s="670"/>
      <c r="E131" s="670"/>
      <c r="F131" s="668"/>
      <c r="G131" s="668"/>
      <c r="I131" s="668"/>
    </row>
    <row r="132" spans="4:9" s="663" customFormat="1" x14ac:dyDescent="0.2">
      <c r="D132" s="670"/>
      <c r="E132" s="670"/>
      <c r="F132" s="668"/>
      <c r="G132" s="668"/>
      <c r="I132" s="668"/>
    </row>
    <row r="133" spans="4:9" s="663" customFormat="1" x14ac:dyDescent="0.2">
      <c r="D133" s="670"/>
      <c r="E133" s="670"/>
      <c r="F133" s="668"/>
      <c r="G133" s="668"/>
      <c r="I133" s="668"/>
    </row>
    <row r="134" spans="4:9" s="663" customFormat="1" x14ac:dyDescent="0.2">
      <c r="D134" s="670"/>
      <c r="E134" s="670"/>
      <c r="F134" s="668"/>
      <c r="G134" s="668"/>
      <c r="I134" s="668"/>
    </row>
    <row r="135" spans="4:9" s="665" customFormat="1" x14ac:dyDescent="0.2">
      <c r="D135" s="672"/>
      <c r="E135" s="672"/>
      <c r="F135" s="674"/>
      <c r="G135" s="674"/>
      <c r="I135" s="674"/>
    </row>
    <row r="136" spans="4:9" s="663" customFormat="1" x14ac:dyDescent="0.2">
      <c r="D136" s="670"/>
      <c r="E136" s="670"/>
      <c r="F136" s="668"/>
      <c r="G136" s="668"/>
      <c r="I136" s="668"/>
    </row>
    <row r="137" spans="4:9" s="663" customFormat="1" x14ac:dyDescent="0.2">
      <c r="D137" s="670"/>
      <c r="E137" s="670"/>
      <c r="F137" s="668"/>
      <c r="G137" s="668"/>
      <c r="I137" s="668"/>
    </row>
    <row r="138" spans="4:9" s="663" customFormat="1" x14ac:dyDescent="0.2">
      <c r="D138" s="670"/>
      <c r="E138" s="670"/>
      <c r="F138" s="668"/>
      <c r="G138" s="668"/>
      <c r="I138" s="668"/>
    </row>
    <row r="139" spans="4:9" s="663" customFormat="1" x14ac:dyDescent="0.2">
      <c r="D139" s="670"/>
      <c r="E139" s="670"/>
      <c r="F139" s="668"/>
      <c r="G139" s="668"/>
      <c r="I139" s="668"/>
    </row>
    <row r="140" spans="4:9" s="665" customFormat="1" x14ac:dyDescent="0.2">
      <c r="D140" s="672"/>
      <c r="E140" s="672"/>
      <c r="F140" s="674"/>
      <c r="G140" s="674"/>
      <c r="I140" s="674"/>
    </row>
    <row r="141" spans="4:9" s="663" customFormat="1" x14ac:dyDescent="0.2">
      <c r="D141" s="670"/>
      <c r="E141" s="670"/>
      <c r="F141" s="668"/>
      <c r="G141" s="668"/>
      <c r="I141" s="668"/>
    </row>
    <row r="142" spans="4:9" s="663" customFormat="1" x14ac:dyDescent="0.2">
      <c r="D142" s="670"/>
      <c r="E142" s="670"/>
      <c r="F142" s="668"/>
      <c r="G142" s="668"/>
      <c r="I142" s="668"/>
    </row>
    <row r="143" spans="4:9" s="663" customFormat="1" x14ac:dyDescent="0.2">
      <c r="D143" s="670"/>
      <c r="E143" s="670"/>
      <c r="F143" s="668"/>
      <c r="G143" s="668"/>
      <c r="I143" s="668"/>
    </row>
    <row r="144" spans="4:9" s="663" customFormat="1" x14ac:dyDescent="0.2">
      <c r="D144" s="670"/>
      <c r="E144" s="670"/>
      <c r="F144" s="668"/>
      <c r="G144" s="668"/>
      <c r="I144" s="668"/>
    </row>
    <row r="145" spans="4:9" s="665" customFormat="1" x14ac:dyDescent="0.2">
      <c r="D145" s="672"/>
      <c r="E145" s="672"/>
      <c r="F145" s="674"/>
      <c r="G145" s="674"/>
      <c r="I145" s="674"/>
    </row>
    <row r="146" spans="4:9" s="663" customFormat="1" x14ac:dyDescent="0.2">
      <c r="D146" s="670"/>
      <c r="E146" s="670"/>
      <c r="F146" s="668"/>
      <c r="G146" s="668"/>
      <c r="I146" s="668"/>
    </row>
    <row r="147" spans="4:9" s="663" customFormat="1" x14ac:dyDescent="0.2">
      <c r="D147" s="670"/>
      <c r="E147" s="670"/>
      <c r="F147" s="668"/>
      <c r="G147" s="668"/>
      <c r="I147" s="668"/>
    </row>
    <row r="148" spans="4:9" s="663" customFormat="1" x14ac:dyDescent="0.2">
      <c r="D148" s="670"/>
      <c r="E148" s="670"/>
      <c r="F148" s="668"/>
      <c r="G148" s="668"/>
      <c r="I148" s="668"/>
    </row>
    <row r="149" spans="4:9" s="663" customFormat="1" x14ac:dyDescent="0.2">
      <c r="D149" s="670"/>
      <c r="E149" s="670"/>
      <c r="F149" s="668"/>
      <c r="G149" s="668"/>
      <c r="I149" s="668"/>
    </row>
    <row r="150" spans="4:9" s="663" customFormat="1" x14ac:dyDescent="0.2">
      <c r="D150" s="670"/>
      <c r="E150" s="670"/>
      <c r="F150" s="668"/>
      <c r="G150" s="668"/>
      <c r="I150" s="668"/>
    </row>
    <row r="151" spans="4:9" s="663" customFormat="1" x14ac:dyDescent="0.2">
      <c r="D151" s="670"/>
      <c r="E151" s="670"/>
      <c r="F151" s="668"/>
      <c r="G151" s="668"/>
      <c r="I151" s="668"/>
    </row>
    <row r="152" spans="4:9" s="663" customFormat="1" x14ac:dyDescent="0.2">
      <c r="D152" s="670"/>
      <c r="E152" s="670"/>
      <c r="F152" s="668"/>
      <c r="G152" s="668"/>
      <c r="I152" s="668"/>
    </row>
    <row r="153" spans="4:9" s="663" customFormat="1" x14ac:dyDescent="0.2">
      <c r="D153" s="670"/>
      <c r="E153" s="670"/>
      <c r="F153" s="668"/>
      <c r="G153" s="668"/>
      <c r="I153" s="668"/>
    </row>
    <row r="154" spans="4:9" s="663" customFormat="1" x14ac:dyDescent="0.2">
      <c r="D154" s="670"/>
      <c r="E154" s="670"/>
      <c r="F154" s="668"/>
      <c r="G154" s="668"/>
      <c r="I154" s="668"/>
    </row>
    <row r="155" spans="4:9" s="663" customFormat="1" x14ac:dyDescent="0.2">
      <c r="D155" s="670"/>
      <c r="E155" s="670"/>
      <c r="F155" s="668"/>
      <c r="G155" s="668"/>
      <c r="I155" s="668"/>
    </row>
    <row r="156" spans="4:9" s="665" customFormat="1" x14ac:dyDescent="0.2">
      <c r="D156" s="672"/>
      <c r="E156" s="672"/>
      <c r="F156" s="674"/>
      <c r="G156" s="674"/>
      <c r="I156" s="674"/>
    </row>
    <row r="157" spans="4:9" s="663" customFormat="1" x14ac:dyDescent="0.2">
      <c r="D157" s="670"/>
      <c r="E157" s="670"/>
      <c r="F157" s="668"/>
      <c r="G157" s="668"/>
      <c r="I157" s="668"/>
    </row>
    <row r="158" spans="4:9" s="663" customFormat="1" x14ac:dyDescent="0.2">
      <c r="D158" s="670"/>
      <c r="E158" s="670"/>
      <c r="F158" s="668"/>
      <c r="G158" s="668"/>
      <c r="I158" s="668"/>
    </row>
    <row r="159" spans="4:9" s="663" customFormat="1" x14ac:dyDescent="0.2">
      <c r="D159" s="670"/>
      <c r="E159" s="670"/>
      <c r="F159" s="668"/>
      <c r="G159" s="668"/>
      <c r="I159" s="668"/>
    </row>
    <row r="160" spans="4:9" s="663" customFormat="1" x14ac:dyDescent="0.2">
      <c r="D160" s="670"/>
      <c r="E160" s="670"/>
      <c r="F160" s="668"/>
      <c r="G160" s="668"/>
      <c r="I160" s="668"/>
    </row>
    <row r="161" spans="4:9" s="665" customFormat="1" x14ac:dyDescent="0.2">
      <c r="D161" s="672"/>
      <c r="E161" s="672"/>
      <c r="F161" s="674"/>
      <c r="G161" s="674"/>
      <c r="I161" s="674"/>
    </row>
    <row r="162" spans="4:9" s="663" customFormat="1" x14ac:dyDescent="0.2">
      <c r="D162" s="670"/>
      <c r="E162" s="670"/>
      <c r="F162" s="668"/>
      <c r="G162" s="668"/>
      <c r="I162" s="668"/>
    </row>
    <row r="163" spans="4:9" s="663" customFormat="1" x14ac:dyDescent="0.2">
      <c r="D163" s="670"/>
      <c r="E163" s="670"/>
      <c r="F163" s="668"/>
      <c r="G163" s="668"/>
      <c r="I163" s="668"/>
    </row>
    <row r="164" spans="4:9" s="663" customFormat="1" x14ac:dyDescent="0.2">
      <c r="D164" s="670"/>
      <c r="E164" s="670"/>
      <c r="F164" s="668"/>
      <c r="G164" s="668"/>
      <c r="I164" s="668"/>
    </row>
    <row r="165" spans="4:9" s="663" customFormat="1" x14ac:dyDescent="0.2">
      <c r="D165" s="670"/>
      <c r="E165" s="670"/>
      <c r="F165" s="668"/>
      <c r="G165" s="668"/>
      <c r="I165" s="668"/>
    </row>
    <row r="166" spans="4:9" s="665" customFormat="1" x14ac:dyDescent="0.2">
      <c r="D166" s="672"/>
      <c r="E166" s="672"/>
      <c r="F166" s="674"/>
      <c r="G166" s="674"/>
      <c r="I166" s="674"/>
    </row>
    <row r="167" spans="4:9" s="663" customFormat="1" x14ac:dyDescent="0.2">
      <c r="D167" s="670"/>
      <c r="E167" s="670"/>
      <c r="F167" s="668"/>
      <c r="G167" s="668"/>
      <c r="I167" s="668"/>
    </row>
    <row r="168" spans="4:9" s="663" customFormat="1" x14ac:dyDescent="0.2">
      <c r="D168" s="670"/>
      <c r="E168" s="670"/>
      <c r="F168" s="668"/>
      <c r="G168" s="668"/>
      <c r="I168" s="668"/>
    </row>
    <row r="169" spans="4:9" s="663" customFormat="1" x14ac:dyDescent="0.2">
      <c r="D169" s="670"/>
      <c r="E169" s="670"/>
      <c r="F169" s="668"/>
      <c r="G169" s="668"/>
      <c r="I169" s="668"/>
    </row>
    <row r="170" spans="4:9" s="663" customFormat="1" x14ac:dyDescent="0.2">
      <c r="D170" s="670"/>
      <c r="E170" s="670"/>
      <c r="F170" s="668"/>
      <c r="G170" s="668"/>
      <c r="I170" s="668"/>
    </row>
    <row r="171" spans="4:9" s="665" customFormat="1" x14ac:dyDescent="0.2">
      <c r="D171" s="672"/>
      <c r="E171" s="672"/>
      <c r="F171" s="674"/>
      <c r="G171" s="674"/>
      <c r="I171" s="674"/>
    </row>
    <row r="172" spans="4:9" s="663" customFormat="1" x14ac:dyDescent="0.2">
      <c r="D172" s="670"/>
      <c r="E172" s="670"/>
      <c r="F172" s="668"/>
      <c r="G172" s="668"/>
      <c r="I172" s="668"/>
    </row>
    <row r="173" spans="4:9" s="663" customFormat="1" x14ac:dyDescent="0.2">
      <c r="D173" s="670"/>
      <c r="E173" s="670"/>
      <c r="F173" s="668"/>
      <c r="G173" s="668"/>
      <c r="I173" s="668"/>
    </row>
    <row r="174" spans="4:9" s="663" customFormat="1" x14ac:dyDescent="0.2">
      <c r="D174" s="670"/>
      <c r="E174" s="670"/>
      <c r="F174" s="668"/>
      <c r="G174" s="668"/>
      <c r="I174" s="668"/>
    </row>
    <row r="175" spans="4:9" s="663" customFormat="1" x14ac:dyDescent="0.2">
      <c r="D175" s="670"/>
      <c r="E175" s="670"/>
      <c r="F175" s="668"/>
      <c r="G175" s="668"/>
      <c r="I175" s="668"/>
    </row>
    <row r="176" spans="4:9" s="665" customFormat="1" x14ac:dyDescent="0.2">
      <c r="D176" s="672"/>
      <c r="E176" s="672"/>
      <c r="F176" s="674"/>
      <c r="G176" s="674"/>
      <c r="I176" s="674"/>
    </row>
    <row r="177" spans="1:38" s="663" customFormat="1" x14ac:dyDescent="0.2">
      <c r="D177" s="670"/>
      <c r="E177" s="670"/>
      <c r="F177" s="668"/>
      <c r="G177" s="668"/>
      <c r="I177" s="668"/>
    </row>
    <row r="179" spans="1:38" x14ac:dyDescent="0.2">
      <c r="D179" s="537"/>
      <c r="E179" s="537"/>
      <c r="F179" s="539"/>
      <c r="G179" s="539"/>
      <c r="I179" s="539"/>
    </row>
    <row r="180" spans="1:38" x14ac:dyDescent="0.2">
      <c r="D180" s="537"/>
      <c r="E180" s="537"/>
      <c r="F180" s="539"/>
      <c r="G180" s="539"/>
      <c r="I180" s="539"/>
    </row>
    <row r="181" spans="1:38" s="535" customFormat="1" x14ac:dyDescent="0.2">
      <c r="A181" s="665"/>
      <c r="D181" s="537"/>
      <c r="E181" s="537"/>
      <c r="F181" s="539"/>
      <c r="G181" s="539"/>
      <c r="I181" s="539"/>
      <c r="K181" s="665"/>
      <c r="L181" s="665"/>
      <c r="M181" s="665"/>
      <c r="N181" s="665"/>
      <c r="O181" s="665"/>
      <c r="P181" s="665"/>
      <c r="Q181" s="665"/>
      <c r="R181" s="665"/>
      <c r="S181" s="665"/>
      <c r="T181" s="665"/>
      <c r="U181" s="665"/>
      <c r="V181" s="665"/>
      <c r="W181" s="665"/>
      <c r="X181" s="665"/>
      <c r="Y181" s="665"/>
      <c r="Z181" s="665"/>
      <c r="AA181" s="665"/>
      <c r="AB181" s="665"/>
      <c r="AC181" s="665"/>
      <c r="AD181" s="665"/>
      <c r="AE181" s="665"/>
      <c r="AF181" s="665"/>
      <c r="AG181" s="665"/>
      <c r="AH181" s="665"/>
      <c r="AI181" s="665"/>
      <c r="AJ181" s="665"/>
      <c r="AK181" s="665"/>
      <c r="AL181" s="665"/>
    </row>
  </sheetData>
  <sheetProtection password="DFB1" sheet="1" objects="1" scenarios="1"/>
  <phoneticPr fontId="61" type="noConversion"/>
  <pageMargins left="0.75" right="0.75" top="1" bottom="1" header="0.5" footer="0.5"/>
  <pageSetup paperSize="9" scale="55" orientation="portrait" r:id="rId1"/>
  <headerFooter alignWithMargins="0"/>
  <colBreaks count="1" manualBreakCount="1">
    <brk id="10" max="1048575" man="1"/>
  </col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C159"/>
  <sheetViews>
    <sheetView zoomScale="85" zoomScaleNormal="85" workbookViewId="0">
      <pane ySplit="5" topLeftCell="A6" activePane="bottomLeft" state="frozen"/>
      <selection activeCell="C22" sqref="C22"/>
      <selection pane="bottomLeft"/>
    </sheetView>
  </sheetViews>
  <sheetFormatPr defaultColWidth="9.140625" defaultRowHeight="12.75" x14ac:dyDescent="0.2"/>
  <cols>
    <col min="1" max="1" width="44.5703125" style="5" customWidth="1"/>
    <col min="2" max="2" width="2.5703125" style="5" customWidth="1"/>
    <col min="3" max="34" width="14.85546875" style="5" customWidth="1"/>
    <col min="35" max="16384" width="9.140625" style="5"/>
  </cols>
  <sheetData>
    <row r="2" spans="1:9" x14ac:dyDescent="0.2">
      <c r="A2" s="1" t="s">
        <v>153</v>
      </c>
      <c r="B2" s="2"/>
      <c r="C2" s="3" t="s">
        <v>232</v>
      </c>
      <c r="D2" s="4" t="s">
        <v>266</v>
      </c>
      <c r="E2" s="4" t="s">
        <v>372</v>
      </c>
      <c r="F2" s="4" t="s">
        <v>381</v>
      </c>
      <c r="G2" s="182" t="s">
        <v>426</v>
      </c>
      <c r="H2" s="182" t="s">
        <v>426</v>
      </c>
    </row>
    <row r="3" spans="1:9" x14ac:dyDescent="0.2">
      <c r="A3" s="1" t="s">
        <v>233</v>
      </c>
      <c r="B3" s="2"/>
      <c r="C3" s="6">
        <v>40817</v>
      </c>
      <c r="D3" s="6">
        <v>41183</v>
      </c>
      <c r="E3" s="6">
        <v>41548</v>
      </c>
      <c r="F3" s="6">
        <v>41913</v>
      </c>
      <c r="G3" s="6">
        <v>42278</v>
      </c>
      <c r="H3" s="6">
        <v>42278</v>
      </c>
    </row>
    <row r="4" spans="1:9" s="462" customFormat="1" x14ac:dyDescent="0.2">
      <c r="A4" s="460" t="s">
        <v>186</v>
      </c>
      <c r="B4" s="13"/>
      <c r="C4" s="461">
        <v>2012</v>
      </c>
      <c r="D4" s="461">
        <f>C4+1</f>
        <v>2013</v>
      </c>
      <c r="E4" s="461">
        <f>D4+1</f>
        <v>2014</v>
      </c>
      <c r="F4" s="461">
        <f>E4+1</f>
        <v>2015</v>
      </c>
      <c r="G4" s="461">
        <f>F4+1</f>
        <v>2016</v>
      </c>
      <c r="H4" s="461">
        <f>G4+1</f>
        <v>2017</v>
      </c>
    </row>
    <row r="7" spans="1:9" s="412" customFormat="1" x14ac:dyDescent="0.2">
      <c r="A7" s="21" t="s">
        <v>267</v>
      </c>
      <c r="B7" s="24"/>
      <c r="C7" s="26"/>
      <c r="D7" s="21"/>
      <c r="E7" s="26"/>
    </row>
    <row r="8" spans="1:9" s="412" customFormat="1" x14ac:dyDescent="0.2">
      <c r="A8" s="21"/>
      <c r="B8" s="24"/>
      <c r="C8" s="24"/>
      <c r="D8" s="21"/>
      <c r="E8" s="24"/>
      <c r="F8" s="24"/>
      <c r="G8" s="24"/>
      <c r="H8" s="24"/>
      <c r="I8" s="24"/>
    </row>
    <row r="9" spans="1:9" s="412" customFormat="1" x14ac:dyDescent="0.2">
      <c r="A9" s="413" t="s">
        <v>87</v>
      </c>
      <c r="B9" s="24"/>
      <c r="C9" s="24"/>
      <c r="D9" s="21"/>
      <c r="E9" s="24"/>
      <c r="F9" s="24"/>
      <c r="G9" s="24"/>
      <c r="H9" s="24"/>
      <c r="I9" s="24"/>
    </row>
    <row r="10" spans="1:9" s="412" customFormat="1" x14ac:dyDescent="0.2">
      <c r="A10" s="413"/>
      <c r="B10" s="24"/>
      <c r="C10" s="24"/>
      <c r="D10" s="21"/>
      <c r="E10" s="24"/>
      <c r="F10" s="24"/>
      <c r="G10" s="24"/>
      <c r="H10" s="24"/>
      <c r="I10" s="24"/>
    </row>
    <row r="11" spans="1:9" s="412" customFormat="1" x14ac:dyDescent="0.2">
      <c r="A11" s="24" t="s">
        <v>353</v>
      </c>
      <c r="B11" s="24"/>
      <c r="C11" s="414">
        <v>4.5199999999999997E-2</v>
      </c>
      <c r="D11" s="414">
        <v>4.5199999999999997E-2</v>
      </c>
      <c r="F11" s="24"/>
      <c r="G11" s="24"/>
      <c r="H11" s="24"/>
      <c r="I11" s="24"/>
    </row>
    <row r="12" spans="1:9" s="412" customFormat="1" x14ac:dyDescent="0.2">
      <c r="A12" s="24" t="s">
        <v>354</v>
      </c>
      <c r="B12" s="24"/>
      <c r="C12" s="414">
        <v>6.4600000000000005E-2</v>
      </c>
      <c r="D12" s="414">
        <v>6.4600000000000005E-2</v>
      </c>
      <c r="F12" s="24"/>
      <c r="G12" s="24"/>
      <c r="H12" s="24"/>
      <c r="I12" s="24"/>
    </row>
    <row r="13" spans="1:9" s="412" customFormat="1" x14ac:dyDescent="0.2">
      <c r="A13" s="24" t="s">
        <v>355</v>
      </c>
      <c r="B13" s="24"/>
      <c r="C13" s="414">
        <v>4.0099999999999997E-2</v>
      </c>
      <c r="D13" s="414">
        <v>4.0099999999999997E-2</v>
      </c>
      <c r="F13" s="24"/>
      <c r="G13" s="24"/>
      <c r="H13" s="24"/>
      <c r="I13" s="24"/>
    </row>
    <row r="14" spans="1:9" s="412" customFormat="1" x14ac:dyDescent="0.2">
      <c r="A14" s="24" t="s">
        <v>356</v>
      </c>
      <c r="B14" s="24"/>
      <c r="C14" s="414">
        <v>0.10980000000000001</v>
      </c>
      <c r="D14" s="414">
        <f>+D11+D12</f>
        <v>0.10980000000000001</v>
      </c>
      <c r="F14" s="24"/>
      <c r="G14" s="24"/>
      <c r="H14" s="24"/>
      <c r="I14" s="24"/>
    </row>
    <row r="15" spans="1:9" s="412" customFormat="1" x14ac:dyDescent="0.2">
      <c r="A15" s="413"/>
      <c r="B15" s="24"/>
      <c r="C15" s="21"/>
      <c r="D15" s="24"/>
      <c r="F15" s="24"/>
      <c r="G15" s="24"/>
      <c r="H15" s="24"/>
      <c r="I15" s="24"/>
    </row>
    <row r="16" spans="1:9" s="412" customFormat="1" x14ac:dyDescent="0.2">
      <c r="A16" s="415" t="s">
        <v>77</v>
      </c>
      <c r="B16" s="24"/>
      <c r="C16" s="21"/>
      <c r="D16" s="24"/>
      <c r="F16" s="24"/>
      <c r="G16" s="24"/>
      <c r="H16" s="24"/>
      <c r="I16" s="24"/>
    </row>
    <row r="17" spans="1:9" s="412" customFormat="1" x14ac:dyDescent="0.2">
      <c r="A17" s="416" t="s">
        <v>75</v>
      </c>
      <c r="B17" s="24"/>
      <c r="C17" s="417">
        <v>2.3700000000000001E-3</v>
      </c>
      <c r="D17" s="417">
        <v>2.3700000000000001E-3</v>
      </c>
      <c r="F17" s="417"/>
      <c r="G17" s="417"/>
      <c r="H17" s="417"/>
      <c r="I17" s="24"/>
    </row>
    <row r="18" spans="1:9" s="412" customFormat="1" x14ac:dyDescent="0.2">
      <c r="A18" s="418" t="s">
        <v>76</v>
      </c>
      <c r="B18" s="24"/>
      <c r="C18" s="24">
        <v>6.54E-2</v>
      </c>
      <c r="D18" s="24">
        <v>6.54E-2</v>
      </c>
      <c r="F18" s="24"/>
      <c r="G18" s="24"/>
      <c r="H18" s="24"/>
      <c r="I18" s="24"/>
    </row>
    <row r="19" spans="1:9" s="386" customFormat="1" x14ac:dyDescent="0.2">
      <c r="A19" s="387"/>
      <c r="B19" s="384"/>
      <c r="C19" s="384"/>
      <c r="D19" s="384"/>
      <c r="F19" s="384"/>
      <c r="G19" s="384"/>
      <c r="H19" s="384"/>
      <c r="I19" s="384"/>
    </row>
    <row r="20" spans="1:9" s="412" customFormat="1" x14ac:dyDescent="0.2">
      <c r="A20" s="415" t="s">
        <v>78</v>
      </c>
      <c r="B20" s="24"/>
      <c r="C20" s="419"/>
      <c r="D20" s="419"/>
      <c r="F20" s="419"/>
      <c r="G20" s="419"/>
      <c r="H20" s="419"/>
      <c r="I20" s="24"/>
    </row>
    <row r="21" spans="1:9" s="412" customFormat="1" x14ac:dyDescent="0.2">
      <c r="A21" s="416" t="s">
        <v>79</v>
      </c>
      <c r="B21" s="24"/>
      <c r="C21" s="420">
        <f>+C29</f>
        <v>62652.3</v>
      </c>
      <c r="D21" s="420">
        <f>+D29</f>
        <v>62818.33</v>
      </c>
      <c r="F21" s="420"/>
      <c r="G21" s="420"/>
      <c r="H21" s="420"/>
      <c r="I21" s="24"/>
    </row>
    <row r="22" spans="1:9" s="412" customFormat="1" x14ac:dyDescent="0.2">
      <c r="A22" s="418"/>
      <c r="B22" s="24"/>
      <c r="C22" s="24"/>
      <c r="D22" s="24"/>
      <c r="F22" s="24"/>
      <c r="G22" s="24"/>
      <c r="H22" s="24"/>
      <c r="I22" s="24"/>
    </row>
    <row r="23" spans="1:9" s="412" customFormat="1" x14ac:dyDescent="0.2">
      <c r="A23" s="413" t="s">
        <v>80</v>
      </c>
      <c r="B23" s="24"/>
      <c r="C23" s="421"/>
      <c r="D23" s="421"/>
      <c r="F23" s="421"/>
      <c r="G23" s="421"/>
      <c r="H23" s="421"/>
      <c r="I23" s="24"/>
    </row>
    <row r="24" spans="1:9" s="412" customFormat="1" x14ac:dyDescent="0.2">
      <c r="A24" s="416" t="s">
        <v>75</v>
      </c>
      <c r="B24" s="24"/>
      <c r="C24" s="420">
        <f>ROUND(C21*C17,2)</f>
        <v>148.49</v>
      </c>
      <c r="D24" s="420">
        <f>ROUND(D21*D17,2)</f>
        <v>148.88</v>
      </c>
      <c r="F24" s="420"/>
      <c r="G24" s="420"/>
      <c r="H24" s="420"/>
      <c r="I24" s="24"/>
    </row>
    <row r="25" spans="1:9" s="412" customFormat="1" x14ac:dyDescent="0.2">
      <c r="A25" s="418" t="s">
        <v>76</v>
      </c>
      <c r="B25" s="24"/>
      <c r="C25" s="420">
        <f>ROUND(C21*C18,2)</f>
        <v>4097.46</v>
      </c>
      <c r="D25" s="420">
        <f>ROUND(D21*D18,2)</f>
        <v>4108.32</v>
      </c>
      <c r="F25" s="420"/>
      <c r="G25" s="420"/>
      <c r="H25" s="420"/>
      <c r="I25" s="24"/>
    </row>
    <row r="26" spans="1:9" s="386" customFormat="1" x14ac:dyDescent="0.2">
      <c r="A26" s="387"/>
      <c r="B26" s="384"/>
      <c r="C26" s="384"/>
      <c r="D26" s="384"/>
      <c r="F26" s="384"/>
      <c r="G26" s="384"/>
      <c r="H26" s="384"/>
      <c r="I26" s="384"/>
    </row>
    <row r="27" spans="1:9" s="412" customFormat="1" x14ac:dyDescent="0.2">
      <c r="A27" s="415" t="s">
        <v>81</v>
      </c>
      <c r="B27" s="24"/>
      <c r="C27" s="420"/>
      <c r="D27" s="420"/>
      <c r="F27" s="420"/>
      <c r="G27" s="420"/>
      <c r="H27" s="420"/>
      <c r="I27" s="24"/>
    </row>
    <row r="28" spans="1:9" s="412" customFormat="1" x14ac:dyDescent="0.2">
      <c r="A28" s="418" t="s">
        <v>82</v>
      </c>
      <c r="B28" s="24"/>
      <c r="C28" s="422">
        <v>78387.91</v>
      </c>
      <c r="D28" s="422">
        <v>80748.39</v>
      </c>
      <c r="F28" s="420"/>
      <c r="G28" s="420"/>
      <c r="H28" s="420"/>
      <c r="I28" s="24"/>
    </row>
    <row r="29" spans="1:9" s="412" customFormat="1" x14ac:dyDescent="0.2">
      <c r="A29" s="416" t="s">
        <v>83</v>
      </c>
      <c r="B29" s="24"/>
      <c r="C29" s="422">
        <v>62652.3</v>
      </c>
      <c r="D29" s="422">
        <v>62818.33</v>
      </c>
      <c r="F29" s="420"/>
      <c r="G29" s="420"/>
      <c r="H29" s="420"/>
      <c r="I29" s="24"/>
    </row>
    <row r="30" spans="1:9" s="412" customFormat="1" x14ac:dyDescent="0.2">
      <c r="A30" s="416" t="s">
        <v>84</v>
      </c>
      <c r="B30" s="24"/>
      <c r="C30" s="422">
        <v>26731.63</v>
      </c>
      <c r="D30" s="422">
        <v>26821</v>
      </c>
      <c r="F30" s="420"/>
      <c r="G30" s="420"/>
      <c r="H30" s="420"/>
      <c r="I30" s="24"/>
    </row>
    <row r="31" spans="1:9" s="412" customFormat="1" x14ac:dyDescent="0.2">
      <c r="A31" s="416" t="s">
        <v>85</v>
      </c>
      <c r="B31" s="24"/>
      <c r="C31" s="422">
        <v>865.56</v>
      </c>
      <c r="D31" s="422">
        <v>868.45</v>
      </c>
      <c r="F31" s="420"/>
      <c r="G31" s="420"/>
      <c r="H31" s="420"/>
      <c r="I31" s="24"/>
    </row>
    <row r="32" spans="1:9" s="412" customFormat="1" x14ac:dyDescent="0.2">
      <c r="A32" s="416" t="s">
        <v>86</v>
      </c>
      <c r="B32" s="24"/>
      <c r="C32" s="423">
        <v>41.5</v>
      </c>
      <c r="D32" s="423">
        <v>41.45</v>
      </c>
      <c r="F32" s="424"/>
      <c r="G32" s="424"/>
      <c r="H32" s="424"/>
      <c r="I32" s="24"/>
    </row>
    <row r="33" spans="1:9" s="386" customFormat="1" x14ac:dyDescent="0.2">
      <c r="A33" s="387"/>
      <c r="B33" s="384"/>
      <c r="C33" s="384"/>
      <c r="D33" s="384"/>
      <c r="F33" s="384"/>
      <c r="G33" s="384"/>
      <c r="H33" s="384"/>
      <c r="I33" s="384"/>
    </row>
    <row r="34" spans="1:9" s="412" customFormat="1" x14ac:dyDescent="0.2">
      <c r="A34" s="415" t="s">
        <v>89</v>
      </c>
      <c r="B34" s="24"/>
      <c r="C34" s="24"/>
      <c r="D34" s="24"/>
      <c r="F34" s="24"/>
      <c r="G34" s="24"/>
      <c r="H34" s="24"/>
      <c r="I34" s="24"/>
    </row>
    <row r="35" spans="1:9" s="412" customFormat="1" x14ac:dyDescent="0.2">
      <c r="A35" s="418" t="s">
        <v>82</v>
      </c>
      <c r="B35" s="24"/>
      <c r="C35" s="422">
        <v>72546.850000000006</v>
      </c>
      <c r="D35" s="422">
        <v>74893.14</v>
      </c>
      <c r="F35" s="420"/>
      <c r="G35" s="420"/>
      <c r="H35" s="420"/>
      <c r="I35" s="24"/>
    </row>
    <row r="36" spans="1:9" s="412" customFormat="1" x14ac:dyDescent="0.2">
      <c r="A36" s="416" t="s">
        <v>83</v>
      </c>
      <c r="B36" s="24"/>
      <c r="C36" s="422">
        <v>57626.57</v>
      </c>
      <c r="D36" s="422">
        <v>57779.28</v>
      </c>
      <c r="F36" s="420"/>
      <c r="G36" s="420"/>
      <c r="H36" s="420"/>
      <c r="I36" s="24"/>
    </row>
    <row r="37" spans="1:9" s="412" customFormat="1" x14ac:dyDescent="0.2">
      <c r="A37" s="416" t="s">
        <v>84</v>
      </c>
      <c r="B37" s="24"/>
      <c r="C37" s="422">
        <v>27570.01</v>
      </c>
      <c r="D37" s="422">
        <v>27632.37</v>
      </c>
      <c r="F37" s="420"/>
      <c r="G37" s="420"/>
      <c r="H37" s="420"/>
      <c r="I37" s="24"/>
    </row>
    <row r="38" spans="1:9" s="412" customFormat="1" x14ac:dyDescent="0.2">
      <c r="A38" s="416" t="s">
        <v>85</v>
      </c>
      <c r="B38" s="24"/>
      <c r="C38" s="422">
        <v>743.97</v>
      </c>
      <c r="D38" s="422">
        <v>745.66</v>
      </c>
      <c r="F38" s="420"/>
      <c r="G38" s="420"/>
      <c r="H38" s="420"/>
      <c r="I38" s="24"/>
    </row>
    <row r="39" spans="1:9" s="412" customFormat="1" x14ac:dyDescent="0.2">
      <c r="A39" s="416" t="s">
        <v>86</v>
      </c>
      <c r="B39" s="24"/>
      <c r="C39" s="423">
        <v>40.4</v>
      </c>
      <c r="D39" s="423">
        <v>40.43</v>
      </c>
      <c r="F39" s="424"/>
      <c r="G39" s="424"/>
      <c r="H39" s="424"/>
      <c r="I39" s="24"/>
    </row>
    <row r="40" spans="1:9" s="386" customFormat="1" x14ac:dyDescent="0.2">
      <c r="A40" s="383"/>
      <c r="B40" s="384"/>
      <c r="C40" s="383"/>
      <c r="D40" s="384"/>
      <c r="F40" s="384"/>
      <c r="G40" s="384"/>
      <c r="H40" s="384"/>
      <c r="I40" s="384"/>
    </row>
    <row r="41" spans="1:9" s="412" customFormat="1" x14ac:dyDescent="0.2">
      <c r="A41" s="21" t="s">
        <v>149</v>
      </c>
      <c r="B41" s="24"/>
      <c r="C41" s="24"/>
      <c r="D41" s="24"/>
      <c r="F41" s="24"/>
      <c r="G41" s="24"/>
      <c r="H41" s="24"/>
      <c r="I41" s="26"/>
    </row>
    <row r="42" spans="1:9" s="412" customFormat="1" x14ac:dyDescent="0.2">
      <c r="A42" s="24" t="s">
        <v>48</v>
      </c>
      <c r="B42" s="24"/>
      <c r="C42" s="420">
        <f>+tab!C24</f>
        <v>148.49</v>
      </c>
      <c r="D42" s="420">
        <f>+tab!D24</f>
        <v>148.88</v>
      </c>
      <c r="F42" s="420"/>
      <c r="G42" s="420"/>
      <c r="H42" s="420"/>
      <c r="I42" s="26"/>
    </row>
    <row r="43" spans="1:9" s="412" customFormat="1" x14ac:dyDescent="0.2">
      <c r="A43" s="24"/>
      <c r="B43" s="24"/>
      <c r="C43" s="24"/>
      <c r="D43" s="24"/>
      <c r="F43" s="24"/>
      <c r="G43" s="24"/>
      <c r="H43" s="24"/>
      <c r="I43" s="26"/>
    </row>
    <row r="44" spans="1:9" s="412" customFormat="1" x14ac:dyDescent="0.2">
      <c r="A44" s="21" t="s">
        <v>49</v>
      </c>
      <c r="B44" s="24"/>
      <c r="C44" s="21"/>
      <c r="D44" s="21"/>
      <c r="F44" s="21"/>
      <c r="G44" s="21"/>
      <c r="H44" s="21"/>
      <c r="I44" s="26"/>
    </row>
    <row r="45" spans="1:9" s="412" customFormat="1" x14ac:dyDescent="0.2">
      <c r="A45" s="24" t="s">
        <v>270</v>
      </c>
      <c r="B45" s="24"/>
      <c r="C45" s="425">
        <f>ROUND(C11*tab!C$30,2)</f>
        <v>1208.27</v>
      </c>
      <c r="D45" s="425">
        <f>ROUND(D11*tab!D$30,2)</f>
        <v>1212.31</v>
      </c>
      <c r="F45" s="425"/>
      <c r="G45" s="425"/>
      <c r="H45" s="425"/>
      <c r="I45" s="26"/>
    </row>
    <row r="46" spans="1:9" s="412" customFormat="1" x14ac:dyDescent="0.2">
      <c r="A46" s="24" t="s">
        <v>273</v>
      </c>
      <c r="B46" s="24"/>
      <c r="C46" s="425">
        <f>ROUND(tab!C11*tab!C$31,2)</f>
        <v>39.119999999999997</v>
      </c>
      <c r="D46" s="425">
        <f>ROUND(tab!D11*tab!D$31,2)</f>
        <v>39.25</v>
      </c>
      <c r="F46" s="425"/>
      <c r="G46" s="425"/>
      <c r="H46" s="425"/>
      <c r="I46" s="26"/>
    </row>
    <row r="47" spans="1:9" s="412" customFormat="1" x14ac:dyDescent="0.2">
      <c r="A47" s="24" t="s">
        <v>271</v>
      </c>
      <c r="B47" s="24"/>
      <c r="C47" s="425">
        <f>ROUND(C12*tab!C$30,2)</f>
        <v>1726.86</v>
      </c>
      <c r="D47" s="425">
        <f>ROUND(D12*tab!D$30,2)</f>
        <v>1732.64</v>
      </c>
      <c r="F47" s="425"/>
      <c r="G47" s="425"/>
      <c r="H47" s="425"/>
      <c r="I47" s="26"/>
    </row>
    <row r="48" spans="1:9" s="412" customFormat="1" x14ac:dyDescent="0.2">
      <c r="A48" s="24" t="s">
        <v>274</v>
      </c>
      <c r="B48" s="24"/>
      <c r="C48" s="425">
        <f>ROUND(tab!C12*tab!C$31,2)</f>
        <v>55.92</v>
      </c>
      <c r="D48" s="425">
        <f>ROUND(tab!D12*tab!D$31,2)</f>
        <v>56.1</v>
      </c>
      <c r="F48" s="425"/>
      <c r="G48" s="425"/>
      <c r="H48" s="425"/>
      <c r="I48" s="26"/>
    </row>
    <row r="49" spans="1:10" s="412" customFormat="1" x14ac:dyDescent="0.2">
      <c r="A49" s="24" t="s">
        <v>272</v>
      </c>
      <c r="B49" s="24"/>
      <c r="C49" s="425">
        <f>ROUND(C13*tab!C$30,2)</f>
        <v>1071.94</v>
      </c>
      <c r="D49" s="425">
        <f>ROUND(D13*tab!D$30,2)</f>
        <v>1075.52</v>
      </c>
      <c r="F49" s="425"/>
      <c r="G49" s="425"/>
      <c r="H49" s="425"/>
      <c r="I49" s="26"/>
    </row>
    <row r="50" spans="1:10" s="412" customFormat="1" x14ac:dyDescent="0.2">
      <c r="A50" s="24" t="s">
        <v>275</v>
      </c>
      <c r="B50" s="24"/>
      <c r="C50" s="425">
        <f>ROUND(tab!C13*tab!C$31,2)</f>
        <v>34.71</v>
      </c>
      <c r="D50" s="425">
        <f>ROUND(tab!D13*tab!D$31,2)</f>
        <v>34.82</v>
      </c>
      <c r="F50" s="425"/>
      <c r="G50" s="425"/>
      <c r="H50" s="425"/>
      <c r="I50" s="26"/>
    </row>
    <row r="51" spans="1:10" s="412" customFormat="1" x14ac:dyDescent="0.2">
      <c r="A51" s="24"/>
      <c r="B51" s="24"/>
      <c r="C51" s="425"/>
      <c r="D51" s="425"/>
      <c r="F51" s="425"/>
      <c r="G51" s="425"/>
      <c r="H51" s="425"/>
      <c r="I51" s="26"/>
    </row>
    <row r="52" spans="1:10" s="412" customFormat="1" x14ac:dyDescent="0.2">
      <c r="A52" s="21" t="s">
        <v>148</v>
      </c>
      <c r="B52" s="24"/>
      <c r="C52" s="21"/>
      <c r="D52" s="21"/>
      <c r="F52" s="21"/>
      <c r="G52" s="21"/>
      <c r="H52" s="21"/>
      <c r="I52" s="26"/>
    </row>
    <row r="53" spans="1:10" s="412" customFormat="1" x14ac:dyDescent="0.2">
      <c r="A53" s="24" t="s">
        <v>50</v>
      </c>
      <c r="B53" s="24"/>
      <c r="C53" s="420">
        <f>ROUND(C11*tab!C29,2)</f>
        <v>2831.88</v>
      </c>
      <c r="D53" s="420">
        <f>ROUND(D11*tab!D29,2)</f>
        <v>2839.39</v>
      </c>
      <c r="F53" s="424"/>
      <c r="G53" s="424"/>
      <c r="H53" s="424"/>
      <c r="I53" s="26"/>
    </row>
    <row r="54" spans="1:10" s="412" customFormat="1" x14ac:dyDescent="0.2">
      <c r="A54" s="24" t="s">
        <v>51</v>
      </c>
      <c r="B54" s="24"/>
      <c r="C54" s="420">
        <f>ROUND(C12*tab!C29,2)</f>
        <v>4047.34</v>
      </c>
      <c r="D54" s="420">
        <f>ROUND(D12*tab!D29,2)</f>
        <v>4058.06</v>
      </c>
      <c r="F54" s="424"/>
      <c r="G54" s="424"/>
      <c r="H54" s="424"/>
      <c r="I54" s="26"/>
    </row>
    <row r="55" spans="1:10" s="412" customFormat="1" x14ac:dyDescent="0.2">
      <c r="A55" s="24" t="s">
        <v>52</v>
      </c>
      <c r="B55" s="24"/>
      <c r="C55" s="420">
        <f>ROUND(C13*tab!C29,2)</f>
        <v>2512.36</v>
      </c>
      <c r="D55" s="420">
        <f>ROUND(D13*tab!D29,2)</f>
        <v>2519.02</v>
      </c>
      <c r="F55" s="424"/>
      <c r="G55" s="424"/>
      <c r="H55" s="424"/>
      <c r="I55" s="26"/>
    </row>
    <row r="56" spans="1:10" s="412" customFormat="1" x14ac:dyDescent="0.2">
      <c r="A56" s="24" t="s">
        <v>150</v>
      </c>
      <c r="B56" s="24"/>
      <c r="C56" s="420">
        <f>ROUND(C14*tab!C29,2)</f>
        <v>6879.22</v>
      </c>
      <c r="D56" s="420">
        <f>ROUND(D14*tab!D29,2)</f>
        <v>6897.45</v>
      </c>
      <c r="F56" s="424"/>
      <c r="G56" s="424"/>
      <c r="H56" s="424"/>
      <c r="I56" s="26"/>
    </row>
    <row r="57" spans="1:10" s="386" customFormat="1" x14ac:dyDescent="0.2">
      <c r="A57" s="384"/>
      <c r="B57" s="384"/>
      <c r="C57" s="384"/>
      <c r="D57" s="384"/>
      <c r="E57" s="412"/>
      <c r="F57" s="412"/>
      <c r="G57" s="384"/>
      <c r="H57" s="384"/>
      <c r="I57" s="385"/>
    </row>
    <row r="58" spans="1:10" s="412" customFormat="1" x14ac:dyDescent="0.2">
      <c r="A58" s="413" t="s">
        <v>149</v>
      </c>
      <c r="B58" s="24"/>
      <c r="C58" s="426">
        <f>C4</f>
        <v>2012</v>
      </c>
      <c r="D58" s="426">
        <f>D4</f>
        <v>2013</v>
      </c>
      <c r="E58" s="426">
        <f>E4</f>
        <v>2014</v>
      </c>
      <c r="H58" s="24"/>
      <c r="I58" s="24"/>
      <c r="J58" s="24"/>
    </row>
    <row r="59" spans="1:10" s="412" customFormat="1" x14ac:dyDescent="0.2">
      <c r="A59" s="418" t="s">
        <v>368</v>
      </c>
      <c r="B59" s="24"/>
      <c r="C59" s="675">
        <v>821</v>
      </c>
      <c r="D59" s="676">
        <v>836</v>
      </c>
      <c r="E59" s="676">
        <v>848</v>
      </c>
      <c r="F59" s="425"/>
      <c r="G59" s="862"/>
      <c r="H59" s="425"/>
      <c r="I59" s="425"/>
      <c r="J59" s="425"/>
    </row>
    <row r="60" spans="1:10" s="412" customFormat="1" x14ac:dyDescent="0.2">
      <c r="A60" s="418" t="s">
        <v>369</v>
      </c>
      <c r="B60" s="24"/>
      <c r="C60" s="675">
        <v>217.67</v>
      </c>
      <c r="D60" s="676">
        <v>221.59</v>
      </c>
      <c r="E60" s="676">
        <v>224.71</v>
      </c>
      <c r="F60" s="425"/>
      <c r="G60" s="425"/>
      <c r="H60" s="425"/>
      <c r="I60" s="425"/>
      <c r="J60" s="425"/>
    </row>
    <row r="61" spans="1:10" s="412" customFormat="1" x14ac:dyDescent="0.2">
      <c r="A61" s="418" t="s">
        <v>177</v>
      </c>
      <c r="B61" s="24"/>
      <c r="C61" s="677">
        <v>7.25</v>
      </c>
      <c r="D61" s="676">
        <v>7.38</v>
      </c>
      <c r="E61" s="676">
        <v>7.48</v>
      </c>
      <c r="F61" s="420"/>
      <c r="G61" s="420"/>
      <c r="H61" s="420"/>
      <c r="I61" s="420"/>
      <c r="J61" s="420"/>
    </row>
    <row r="62" spans="1:10" s="386" customFormat="1" x14ac:dyDescent="0.2">
      <c r="A62" s="387"/>
      <c r="B62" s="384"/>
      <c r="C62" s="384"/>
      <c r="D62" s="384"/>
      <c r="F62" s="384"/>
      <c r="G62" s="384"/>
      <c r="H62" s="384"/>
      <c r="I62" s="384"/>
      <c r="J62" s="384"/>
    </row>
    <row r="63" spans="1:10" s="412" customFormat="1" x14ac:dyDescent="0.2">
      <c r="A63" s="21" t="s">
        <v>152</v>
      </c>
      <c r="B63" s="24"/>
      <c r="C63" s="419"/>
      <c r="D63" s="419"/>
      <c r="F63" s="24"/>
      <c r="G63" s="24"/>
      <c r="H63" s="24"/>
      <c r="I63" s="24"/>
      <c r="J63" s="24"/>
    </row>
    <row r="64" spans="1:10" s="412" customFormat="1" x14ac:dyDescent="0.2">
      <c r="A64" s="24" t="s">
        <v>448</v>
      </c>
      <c r="B64" s="24"/>
      <c r="C64" s="459">
        <v>26</v>
      </c>
      <c r="D64" s="459">
        <v>15</v>
      </c>
      <c r="F64" s="24"/>
      <c r="G64" s="24"/>
      <c r="H64" s="24"/>
      <c r="I64" s="24"/>
      <c r="J64" s="24"/>
    </row>
    <row r="65" spans="1:29" s="412" customFormat="1" x14ac:dyDescent="0.2">
      <c r="A65" s="24" t="s">
        <v>229</v>
      </c>
      <c r="B65" s="24"/>
      <c r="C65" s="422">
        <v>90.76</v>
      </c>
      <c r="D65" s="422">
        <v>98.75</v>
      </c>
      <c r="F65" s="24"/>
      <c r="G65" s="24"/>
      <c r="H65" s="24"/>
      <c r="I65" s="24"/>
      <c r="J65" s="24"/>
    </row>
    <row r="66" spans="1:29" s="386" customFormat="1" x14ac:dyDescent="0.2">
      <c r="A66" s="383"/>
      <c r="B66" s="384"/>
      <c r="C66" s="383"/>
      <c r="D66" s="385"/>
    </row>
    <row r="67" spans="1:29" x14ac:dyDescent="0.2">
      <c r="A67" s="1"/>
      <c r="B67" s="9"/>
      <c r="C67" s="7"/>
      <c r="D67" s="7"/>
      <c r="F67" s="7"/>
      <c r="G67" s="7"/>
      <c r="H67" s="7"/>
      <c r="I67" s="7"/>
    </row>
    <row r="68" spans="1:29" x14ac:dyDescent="0.2">
      <c r="A68" s="21" t="s">
        <v>175</v>
      </c>
      <c r="B68" s="7"/>
      <c r="C68" s="10">
        <v>0.61</v>
      </c>
      <c r="D68" s="10">
        <f>C68</f>
        <v>0.61</v>
      </c>
      <c r="F68" s="7"/>
      <c r="G68" s="7"/>
      <c r="H68" s="7"/>
      <c r="I68" s="7"/>
    </row>
    <row r="69" spans="1:29" x14ac:dyDescent="0.2">
      <c r="A69" s="1" t="s">
        <v>346</v>
      </c>
      <c r="B69" s="7"/>
      <c r="C69" s="10">
        <v>0.35</v>
      </c>
      <c r="D69" s="10">
        <f>C69</f>
        <v>0.35</v>
      </c>
      <c r="F69" s="7"/>
      <c r="G69" s="7"/>
      <c r="H69" s="7"/>
      <c r="I69" s="7"/>
    </row>
    <row r="70" spans="1:29" x14ac:dyDescent="0.2">
      <c r="A70" s="1" t="s">
        <v>176</v>
      </c>
      <c r="B70" s="7"/>
      <c r="C70" s="11">
        <f>C68-C69</f>
        <v>0.26</v>
      </c>
      <c r="D70" s="11">
        <f>D68-D69</f>
        <v>0.26</v>
      </c>
      <c r="F70" s="7"/>
      <c r="G70" s="7"/>
      <c r="H70" s="7"/>
      <c r="I70" s="7"/>
    </row>
    <row r="71" spans="1:29" x14ac:dyDescent="0.2">
      <c r="A71" s="1" t="s">
        <v>347</v>
      </c>
      <c r="B71" s="7"/>
      <c r="C71" s="10">
        <v>0.25</v>
      </c>
      <c r="D71" s="10">
        <f>C71</f>
        <v>0.25</v>
      </c>
      <c r="F71" s="7"/>
      <c r="G71" s="7"/>
      <c r="H71" s="7"/>
      <c r="I71" s="7"/>
    </row>
    <row r="72" spans="1:29" x14ac:dyDescent="0.2">
      <c r="A72" s="1" t="s">
        <v>176</v>
      </c>
      <c r="B72" s="7"/>
      <c r="C72" s="11">
        <f>C68-C71</f>
        <v>0.36</v>
      </c>
      <c r="D72" s="11">
        <f>D68-D71</f>
        <v>0.36</v>
      </c>
      <c r="F72" s="7"/>
      <c r="G72" s="7"/>
      <c r="H72" s="7"/>
      <c r="I72" s="7"/>
    </row>
    <row r="73" spans="1:29" x14ac:dyDescent="0.2">
      <c r="A73" s="7"/>
      <c r="B73" s="7"/>
      <c r="C73" s="7"/>
      <c r="D73" s="7"/>
      <c r="E73" s="7"/>
      <c r="F73" s="7"/>
      <c r="G73" s="7"/>
      <c r="H73" s="7"/>
      <c r="I73" s="7"/>
    </row>
    <row r="74" spans="1:29" x14ac:dyDescent="0.2">
      <c r="A74" s="7"/>
      <c r="B74" s="7"/>
      <c r="C74" s="7"/>
      <c r="D74" s="7"/>
      <c r="E74" s="7"/>
      <c r="F74" s="7"/>
      <c r="G74" s="7"/>
      <c r="H74" s="7"/>
      <c r="I74" s="7"/>
    </row>
    <row r="75" spans="1:29" x14ac:dyDescent="0.2">
      <c r="A75" s="2" t="s">
        <v>268</v>
      </c>
      <c r="B75" s="2"/>
      <c r="C75" s="12">
        <v>41487</v>
      </c>
      <c r="E75" s="2"/>
      <c r="F75" s="1"/>
      <c r="G75" s="1"/>
      <c r="H75" s="1"/>
      <c r="I75" s="1"/>
      <c r="J75" s="1"/>
      <c r="K75" s="1"/>
      <c r="L75" s="1"/>
      <c r="M75" s="1"/>
      <c r="N75" s="1"/>
      <c r="O75" s="1"/>
      <c r="P75" s="1"/>
      <c r="Q75" s="1"/>
      <c r="R75" s="1"/>
      <c r="S75" s="1"/>
      <c r="T75" s="1"/>
      <c r="U75" s="1"/>
      <c r="V75" s="1"/>
      <c r="W75" s="1"/>
      <c r="X75" s="1"/>
      <c r="Y75" s="1"/>
      <c r="Z75" s="1"/>
      <c r="AA75" s="1"/>
      <c r="AB75" s="1"/>
      <c r="AC75" s="1"/>
    </row>
    <row r="76" spans="1:29"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x14ac:dyDescent="0.2">
      <c r="A77" s="2" t="s">
        <v>90</v>
      </c>
      <c r="B77" s="2"/>
      <c r="C77" s="13">
        <v>1</v>
      </c>
      <c r="D77" s="13">
        <v>2</v>
      </c>
      <c r="E77" s="13">
        <v>3</v>
      </c>
      <c r="F77" s="13">
        <v>4</v>
      </c>
      <c r="G77" s="13">
        <v>5</v>
      </c>
      <c r="H77" s="13">
        <v>6</v>
      </c>
      <c r="I77" s="13">
        <v>7</v>
      </c>
      <c r="J77" s="13">
        <v>8</v>
      </c>
      <c r="K77" s="13">
        <v>9</v>
      </c>
      <c r="L77" s="13">
        <v>10</v>
      </c>
      <c r="M77" s="13">
        <v>11</v>
      </c>
      <c r="N77" s="13">
        <v>12</v>
      </c>
      <c r="O77" s="13">
        <v>13</v>
      </c>
      <c r="P77" s="13">
        <v>14</v>
      </c>
      <c r="Q77" s="13">
        <v>15</v>
      </c>
      <c r="R77" s="13">
        <v>16</v>
      </c>
      <c r="S77" s="13">
        <v>17</v>
      </c>
      <c r="T77" s="13">
        <v>18</v>
      </c>
      <c r="U77" s="13">
        <v>19</v>
      </c>
      <c r="V77" s="13">
        <v>20</v>
      </c>
      <c r="W77" s="14" t="s">
        <v>91</v>
      </c>
      <c r="X77" s="15"/>
      <c r="Y77" s="15"/>
      <c r="Z77" s="15"/>
      <c r="AA77" s="15"/>
      <c r="AB77" s="15"/>
    </row>
    <row r="78" spans="1:29" x14ac:dyDescent="0.2">
      <c r="A78" s="22" t="s">
        <v>99</v>
      </c>
      <c r="B78" s="23"/>
      <c r="C78" s="678">
        <v>2332</v>
      </c>
      <c r="D78" s="678">
        <v>2439</v>
      </c>
      <c r="E78" s="678">
        <v>2549</v>
      </c>
      <c r="F78" s="678">
        <v>2666</v>
      </c>
      <c r="G78" s="678">
        <v>2797</v>
      </c>
      <c r="H78" s="678">
        <v>2908</v>
      </c>
      <c r="I78" s="678">
        <v>3022</v>
      </c>
      <c r="J78" s="678">
        <v>3129</v>
      </c>
      <c r="K78" s="678">
        <v>3235</v>
      </c>
      <c r="L78" s="678">
        <v>3353</v>
      </c>
      <c r="M78" s="678">
        <v>3456</v>
      </c>
      <c r="N78" s="678"/>
      <c r="O78" s="678"/>
      <c r="P78" s="678"/>
      <c r="Q78" s="678"/>
      <c r="R78" s="678"/>
      <c r="S78" s="678"/>
      <c r="T78" s="678"/>
      <c r="U78" s="678"/>
      <c r="V78" s="678"/>
      <c r="W78" s="16">
        <f t="shared" ref="W78:W120" si="0">COUNTA(C78:V78)</f>
        <v>11</v>
      </c>
      <c r="X78" s="15"/>
      <c r="Y78" s="15"/>
      <c r="Z78" s="15"/>
      <c r="AA78" s="15"/>
      <c r="AB78" s="15"/>
    </row>
    <row r="79" spans="1:29" x14ac:dyDescent="0.2">
      <c r="A79" s="22" t="s">
        <v>100</v>
      </c>
      <c r="B79" s="23"/>
      <c r="C79" s="678">
        <v>2385</v>
      </c>
      <c r="D79" s="678">
        <v>2493</v>
      </c>
      <c r="E79" s="678">
        <v>2611</v>
      </c>
      <c r="F79" s="678">
        <v>2741</v>
      </c>
      <c r="G79" s="678">
        <v>2852</v>
      </c>
      <c r="H79" s="678">
        <v>2966</v>
      </c>
      <c r="I79" s="678">
        <v>3072</v>
      </c>
      <c r="J79" s="678">
        <v>3179</v>
      </c>
      <c r="K79" s="678">
        <v>3294</v>
      </c>
      <c r="L79" s="678">
        <v>3400</v>
      </c>
      <c r="M79" s="678">
        <v>3503</v>
      </c>
      <c r="N79" s="678">
        <v>3608</v>
      </c>
      <c r="O79" s="678">
        <v>3786</v>
      </c>
      <c r="P79" s="678"/>
      <c r="Q79" s="678"/>
      <c r="R79" s="678"/>
      <c r="S79" s="678"/>
      <c r="T79" s="678"/>
      <c r="U79" s="678"/>
      <c r="V79" s="678"/>
      <c r="W79" s="16">
        <f t="shared" si="0"/>
        <v>13</v>
      </c>
      <c r="X79" s="15"/>
      <c r="Y79" s="15"/>
      <c r="Z79" s="15"/>
      <c r="AA79" s="15"/>
      <c r="AB79" s="15"/>
    </row>
    <row r="80" spans="1:29" x14ac:dyDescent="0.2">
      <c r="A80" s="22" t="s">
        <v>101</v>
      </c>
      <c r="B80" s="23"/>
      <c r="C80" s="678">
        <v>2436</v>
      </c>
      <c r="D80" s="678">
        <v>2556</v>
      </c>
      <c r="E80" s="678">
        <v>2683</v>
      </c>
      <c r="F80" s="678">
        <v>2797</v>
      </c>
      <c r="G80" s="678">
        <v>2909</v>
      </c>
      <c r="H80" s="678">
        <v>3018</v>
      </c>
      <c r="I80" s="678">
        <v>3123</v>
      </c>
      <c r="J80" s="678">
        <v>3240</v>
      </c>
      <c r="K80" s="678">
        <v>3344</v>
      </c>
      <c r="L80" s="678">
        <v>3449</v>
      </c>
      <c r="M80" s="678">
        <v>3554</v>
      </c>
      <c r="N80" s="678">
        <v>3669</v>
      </c>
      <c r="O80" s="678">
        <v>3786</v>
      </c>
      <c r="P80" s="678">
        <v>3897</v>
      </c>
      <c r="Q80" s="678">
        <v>4006</v>
      </c>
      <c r="R80" s="678">
        <v>4114</v>
      </c>
      <c r="S80" s="678">
        <v>4220</v>
      </c>
      <c r="T80" s="678">
        <v>4275</v>
      </c>
      <c r="U80" s="678"/>
      <c r="V80" s="678"/>
      <c r="W80" s="16">
        <f t="shared" si="0"/>
        <v>18</v>
      </c>
      <c r="X80" s="15"/>
      <c r="Y80" s="15"/>
      <c r="Z80" s="15"/>
      <c r="AA80" s="15"/>
      <c r="AB80" s="15"/>
    </row>
    <row r="81" spans="1:28" x14ac:dyDescent="0.2">
      <c r="A81" s="22" t="s">
        <v>102</v>
      </c>
      <c r="B81" s="23"/>
      <c r="C81" s="678">
        <v>2556</v>
      </c>
      <c r="D81" s="678">
        <v>2683</v>
      </c>
      <c r="E81" s="678">
        <v>2909</v>
      </c>
      <c r="F81" s="678">
        <v>3123</v>
      </c>
      <c r="G81" s="678">
        <v>3240</v>
      </c>
      <c r="H81" s="678">
        <v>3344</v>
      </c>
      <c r="I81" s="678">
        <v>3449</v>
      </c>
      <c r="J81" s="678">
        <v>3554</v>
      </c>
      <c r="K81" s="678">
        <v>3669</v>
      </c>
      <c r="L81" s="678">
        <v>3786</v>
      </c>
      <c r="M81" s="678">
        <v>3897</v>
      </c>
      <c r="N81" s="678">
        <v>4006</v>
      </c>
      <c r="O81" s="678">
        <v>4114</v>
      </c>
      <c r="P81" s="678">
        <v>4220</v>
      </c>
      <c r="Q81" s="678">
        <v>4331</v>
      </c>
      <c r="R81" s="678">
        <v>4441</v>
      </c>
      <c r="S81" s="678">
        <v>4545</v>
      </c>
      <c r="T81" s="678">
        <v>4655</v>
      </c>
      <c r="U81" s="678">
        <v>4792</v>
      </c>
      <c r="V81" s="678">
        <v>4859</v>
      </c>
      <c r="W81" s="16">
        <f t="shared" si="0"/>
        <v>20</v>
      </c>
      <c r="X81" s="15"/>
      <c r="Y81" s="15"/>
      <c r="Z81" s="15"/>
      <c r="AA81" s="15"/>
      <c r="AB81" s="15"/>
    </row>
    <row r="82" spans="1:28" x14ac:dyDescent="0.2">
      <c r="A82" s="22" t="s">
        <v>103</v>
      </c>
      <c r="B82" s="23"/>
      <c r="C82" s="678">
        <v>2683</v>
      </c>
      <c r="D82" s="678">
        <v>2909</v>
      </c>
      <c r="E82" s="678">
        <v>3123</v>
      </c>
      <c r="F82" s="678">
        <v>3344</v>
      </c>
      <c r="G82" s="678">
        <v>3554</v>
      </c>
      <c r="H82" s="678">
        <v>2622</v>
      </c>
      <c r="I82" s="678">
        <v>3897</v>
      </c>
      <c r="J82" s="678">
        <v>4006</v>
      </c>
      <c r="K82" s="678">
        <v>4114</v>
      </c>
      <c r="L82" s="678">
        <v>4220</v>
      </c>
      <c r="M82" s="678">
        <v>4331</v>
      </c>
      <c r="N82" s="678">
        <v>4441</v>
      </c>
      <c r="O82" s="678">
        <v>4545</v>
      </c>
      <c r="P82" s="678">
        <v>4655</v>
      </c>
      <c r="Q82" s="678">
        <v>4792</v>
      </c>
      <c r="R82" s="678">
        <v>4927</v>
      </c>
      <c r="S82" s="678">
        <v>5064</v>
      </c>
      <c r="T82" s="678">
        <v>5201</v>
      </c>
      <c r="U82" s="678">
        <v>5266</v>
      </c>
      <c r="V82" s="678"/>
      <c r="W82" s="16">
        <f t="shared" si="0"/>
        <v>19</v>
      </c>
      <c r="X82" s="15"/>
      <c r="Y82" s="15"/>
      <c r="Z82" s="15"/>
      <c r="AA82" s="15"/>
      <c r="AB82" s="15"/>
    </row>
    <row r="83" spans="1:28" x14ac:dyDescent="0.2">
      <c r="A83" s="22" t="s">
        <v>92</v>
      </c>
      <c r="B83" s="23"/>
      <c r="C83" s="678">
        <v>2605</v>
      </c>
      <c r="D83" s="678">
        <v>2707</v>
      </c>
      <c r="E83" s="678">
        <v>2811</v>
      </c>
      <c r="F83" s="678">
        <v>2912</v>
      </c>
      <c r="G83" s="678">
        <v>3014</v>
      </c>
      <c r="H83" s="678">
        <v>3118</v>
      </c>
      <c r="I83" s="678">
        <v>3220</v>
      </c>
      <c r="J83" s="678">
        <v>3323</v>
      </c>
      <c r="K83" s="678">
        <v>3424</v>
      </c>
      <c r="L83" s="678">
        <v>3527</v>
      </c>
      <c r="M83" s="678">
        <v>3631</v>
      </c>
      <c r="N83" s="678">
        <v>3733</v>
      </c>
      <c r="O83" s="678">
        <v>3837</v>
      </c>
      <c r="P83" s="678"/>
      <c r="Q83" s="678"/>
      <c r="R83" s="678"/>
      <c r="S83" s="678"/>
      <c r="T83" s="678"/>
      <c r="U83" s="678"/>
      <c r="V83" s="678"/>
      <c r="W83" s="16">
        <f t="shared" si="0"/>
        <v>13</v>
      </c>
      <c r="X83" s="15"/>
      <c r="Y83" s="15"/>
      <c r="Z83" s="15"/>
      <c r="AA83" s="15"/>
      <c r="AB83" s="15"/>
    </row>
    <row r="84" spans="1:28" x14ac:dyDescent="0.2">
      <c r="A84" s="22" t="s">
        <v>93</v>
      </c>
      <c r="B84" s="23"/>
      <c r="C84" s="678">
        <v>2707</v>
      </c>
      <c r="D84" s="678">
        <v>2912</v>
      </c>
      <c r="E84" s="678">
        <v>3118</v>
      </c>
      <c r="F84" s="678">
        <v>3220</v>
      </c>
      <c r="G84" s="678">
        <v>3323</v>
      </c>
      <c r="H84" s="678">
        <v>3424</v>
      </c>
      <c r="I84" s="678">
        <v>3527</v>
      </c>
      <c r="J84" s="678">
        <v>3631</v>
      </c>
      <c r="K84" s="678">
        <v>3733</v>
      </c>
      <c r="L84" s="678">
        <v>3837</v>
      </c>
      <c r="M84" s="678">
        <v>3940</v>
      </c>
      <c r="N84" s="678">
        <v>4041</v>
      </c>
      <c r="O84" s="678">
        <v>4144</v>
      </c>
      <c r="P84" s="678">
        <v>4245</v>
      </c>
      <c r="Q84" s="678">
        <v>4350</v>
      </c>
      <c r="R84" s="678"/>
      <c r="S84" s="678"/>
      <c r="T84" s="678"/>
      <c r="U84" s="678"/>
      <c r="V84" s="678"/>
      <c r="W84" s="16">
        <f t="shared" si="0"/>
        <v>15</v>
      </c>
      <c r="X84" s="15"/>
      <c r="Y84" s="15"/>
      <c r="Z84" s="15"/>
      <c r="AA84" s="15"/>
      <c r="AB84" s="15"/>
    </row>
    <row r="85" spans="1:28" x14ac:dyDescent="0.2">
      <c r="A85" s="22" t="s">
        <v>94</v>
      </c>
      <c r="B85" s="23"/>
      <c r="C85" s="678">
        <v>2707</v>
      </c>
      <c r="D85" s="678">
        <v>2912</v>
      </c>
      <c r="E85" s="678">
        <v>3118</v>
      </c>
      <c r="F85" s="678">
        <v>3220</v>
      </c>
      <c r="G85" s="678">
        <v>3323</v>
      </c>
      <c r="H85" s="678">
        <v>3424</v>
      </c>
      <c r="I85" s="678">
        <v>3527</v>
      </c>
      <c r="J85" s="678">
        <v>3631</v>
      </c>
      <c r="K85" s="678">
        <v>3733</v>
      </c>
      <c r="L85" s="678">
        <v>3837</v>
      </c>
      <c r="M85" s="678">
        <v>3940</v>
      </c>
      <c r="N85" s="678">
        <v>4041</v>
      </c>
      <c r="O85" s="678">
        <v>4144</v>
      </c>
      <c r="P85" s="678">
        <v>4245</v>
      </c>
      <c r="Q85" s="678">
        <v>4350</v>
      </c>
      <c r="R85" s="678">
        <v>4452</v>
      </c>
      <c r="S85" s="678">
        <v>4555</v>
      </c>
      <c r="T85" s="678"/>
      <c r="U85" s="678"/>
      <c r="V85" s="678"/>
      <c r="W85" s="16">
        <f t="shared" si="0"/>
        <v>17</v>
      </c>
      <c r="X85" s="15"/>
      <c r="Y85" s="15"/>
      <c r="Z85" s="15"/>
      <c r="AA85" s="15"/>
      <c r="AB85" s="15"/>
    </row>
    <row r="86" spans="1:28" x14ac:dyDescent="0.2">
      <c r="A86" s="22" t="s">
        <v>95</v>
      </c>
      <c r="B86" s="23"/>
      <c r="C86" s="678">
        <v>2811</v>
      </c>
      <c r="D86" s="678">
        <v>3118</v>
      </c>
      <c r="E86" s="678">
        <v>3323</v>
      </c>
      <c r="F86" s="678">
        <v>3527</v>
      </c>
      <c r="G86" s="678">
        <v>3733</v>
      </c>
      <c r="H86" s="678">
        <v>3837</v>
      </c>
      <c r="I86" s="678">
        <v>3940</v>
      </c>
      <c r="J86" s="678">
        <v>4041</v>
      </c>
      <c r="K86" s="678">
        <v>4144</v>
      </c>
      <c r="L86" s="678">
        <v>4245</v>
      </c>
      <c r="M86" s="678">
        <v>4350</v>
      </c>
      <c r="N86" s="678">
        <v>4452</v>
      </c>
      <c r="O86" s="678">
        <v>4555</v>
      </c>
      <c r="P86" s="678">
        <v>4656</v>
      </c>
      <c r="Q86" s="678">
        <v>4759</v>
      </c>
      <c r="R86" s="678">
        <v>4863</v>
      </c>
      <c r="S86" s="678"/>
      <c r="T86" s="678"/>
      <c r="U86" s="678"/>
      <c r="V86" s="678"/>
      <c r="W86" s="16">
        <f t="shared" si="0"/>
        <v>16</v>
      </c>
      <c r="X86" s="15"/>
      <c r="Y86" s="15"/>
      <c r="Z86" s="15"/>
      <c r="AA86" s="15"/>
      <c r="AB86" s="15"/>
    </row>
    <row r="87" spans="1:28" x14ac:dyDescent="0.2">
      <c r="A87" s="22" t="s">
        <v>96</v>
      </c>
      <c r="B87" s="23"/>
      <c r="C87" s="678">
        <v>2811</v>
      </c>
      <c r="D87" s="678">
        <v>3118</v>
      </c>
      <c r="E87" s="678">
        <v>3323</v>
      </c>
      <c r="F87" s="678">
        <v>3527</v>
      </c>
      <c r="G87" s="678">
        <v>3733</v>
      </c>
      <c r="H87" s="678">
        <v>3837</v>
      </c>
      <c r="I87" s="678">
        <v>3940</v>
      </c>
      <c r="J87" s="678">
        <v>4041</v>
      </c>
      <c r="K87" s="678">
        <v>4144</v>
      </c>
      <c r="L87" s="678">
        <v>4245</v>
      </c>
      <c r="M87" s="678">
        <v>4350</v>
      </c>
      <c r="N87" s="678">
        <v>4452</v>
      </c>
      <c r="O87" s="678">
        <v>4555</v>
      </c>
      <c r="P87" s="678">
        <v>4656</v>
      </c>
      <c r="Q87" s="678">
        <v>4759</v>
      </c>
      <c r="R87" s="678">
        <v>4863</v>
      </c>
      <c r="S87" s="678">
        <v>4965</v>
      </c>
      <c r="T87" s="678">
        <v>5067</v>
      </c>
      <c r="U87" s="678"/>
      <c r="V87" s="678"/>
      <c r="W87" s="16">
        <f t="shared" si="0"/>
        <v>18</v>
      </c>
      <c r="X87" s="15"/>
      <c r="Y87" s="15"/>
      <c r="Z87" s="15"/>
      <c r="AA87" s="15"/>
      <c r="AB87" s="15"/>
    </row>
    <row r="88" spans="1:28" x14ac:dyDescent="0.2">
      <c r="A88" s="22" t="s">
        <v>97</v>
      </c>
      <c r="B88" s="23"/>
      <c r="C88" s="678">
        <v>2854</v>
      </c>
      <c r="D88" s="678">
        <v>3067</v>
      </c>
      <c r="E88" s="678">
        <v>3285</v>
      </c>
      <c r="F88" s="678">
        <v>3494</v>
      </c>
      <c r="G88" s="678">
        <v>3725</v>
      </c>
      <c r="H88" s="678">
        <v>3837</v>
      </c>
      <c r="I88" s="678">
        <v>3944</v>
      </c>
      <c r="J88" s="678">
        <v>4053</v>
      </c>
      <c r="K88" s="678">
        <v>4157</v>
      </c>
      <c r="L88" s="678">
        <v>4269</v>
      </c>
      <c r="M88" s="678">
        <v>4377</v>
      </c>
      <c r="N88" s="678">
        <v>4482</v>
      </c>
      <c r="O88" s="678">
        <v>4590</v>
      </c>
      <c r="P88" s="678">
        <v>4726</v>
      </c>
      <c r="Q88" s="678">
        <v>4862</v>
      </c>
      <c r="R88" s="678">
        <v>4997</v>
      </c>
      <c r="S88" s="678">
        <v>5133</v>
      </c>
      <c r="T88" s="678">
        <v>5198</v>
      </c>
      <c r="U88" s="678"/>
      <c r="V88" s="678"/>
      <c r="W88" s="16">
        <f t="shared" si="0"/>
        <v>18</v>
      </c>
      <c r="X88" s="15"/>
      <c r="Y88" s="15"/>
      <c r="Z88" s="15"/>
      <c r="AA88" s="15"/>
      <c r="AB88" s="15"/>
    </row>
    <row r="89" spans="1:28" x14ac:dyDescent="0.2">
      <c r="A89" s="22" t="s">
        <v>98</v>
      </c>
      <c r="B89" s="23"/>
      <c r="C89" s="678">
        <v>2961</v>
      </c>
      <c r="D89" s="678">
        <v>3182</v>
      </c>
      <c r="E89" s="678">
        <v>3390</v>
      </c>
      <c r="F89" s="678">
        <v>3609</v>
      </c>
      <c r="G89" s="678">
        <v>3837</v>
      </c>
      <c r="H89" s="678">
        <v>4053</v>
      </c>
      <c r="I89" s="678">
        <v>4269</v>
      </c>
      <c r="J89" s="678">
        <v>4377</v>
      </c>
      <c r="K89" s="678">
        <v>4482</v>
      </c>
      <c r="L89" s="678">
        <v>4590</v>
      </c>
      <c r="M89" s="678">
        <v>4726</v>
      </c>
      <c r="N89" s="678">
        <v>4862</v>
      </c>
      <c r="O89" s="678">
        <v>4997</v>
      </c>
      <c r="P89" s="678">
        <v>5133</v>
      </c>
      <c r="Q89" s="678">
        <v>5270</v>
      </c>
      <c r="R89" s="678">
        <v>5414</v>
      </c>
      <c r="S89" s="678">
        <v>5561</v>
      </c>
      <c r="T89" s="678">
        <v>5713</v>
      </c>
      <c r="U89" s="678"/>
      <c r="V89" s="678"/>
      <c r="W89" s="16">
        <f t="shared" si="0"/>
        <v>18</v>
      </c>
      <c r="X89" s="15"/>
      <c r="Y89" s="15"/>
      <c r="Z89" s="15"/>
      <c r="AA89" s="15"/>
      <c r="AB89" s="15"/>
    </row>
    <row r="90" spans="1:28" x14ac:dyDescent="0.2">
      <c r="A90" s="458" t="s">
        <v>145</v>
      </c>
      <c r="B90" s="25"/>
      <c r="C90" s="679">
        <f>+C105</f>
        <v>1477.808</v>
      </c>
      <c r="D90" s="679">
        <f t="shared" ref="D90:J92" si="1">+D105</f>
        <v>1477.808</v>
      </c>
      <c r="E90" s="679">
        <f t="shared" si="1"/>
        <v>1538</v>
      </c>
      <c r="F90" s="679">
        <f t="shared" si="1"/>
        <v>1566</v>
      </c>
      <c r="G90" s="679">
        <f t="shared" si="1"/>
        <v>1598</v>
      </c>
      <c r="H90" s="679">
        <f t="shared" si="1"/>
        <v>1631</v>
      </c>
      <c r="I90" s="679">
        <f t="shared" si="1"/>
        <v>1674</v>
      </c>
      <c r="J90" s="678"/>
      <c r="K90" s="678"/>
      <c r="L90" s="678"/>
      <c r="M90" s="678"/>
      <c r="N90" s="678"/>
      <c r="O90" s="678"/>
      <c r="P90" s="678"/>
      <c r="Q90" s="678"/>
      <c r="R90" s="678"/>
      <c r="S90" s="678"/>
      <c r="T90" s="678"/>
      <c r="U90" s="678"/>
      <c r="V90" s="678"/>
      <c r="W90" s="16">
        <f t="shared" si="0"/>
        <v>7</v>
      </c>
      <c r="X90" s="15"/>
      <c r="Y90" s="15"/>
      <c r="Z90" s="15"/>
      <c r="AA90" s="15"/>
      <c r="AB90" s="15"/>
    </row>
    <row r="91" spans="1:28" x14ac:dyDescent="0.2">
      <c r="A91" s="24" t="s">
        <v>146</v>
      </c>
      <c r="B91" s="25"/>
      <c r="C91" s="679">
        <f>+C106</f>
        <v>1477.808</v>
      </c>
      <c r="D91" s="679">
        <f t="shared" si="1"/>
        <v>1508</v>
      </c>
      <c r="E91" s="679">
        <f t="shared" si="1"/>
        <v>1566</v>
      </c>
      <c r="F91" s="679">
        <f t="shared" si="1"/>
        <v>1631</v>
      </c>
      <c r="G91" s="679">
        <f t="shared" si="1"/>
        <v>1674</v>
      </c>
      <c r="H91" s="679">
        <f t="shared" si="1"/>
        <v>1723</v>
      </c>
      <c r="I91" s="679">
        <f t="shared" si="1"/>
        <v>1783</v>
      </c>
      <c r="J91" s="679">
        <f t="shared" si="1"/>
        <v>1840</v>
      </c>
      <c r="K91" s="678"/>
      <c r="L91" s="678"/>
      <c r="M91" s="678"/>
      <c r="N91" s="678"/>
      <c r="O91" s="678"/>
      <c r="P91" s="678"/>
      <c r="Q91" s="678"/>
      <c r="R91" s="678"/>
      <c r="S91" s="678"/>
      <c r="T91" s="678"/>
      <c r="U91" s="678"/>
      <c r="V91" s="678"/>
      <c r="W91" s="16">
        <f t="shared" si="0"/>
        <v>8</v>
      </c>
      <c r="X91" s="15"/>
      <c r="Y91" s="15"/>
      <c r="Z91" s="15"/>
      <c r="AA91" s="15"/>
      <c r="AB91" s="15"/>
    </row>
    <row r="92" spans="1:28" x14ac:dyDescent="0.2">
      <c r="A92" s="24" t="s">
        <v>147</v>
      </c>
      <c r="B92" s="25"/>
      <c r="C92" s="679">
        <f>+C107</f>
        <v>1477.808</v>
      </c>
      <c r="D92" s="679">
        <f t="shared" si="1"/>
        <v>1566</v>
      </c>
      <c r="E92" s="679">
        <f t="shared" si="1"/>
        <v>1631</v>
      </c>
      <c r="F92" s="679">
        <f t="shared" si="1"/>
        <v>1723</v>
      </c>
      <c r="G92" s="679">
        <f t="shared" si="1"/>
        <v>1783</v>
      </c>
      <c r="H92" s="679">
        <f t="shared" si="1"/>
        <v>1840</v>
      </c>
      <c r="I92" s="679">
        <f t="shared" si="1"/>
        <v>1896</v>
      </c>
      <c r="J92" s="678"/>
      <c r="K92" s="678"/>
      <c r="L92" s="678"/>
      <c r="M92" s="678"/>
      <c r="N92" s="678"/>
      <c r="O92" s="678"/>
      <c r="P92" s="678"/>
      <c r="Q92" s="678"/>
      <c r="R92" s="678"/>
      <c r="S92" s="678"/>
      <c r="T92" s="678"/>
      <c r="U92" s="678"/>
      <c r="V92" s="678"/>
      <c r="W92" s="16">
        <f t="shared" si="0"/>
        <v>7</v>
      </c>
      <c r="X92" s="15"/>
      <c r="Y92" s="15"/>
      <c r="Z92" s="15"/>
      <c r="AA92" s="15"/>
      <c r="AB92" s="15"/>
    </row>
    <row r="93" spans="1:28" x14ac:dyDescent="0.2">
      <c r="A93" s="22" t="s">
        <v>104</v>
      </c>
      <c r="B93" s="23"/>
      <c r="C93" s="678">
        <v>2290</v>
      </c>
      <c r="D93" s="678">
        <v>2336</v>
      </c>
      <c r="E93" s="678">
        <v>2387</v>
      </c>
      <c r="F93" s="678">
        <v>2438</v>
      </c>
      <c r="G93" s="678">
        <v>2489</v>
      </c>
      <c r="H93" s="678">
        <v>2548</v>
      </c>
      <c r="I93" s="678">
        <v>2610</v>
      </c>
      <c r="J93" s="678">
        <v>2677</v>
      </c>
      <c r="K93" s="678">
        <v>2752</v>
      </c>
      <c r="L93" s="678">
        <v>2829</v>
      </c>
      <c r="M93" s="678">
        <v>2914</v>
      </c>
      <c r="N93" s="678">
        <v>3003</v>
      </c>
      <c r="O93" s="678">
        <v>3099</v>
      </c>
      <c r="P93" s="678">
        <v>3198</v>
      </c>
      <c r="Q93" s="678">
        <v>3274</v>
      </c>
      <c r="R93" s="678"/>
      <c r="S93" s="678"/>
      <c r="T93" s="678"/>
      <c r="U93" s="678"/>
      <c r="V93" s="678"/>
      <c r="W93" s="16">
        <f t="shared" si="0"/>
        <v>15</v>
      </c>
      <c r="X93" s="15"/>
      <c r="Y93" s="15"/>
      <c r="Z93" s="15"/>
      <c r="AA93" s="15"/>
      <c r="AB93" s="15"/>
    </row>
    <row r="94" spans="1:28" x14ac:dyDescent="0.2">
      <c r="A94" s="22" t="s">
        <v>105</v>
      </c>
      <c r="B94" s="23"/>
      <c r="C94" s="678">
        <v>2374</v>
      </c>
      <c r="D94" s="678">
        <v>2431</v>
      </c>
      <c r="E94" s="678">
        <v>2496</v>
      </c>
      <c r="F94" s="678">
        <v>2559</v>
      </c>
      <c r="G94" s="678">
        <v>2622</v>
      </c>
      <c r="H94" s="678">
        <v>2694</v>
      </c>
      <c r="I94" s="678">
        <v>2771</v>
      </c>
      <c r="J94" s="678">
        <v>2855</v>
      </c>
      <c r="K94" s="678">
        <v>2953</v>
      </c>
      <c r="L94" s="678">
        <v>3052</v>
      </c>
      <c r="M94" s="678">
        <v>3159</v>
      </c>
      <c r="N94" s="678">
        <v>3269</v>
      </c>
      <c r="O94" s="678">
        <v>3384</v>
      </c>
      <c r="P94" s="678">
        <v>3504</v>
      </c>
      <c r="Q94" s="678">
        <v>3597</v>
      </c>
      <c r="R94" s="678"/>
      <c r="S94" s="678"/>
      <c r="T94" s="678"/>
      <c r="U94" s="678"/>
      <c r="V94" s="678"/>
      <c r="W94" s="16">
        <f t="shared" si="0"/>
        <v>15</v>
      </c>
      <c r="X94" s="15"/>
      <c r="Y94" s="15"/>
      <c r="Z94" s="15"/>
      <c r="AA94" s="15"/>
      <c r="AB94" s="15"/>
    </row>
    <row r="95" spans="1:28" x14ac:dyDescent="0.2">
      <c r="A95" s="22" t="s">
        <v>106</v>
      </c>
      <c r="B95" s="23"/>
      <c r="C95" s="678">
        <v>2387</v>
      </c>
      <c r="D95" s="678">
        <v>2503</v>
      </c>
      <c r="E95" s="678">
        <v>2621</v>
      </c>
      <c r="F95" s="678">
        <v>2741</v>
      </c>
      <c r="G95" s="678">
        <v>2859</v>
      </c>
      <c r="H95" s="678">
        <v>2981</v>
      </c>
      <c r="I95" s="678">
        <v>3106</v>
      </c>
      <c r="J95" s="678">
        <v>3234</v>
      </c>
      <c r="K95" s="678">
        <v>3368</v>
      </c>
      <c r="L95" s="678">
        <v>3505</v>
      </c>
      <c r="M95" s="678">
        <v>3642</v>
      </c>
      <c r="N95" s="678">
        <v>3786</v>
      </c>
      <c r="O95" s="678">
        <v>3933</v>
      </c>
      <c r="P95" s="678">
        <v>4082</v>
      </c>
      <c r="Q95" s="678">
        <v>4197</v>
      </c>
      <c r="R95" s="678"/>
      <c r="S95" s="678"/>
      <c r="T95" s="678"/>
      <c r="U95" s="678"/>
      <c r="V95" s="678"/>
      <c r="W95" s="16">
        <f t="shared" si="0"/>
        <v>15</v>
      </c>
      <c r="X95" s="15"/>
      <c r="Y95" s="15"/>
      <c r="Z95" s="15"/>
      <c r="AA95" s="15"/>
      <c r="AB95" s="15"/>
    </row>
    <row r="96" spans="1:28" x14ac:dyDescent="0.2">
      <c r="A96" s="22" t="s">
        <v>107</v>
      </c>
      <c r="B96" s="23"/>
      <c r="C96" s="678">
        <v>2396</v>
      </c>
      <c r="D96" s="678">
        <v>2540</v>
      </c>
      <c r="E96" s="678">
        <v>2688</v>
      </c>
      <c r="F96" s="678">
        <v>2838</v>
      </c>
      <c r="G96" s="678">
        <v>2988</v>
      </c>
      <c r="H96" s="678">
        <v>3145</v>
      </c>
      <c r="I96" s="678">
        <v>3308</v>
      </c>
      <c r="J96" s="678">
        <v>3473</v>
      </c>
      <c r="K96" s="678">
        <v>3647</v>
      </c>
      <c r="L96" s="678">
        <v>3828</v>
      </c>
      <c r="M96" s="678">
        <v>4014</v>
      </c>
      <c r="N96" s="678">
        <v>4206</v>
      </c>
      <c r="O96" s="678">
        <v>4405</v>
      </c>
      <c r="P96" s="678">
        <v>4609</v>
      </c>
      <c r="Q96" s="678">
        <v>4775</v>
      </c>
      <c r="R96" s="678"/>
      <c r="S96" s="678"/>
      <c r="T96" s="678"/>
      <c r="U96" s="678"/>
      <c r="V96" s="678"/>
      <c r="W96" s="16">
        <f t="shared" si="0"/>
        <v>15</v>
      </c>
      <c r="X96" s="15"/>
      <c r="Y96" s="15"/>
      <c r="Z96" s="15"/>
      <c r="AA96" s="15"/>
      <c r="AB96" s="15"/>
    </row>
    <row r="97" spans="1:28" x14ac:dyDescent="0.2">
      <c r="A97" s="22" t="s">
        <v>108</v>
      </c>
      <c r="B97" s="23"/>
      <c r="C97" s="678">
        <v>3083</v>
      </c>
      <c r="D97" s="678">
        <v>3200</v>
      </c>
      <c r="E97" s="678">
        <v>3304</v>
      </c>
      <c r="F97" s="678">
        <v>3514</v>
      </c>
      <c r="G97" s="678">
        <v>3746</v>
      </c>
      <c r="H97" s="678">
        <v>3892</v>
      </c>
      <c r="I97" s="678">
        <v>4040</v>
      </c>
      <c r="J97" s="678">
        <v>4188</v>
      </c>
      <c r="K97" s="678">
        <v>4336</v>
      </c>
      <c r="L97" s="678">
        <v>4483</v>
      </c>
      <c r="M97" s="678">
        <v>4632</v>
      </c>
      <c r="N97" s="678">
        <v>4781</v>
      </c>
      <c r="O97" s="678">
        <v>4930</v>
      </c>
      <c r="P97" s="678">
        <v>5077</v>
      </c>
      <c r="Q97" s="678">
        <v>5178</v>
      </c>
      <c r="R97" s="678"/>
      <c r="S97" s="678"/>
      <c r="T97" s="678"/>
      <c r="U97" s="678"/>
      <c r="V97" s="678"/>
      <c r="W97" s="16">
        <f t="shared" si="0"/>
        <v>15</v>
      </c>
      <c r="X97" s="15"/>
      <c r="Y97" s="15"/>
      <c r="Z97" s="15"/>
      <c r="AA97" s="15"/>
      <c r="AB97" s="15"/>
    </row>
    <row r="98" spans="1:28" x14ac:dyDescent="0.2">
      <c r="A98" s="24" t="s">
        <v>109</v>
      </c>
      <c r="B98" s="25"/>
      <c r="C98" s="679">
        <f>+C93/2</f>
        <v>1145</v>
      </c>
      <c r="D98" s="680"/>
      <c r="E98" s="680"/>
      <c r="F98" s="680"/>
      <c r="G98" s="680"/>
      <c r="H98" s="680"/>
      <c r="I98" s="680"/>
      <c r="J98" s="680"/>
      <c r="K98" s="680"/>
      <c r="L98" s="680"/>
      <c r="M98" s="680"/>
      <c r="N98" s="680"/>
      <c r="O98" s="680"/>
      <c r="P98" s="680"/>
      <c r="Q98" s="680"/>
      <c r="R98" s="678"/>
      <c r="S98" s="680"/>
      <c r="T98" s="680"/>
      <c r="U98" s="680"/>
      <c r="V98" s="680"/>
      <c r="W98" s="16">
        <f t="shared" si="0"/>
        <v>1</v>
      </c>
      <c r="X98" s="15"/>
      <c r="Y98" s="15"/>
      <c r="Z98" s="15"/>
      <c r="AA98" s="15"/>
      <c r="AB98" s="15"/>
    </row>
    <row r="99" spans="1:28" x14ac:dyDescent="0.2">
      <c r="A99" s="24" t="s">
        <v>110</v>
      </c>
      <c r="B99" s="25"/>
      <c r="C99" s="679">
        <f>+C94/2</f>
        <v>1187</v>
      </c>
      <c r="D99" s="680"/>
      <c r="E99" s="680"/>
      <c r="F99" s="680"/>
      <c r="G99" s="680"/>
      <c r="H99" s="680"/>
      <c r="I99" s="680"/>
      <c r="J99" s="680"/>
      <c r="K99" s="680"/>
      <c r="L99" s="680"/>
      <c r="M99" s="680"/>
      <c r="N99" s="680"/>
      <c r="O99" s="680"/>
      <c r="P99" s="680"/>
      <c r="Q99" s="680"/>
      <c r="R99" s="678"/>
      <c r="S99" s="680"/>
      <c r="T99" s="680"/>
      <c r="U99" s="680"/>
      <c r="V99" s="680"/>
      <c r="W99" s="16">
        <f t="shared" si="0"/>
        <v>1</v>
      </c>
      <c r="X99" s="15"/>
      <c r="Y99" s="15"/>
      <c r="Z99" s="15"/>
      <c r="AA99" s="15"/>
      <c r="AB99" s="15"/>
    </row>
    <row r="100" spans="1:28" x14ac:dyDescent="0.2">
      <c r="A100" s="26" t="s">
        <v>144</v>
      </c>
      <c r="B100" s="27"/>
      <c r="C100" s="678">
        <v>2605</v>
      </c>
      <c r="D100" s="678">
        <v>2707</v>
      </c>
      <c r="E100" s="678">
        <v>2811</v>
      </c>
      <c r="F100" s="678">
        <v>2912</v>
      </c>
      <c r="G100" s="678">
        <v>3014</v>
      </c>
      <c r="H100" s="678">
        <v>3118</v>
      </c>
      <c r="I100" s="678">
        <v>3220</v>
      </c>
      <c r="J100" s="678">
        <v>3323</v>
      </c>
      <c r="K100" s="678">
        <v>3424</v>
      </c>
      <c r="L100" s="678">
        <v>3527</v>
      </c>
      <c r="M100" s="678">
        <v>3631</v>
      </c>
      <c r="N100" s="678"/>
      <c r="O100" s="678"/>
      <c r="P100" s="678"/>
      <c r="Q100" s="678"/>
      <c r="R100" s="678"/>
      <c r="S100" s="678"/>
      <c r="T100" s="678"/>
      <c r="U100" s="678"/>
      <c r="V100" s="678"/>
      <c r="W100" s="16">
        <f t="shared" si="0"/>
        <v>11</v>
      </c>
      <c r="X100" s="15"/>
      <c r="Y100" s="15"/>
      <c r="Z100" s="15"/>
      <c r="AA100" s="15"/>
      <c r="AB100" s="15"/>
    </row>
    <row r="101" spans="1:28" x14ac:dyDescent="0.2">
      <c r="A101" s="26" t="s">
        <v>112</v>
      </c>
      <c r="B101" s="27"/>
      <c r="C101" s="678">
        <v>2707</v>
      </c>
      <c r="D101" s="678">
        <v>2912</v>
      </c>
      <c r="E101" s="678">
        <v>3118</v>
      </c>
      <c r="F101" s="678">
        <v>3220</v>
      </c>
      <c r="G101" s="678">
        <v>3323</v>
      </c>
      <c r="H101" s="678">
        <v>3424</v>
      </c>
      <c r="I101" s="678">
        <v>3527</v>
      </c>
      <c r="J101" s="678">
        <v>3631</v>
      </c>
      <c r="K101" s="678">
        <v>3733</v>
      </c>
      <c r="L101" s="678">
        <v>3837</v>
      </c>
      <c r="M101" s="678"/>
      <c r="N101" s="678"/>
      <c r="O101" s="678"/>
      <c r="P101" s="678"/>
      <c r="Q101" s="678"/>
      <c r="R101" s="678"/>
      <c r="S101" s="678"/>
      <c r="T101" s="678"/>
      <c r="U101" s="678"/>
      <c r="V101" s="678"/>
      <c r="W101" s="16">
        <f t="shared" si="0"/>
        <v>10</v>
      </c>
      <c r="X101" s="15"/>
      <c r="Y101" s="15"/>
      <c r="Z101" s="15"/>
      <c r="AA101" s="15"/>
      <c r="AB101" s="15"/>
    </row>
    <row r="102" spans="1:28" x14ac:dyDescent="0.2">
      <c r="A102" s="26" t="s">
        <v>113</v>
      </c>
      <c r="B102" s="27"/>
      <c r="C102" s="678">
        <v>2707</v>
      </c>
      <c r="D102" s="678">
        <v>2912</v>
      </c>
      <c r="E102" s="678">
        <v>3118</v>
      </c>
      <c r="F102" s="678">
        <v>3220</v>
      </c>
      <c r="G102" s="678">
        <v>3323</v>
      </c>
      <c r="H102" s="678">
        <v>3424</v>
      </c>
      <c r="I102" s="678">
        <v>3527</v>
      </c>
      <c r="J102" s="678">
        <v>3631</v>
      </c>
      <c r="K102" s="678">
        <v>3733</v>
      </c>
      <c r="L102" s="678">
        <v>3837</v>
      </c>
      <c r="M102" s="678">
        <v>3940</v>
      </c>
      <c r="N102" s="678"/>
      <c r="O102" s="678"/>
      <c r="P102" s="678"/>
      <c r="Q102" s="678"/>
      <c r="R102" s="678"/>
      <c r="S102" s="678"/>
      <c r="T102" s="678"/>
      <c r="U102" s="678"/>
      <c r="V102" s="678"/>
      <c r="W102" s="16">
        <f t="shared" si="0"/>
        <v>11</v>
      </c>
      <c r="X102" s="15"/>
      <c r="Y102" s="15"/>
      <c r="Z102" s="15"/>
      <c r="AA102" s="15"/>
      <c r="AB102" s="15"/>
    </row>
    <row r="103" spans="1:28" x14ac:dyDescent="0.2">
      <c r="A103" s="26" t="s">
        <v>269</v>
      </c>
      <c r="B103" s="27"/>
      <c r="C103" s="678">
        <v>2811</v>
      </c>
      <c r="D103" s="678">
        <v>3118</v>
      </c>
      <c r="E103" s="678">
        <v>3323</v>
      </c>
      <c r="F103" s="678">
        <v>3527</v>
      </c>
      <c r="G103" s="678">
        <v>3733</v>
      </c>
      <c r="H103" s="678">
        <v>3837</v>
      </c>
      <c r="I103" s="678">
        <v>3940</v>
      </c>
      <c r="J103" s="678">
        <v>4041</v>
      </c>
      <c r="K103" s="678">
        <v>4144</v>
      </c>
      <c r="L103" s="678">
        <v>4245</v>
      </c>
      <c r="M103" s="678">
        <v>4350</v>
      </c>
      <c r="N103" s="678">
        <v>4452</v>
      </c>
      <c r="O103" s="678">
        <v>4555</v>
      </c>
      <c r="P103" s="678"/>
      <c r="Q103" s="678"/>
      <c r="R103" s="678"/>
      <c r="S103" s="678"/>
      <c r="T103" s="678"/>
      <c r="U103" s="678"/>
      <c r="V103" s="678"/>
      <c r="W103" s="16">
        <f t="shared" si="0"/>
        <v>13</v>
      </c>
      <c r="X103" s="15"/>
      <c r="Y103" s="15"/>
      <c r="Z103" s="15"/>
      <c r="AA103" s="15"/>
      <c r="AB103" s="15"/>
    </row>
    <row r="104" spans="1:28" x14ac:dyDescent="0.2">
      <c r="A104" s="26" t="s">
        <v>114</v>
      </c>
      <c r="B104" s="27"/>
      <c r="C104" s="678">
        <v>2811</v>
      </c>
      <c r="D104" s="678">
        <v>3118</v>
      </c>
      <c r="E104" s="678">
        <v>3323</v>
      </c>
      <c r="F104" s="678">
        <v>3527</v>
      </c>
      <c r="G104" s="678">
        <v>3733</v>
      </c>
      <c r="H104" s="678">
        <v>3837</v>
      </c>
      <c r="I104" s="678">
        <v>3940</v>
      </c>
      <c r="J104" s="678">
        <v>4041</v>
      </c>
      <c r="K104" s="678">
        <v>4144</v>
      </c>
      <c r="L104" s="678">
        <v>4245</v>
      </c>
      <c r="M104" s="678">
        <v>4350</v>
      </c>
      <c r="N104" s="678">
        <v>4452</v>
      </c>
      <c r="O104" s="678">
        <v>4555</v>
      </c>
      <c r="P104" s="678">
        <v>4656</v>
      </c>
      <c r="Q104" s="678">
        <v>4759</v>
      </c>
      <c r="R104" s="678"/>
      <c r="S104" s="678"/>
      <c r="T104" s="678"/>
      <c r="U104" s="678"/>
      <c r="V104" s="678"/>
      <c r="W104" s="16">
        <f t="shared" si="0"/>
        <v>15</v>
      </c>
      <c r="X104" s="15"/>
      <c r="Y104" s="15"/>
      <c r="Z104" s="15"/>
      <c r="AA104" s="15"/>
      <c r="AB104" s="15"/>
    </row>
    <row r="105" spans="1:28" x14ac:dyDescent="0.2">
      <c r="A105" s="24">
        <v>1</v>
      </c>
      <c r="B105" s="25"/>
      <c r="C105" s="678">
        <v>1477.808</v>
      </c>
      <c r="D105" s="678">
        <v>1477.808</v>
      </c>
      <c r="E105" s="678">
        <v>1538</v>
      </c>
      <c r="F105" s="678">
        <v>1566</v>
      </c>
      <c r="G105" s="678">
        <v>1598</v>
      </c>
      <c r="H105" s="678">
        <v>1631</v>
      </c>
      <c r="I105" s="678">
        <v>1674</v>
      </c>
      <c r="J105" s="678"/>
      <c r="K105" s="678"/>
      <c r="L105" s="678"/>
      <c r="M105" s="678"/>
      <c r="N105" s="678"/>
      <c r="O105" s="678"/>
      <c r="P105" s="678"/>
      <c r="Q105" s="678"/>
      <c r="R105" s="678"/>
      <c r="S105" s="678"/>
      <c r="T105" s="678"/>
      <c r="U105" s="678"/>
      <c r="V105" s="678"/>
      <c r="W105" s="16">
        <f t="shared" si="0"/>
        <v>7</v>
      </c>
      <c r="X105" s="15"/>
      <c r="Y105" s="15"/>
      <c r="Z105" s="15"/>
      <c r="AA105" s="15"/>
      <c r="AB105" s="15"/>
    </row>
    <row r="106" spans="1:28" x14ac:dyDescent="0.2">
      <c r="A106" s="24">
        <v>2</v>
      </c>
      <c r="B106" s="25"/>
      <c r="C106" s="678">
        <v>1477.808</v>
      </c>
      <c r="D106" s="678">
        <v>1508</v>
      </c>
      <c r="E106" s="678">
        <v>1566</v>
      </c>
      <c r="F106" s="678">
        <v>1631</v>
      </c>
      <c r="G106" s="678">
        <v>1674</v>
      </c>
      <c r="H106" s="678">
        <v>1723</v>
      </c>
      <c r="I106" s="678">
        <v>1783</v>
      </c>
      <c r="J106" s="678">
        <v>1840</v>
      </c>
      <c r="K106" s="678"/>
      <c r="L106" s="678"/>
      <c r="M106" s="678"/>
      <c r="N106" s="678"/>
      <c r="O106" s="678"/>
      <c r="P106" s="678"/>
      <c r="Q106" s="678"/>
      <c r="R106" s="678"/>
      <c r="S106" s="678"/>
      <c r="T106" s="678"/>
      <c r="U106" s="678"/>
      <c r="V106" s="678"/>
      <c r="W106" s="16">
        <f t="shared" si="0"/>
        <v>8</v>
      </c>
      <c r="X106" s="15"/>
      <c r="Y106" s="15"/>
      <c r="Z106" s="15"/>
      <c r="AA106" s="15"/>
      <c r="AB106" s="15"/>
    </row>
    <row r="107" spans="1:28" x14ac:dyDescent="0.2">
      <c r="A107" s="24">
        <v>3</v>
      </c>
      <c r="B107" s="25"/>
      <c r="C107" s="678">
        <v>1477.808</v>
      </c>
      <c r="D107" s="678">
        <v>1566</v>
      </c>
      <c r="E107" s="678">
        <v>1631</v>
      </c>
      <c r="F107" s="678">
        <v>1723</v>
      </c>
      <c r="G107" s="678">
        <v>1783</v>
      </c>
      <c r="H107" s="678">
        <v>1840</v>
      </c>
      <c r="I107" s="678">
        <v>1896</v>
      </c>
      <c r="J107" s="678">
        <v>1950</v>
      </c>
      <c r="K107" s="678">
        <v>2004</v>
      </c>
      <c r="L107" s="678"/>
      <c r="M107" s="678"/>
      <c r="N107" s="678"/>
      <c r="O107" s="678"/>
      <c r="P107" s="678"/>
      <c r="Q107" s="678"/>
      <c r="R107" s="678"/>
      <c r="S107" s="678"/>
      <c r="T107" s="678"/>
      <c r="U107" s="678"/>
      <c r="V107" s="678"/>
      <c r="W107" s="16">
        <f t="shared" si="0"/>
        <v>9</v>
      </c>
      <c r="X107" s="15"/>
      <c r="Y107" s="15"/>
      <c r="Z107" s="15"/>
      <c r="AA107" s="15"/>
      <c r="AB107" s="15"/>
    </row>
    <row r="108" spans="1:28" x14ac:dyDescent="0.2">
      <c r="A108" s="24">
        <v>4</v>
      </c>
      <c r="B108" s="25"/>
      <c r="C108" s="678">
        <v>1477.808</v>
      </c>
      <c r="D108" s="678">
        <v>1538</v>
      </c>
      <c r="E108" s="678">
        <v>1598</v>
      </c>
      <c r="F108" s="678">
        <v>1674</v>
      </c>
      <c r="G108" s="678">
        <v>1783</v>
      </c>
      <c r="H108" s="678">
        <v>1840</v>
      </c>
      <c r="I108" s="678">
        <v>1896</v>
      </c>
      <c r="J108" s="678">
        <v>1950</v>
      </c>
      <c r="K108" s="678">
        <v>2004</v>
      </c>
      <c r="L108" s="678">
        <v>2056</v>
      </c>
      <c r="M108" s="678">
        <v>2108</v>
      </c>
      <c r="N108" s="678"/>
      <c r="O108" s="678"/>
      <c r="P108" s="678"/>
      <c r="Q108" s="678"/>
      <c r="R108" s="678"/>
      <c r="S108" s="678"/>
      <c r="T108" s="678"/>
      <c r="U108" s="678"/>
      <c r="V108" s="678"/>
      <c r="W108" s="16">
        <f t="shared" si="0"/>
        <v>11</v>
      </c>
      <c r="X108" s="15"/>
      <c r="Y108" s="15"/>
      <c r="Z108" s="15"/>
      <c r="AA108" s="15"/>
      <c r="AB108" s="15"/>
    </row>
    <row r="109" spans="1:28" x14ac:dyDescent="0.2">
      <c r="A109" s="24">
        <v>5</v>
      </c>
      <c r="B109" s="25"/>
      <c r="C109" s="678">
        <v>1508</v>
      </c>
      <c r="D109" s="678">
        <v>1538</v>
      </c>
      <c r="E109" s="678">
        <v>1631</v>
      </c>
      <c r="F109" s="678">
        <v>1723</v>
      </c>
      <c r="G109" s="678">
        <v>1840</v>
      </c>
      <c r="H109" s="678">
        <v>1896</v>
      </c>
      <c r="I109" s="678">
        <v>1950</v>
      </c>
      <c r="J109" s="678">
        <v>2004</v>
      </c>
      <c r="K109" s="678">
        <v>2056</v>
      </c>
      <c r="L109" s="678">
        <v>2108</v>
      </c>
      <c r="M109" s="678">
        <v>2158</v>
      </c>
      <c r="N109" s="678">
        <v>2216</v>
      </c>
      <c r="O109" s="678"/>
      <c r="P109" s="678"/>
      <c r="Q109" s="678"/>
      <c r="R109" s="678"/>
      <c r="S109" s="678"/>
      <c r="T109" s="678"/>
      <c r="U109" s="678"/>
      <c r="V109" s="678"/>
      <c r="W109" s="16">
        <f t="shared" si="0"/>
        <v>12</v>
      </c>
      <c r="X109" s="15"/>
      <c r="Y109" s="15"/>
      <c r="Z109" s="15"/>
      <c r="AA109" s="15"/>
      <c r="AB109" s="15"/>
    </row>
    <row r="110" spans="1:28" x14ac:dyDescent="0.2">
      <c r="A110" s="24">
        <v>6</v>
      </c>
      <c r="B110" s="25"/>
      <c r="C110" s="678">
        <v>1566</v>
      </c>
      <c r="D110" s="678">
        <v>1631</v>
      </c>
      <c r="E110" s="678">
        <v>1840</v>
      </c>
      <c r="F110" s="678">
        <v>1950</v>
      </c>
      <c r="G110" s="678">
        <v>2004</v>
      </c>
      <c r="H110" s="678">
        <v>2056</v>
      </c>
      <c r="I110" s="678">
        <v>2108</v>
      </c>
      <c r="J110" s="678">
        <v>2158</v>
      </c>
      <c r="K110" s="678">
        <v>2216</v>
      </c>
      <c r="L110" s="678">
        <v>2270</v>
      </c>
      <c r="M110" s="678">
        <v>2322</v>
      </c>
      <c r="N110" s="678"/>
      <c r="O110" s="678"/>
      <c r="P110" s="678"/>
      <c r="Q110" s="678"/>
      <c r="R110" s="678"/>
      <c r="S110" s="678"/>
      <c r="T110" s="678"/>
      <c r="U110" s="678"/>
      <c r="V110" s="678"/>
      <c r="W110" s="16">
        <f t="shared" si="0"/>
        <v>11</v>
      </c>
      <c r="X110" s="15"/>
      <c r="Y110" s="15"/>
      <c r="Z110" s="15"/>
      <c r="AA110" s="15"/>
      <c r="AB110" s="15"/>
    </row>
    <row r="111" spans="1:28" x14ac:dyDescent="0.2">
      <c r="A111" s="24">
        <v>7</v>
      </c>
      <c r="B111" s="25"/>
      <c r="C111" s="678">
        <v>1674</v>
      </c>
      <c r="D111" s="678">
        <v>1723</v>
      </c>
      <c r="E111" s="678">
        <v>1840</v>
      </c>
      <c r="F111" s="678">
        <v>2056</v>
      </c>
      <c r="G111" s="678">
        <v>2158</v>
      </c>
      <c r="H111" s="678">
        <v>2216</v>
      </c>
      <c r="I111" s="678">
        <v>2270</v>
      </c>
      <c r="J111" s="678">
        <v>2322</v>
      </c>
      <c r="K111" s="678">
        <v>2376</v>
      </c>
      <c r="L111" s="678">
        <v>2434</v>
      </c>
      <c r="M111" s="678">
        <v>2494</v>
      </c>
      <c r="N111" s="678">
        <v>2560</v>
      </c>
      <c r="O111" s="678"/>
      <c r="P111" s="678"/>
      <c r="Q111" s="678"/>
      <c r="R111" s="678"/>
      <c r="S111" s="678"/>
      <c r="T111" s="678"/>
      <c r="U111" s="678"/>
      <c r="V111" s="678"/>
      <c r="W111" s="16">
        <f t="shared" si="0"/>
        <v>12</v>
      </c>
      <c r="X111" s="15"/>
      <c r="Y111" s="15"/>
      <c r="Z111" s="15"/>
      <c r="AA111" s="15"/>
      <c r="AB111" s="15"/>
    </row>
    <row r="112" spans="1:28" x14ac:dyDescent="0.2">
      <c r="A112" s="24">
        <v>8</v>
      </c>
      <c r="B112" s="25"/>
      <c r="C112" s="678">
        <v>1896</v>
      </c>
      <c r="D112" s="678">
        <v>1950</v>
      </c>
      <c r="E112" s="678">
        <v>2056</v>
      </c>
      <c r="F112" s="678">
        <v>2270</v>
      </c>
      <c r="G112" s="678">
        <v>2376</v>
      </c>
      <c r="H112" s="678">
        <v>2494</v>
      </c>
      <c r="I112" s="678">
        <v>2560</v>
      </c>
      <c r="J112" s="678">
        <v>2621</v>
      </c>
      <c r="K112" s="678">
        <v>2675</v>
      </c>
      <c r="L112" s="678">
        <v>2733</v>
      </c>
      <c r="M112" s="678">
        <v>2791</v>
      </c>
      <c r="N112" s="678">
        <v>2845</v>
      </c>
      <c r="O112" s="678">
        <v>2896</v>
      </c>
      <c r="P112" s="678"/>
      <c r="Q112" s="678"/>
      <c r="R112" s="678"/>
      <c r="S112" s="678"/>
      <c r="T112" s="678"/>
      <c r="U112" s="678"/>
      <c r="V112" s="678"/>
      <c r="W112" s="16">
        <f t="shared" si="0"/>
        <v>13</v>
      </c>
      <c r="X112" s="15"/>
      <c r="Y112" s="15"/>
      <c r="Z112" s="15"/>
      <c r="AA112" s="15"/>
      <c r="AB112" s="15"/>
    </row>
    <row r="113" spans="1:28" x14ac:dyDescent="0.2">
      <c r="A113" s="24">
        <v>9</v>
      </c>
      <c r="B113" s="25"/>
      <c r="C113" s="678">
        <f>2158+22</f>
        <v>2180</v>
      </c>
      <c r="D113" s="678">
        <f>2270+22</f>
        <v>2292</v>
      </c>
      <c r="E113" s="678">
        <f>2494+24</f>
        <v>2518</v>
      </c>
      <c r="F113" s="678">
        <f>2621+26</f>
        <v>2647</v>
      </c>
      <c r="G113" s="678">
        <f>2733+26</f>
        <v>2759</v>
      </c>
      <c r="H113" s="678">
        <f>2845+28</f>
        <v>2873</v>
      </c>
      <c r="I113" s="678">
        <f>2952+28</f>
        <v>2980</v>
      </c>
      <c r="J113" s="678">
        <f>3057+30</f>
        <v>3087</v>
      </c>
      <c r="K113" s="678">
        <f>3172+32</f>
        <v>3204</v>
      </c>
      <c r="L113" s="678">
        <f>3274+32</f>
        <v>3306</v>
      </c>
      <c r="M113" s="678"/>
      <c r="N113" s="678"/>
      <c r="O113" s="678"/>
      <c r="P113" s="678"/>
      <c r="Q113" s="678"/>
      <c r="R113" s="678"/>
      <c r="S113" s="678"/>
      <c r="T113" s="678"/>
      <c r="U113" s="678"/>
      <c r="V113" s="678"/>
      <c r="W113" s="16">
        <f t="shared" si="0"/>
        <v>10</v>
      </c>
      <c r="X113" s="15"/>
      <c r="Y113" s="15"/>
      <c r="Z113" s="15"/>
      <c r="AA113" s="15"/>
      <c r="AB113" s="15"/>
    </row>
    <row r="114" spans="1:28" x14ac:dyDescent="0.2">
      <c r="A114" s="24">
        <v>10</v>
      </c>
      <c r="B114" s="25"/>
      <c r="C114" s="678">
        <f>2158+22</f>
        <v>2180</v>
      </c>
      <c r="D114" s="678">
        <f>2376+24</f>
        <v>2400</v>
      </c>
      <c r="E114" s="678">
        <f>2494+24</f>
        <v>2518</v>
      </c>
      <c r="F114" s="678">
        <f>2621+26</f>
        <v>2647</v>
      </c>
      <c r="G114" s="678">
        <f>2733+26</f>
        <v>2759</v>
      </c>
      <c r="H114" s="678">
        <f>2845+28</f>
        <v>2873</v>
      </c>
      <c r="I114" s="678">
        <f>2952+28</f>
        <v>2980</v>
      </c>
      <c r="J114" s="678">
        <f>3057+30</f>
        <v>3087</v>
      </c>
      <c r="K114" s="678">
        <f>3172+32</f>
        <v>3204</v>
      </c>
      <c r="L114" s="678">
        <f>3274+32</f>
        <v>3306</v>
      </c>
      <c r="M114" s="678">
        <f>3379+34</f>
        <v>3413</v>
      </c>
      <c r="N114" s="678">
        <f>3482+34</f>
        <v>3516</v>
      </c>
      <c r="O114" s="678">
        <f>3597+36</f>
        <v>3633</v>
      </c>
      <c r="P114" s="678"/>
      <c r="Q114" s="678"/>
      <c r="R114" s="678"/>
      <c r="S114" s="678"/>
      <c r="T114" s="678"/>
      <c r="U114" s="678"/>
      <c r="V114" s="678"/>
      <c r="W114" s="16">
        <f t="shared" si="0"/>
        <v>13</v>
      </c>
      <c r="X114" s="15"/>
      <c r="Y114" s="15"/>
      <c r="Z114" s="15"/>
      <c r="AA114" s="15"/>
      <c r="AB114" s="15"/>
    </row>
    <row r="115" spans="1:28" x14ac:dyDescent="0.2">
      <c r="A115" s="24">
        <v>11</v>
      </c>
      <c r="B115" s="25"/>
      <c r="C115" s="678">
        <f>2270+22</f>
        <v>2292</v>
      </c>
      <c r="D115" s="678">
        <f>2376+24</f>
        <v>2400</v>
      </c>
      <c r="E115" s="678">
        <f>2494+24</f>
        <v>2518</v>
      </c>
      <c r="F115" s="678">
        <f>2621+26</f>
        <v>2647</v>
      </c>
      <c r="G115" s="678">
        <f>2733+26</f>
        <v>2759</v>
      </c>
      <c r="H115" s="678">
        <f>2845+28</f>
        <v>2873</v>
      </c>
      <c r="I115" s="678">
        <f>2952+28</f>
        <v>2980</v>
      </c>
      <c r="J115" s="678">
        <f>3172+32</f>
        <v>3204</v>
      </c>
      <c r="K115" s="678">
        <f>3274+32</f>
        <v>3306</v>
      </c>
      <c r="L115" s="678">
        <f>3379+34</f>
        <v>3413</v>
      </c>
      <c r="M115" s="678">
        <f>3482+34</f>
        <v>3516</v>
      </c>
      <c r="N115" s="678">
        <f>3597+36</f>
        <v>3633</v>
      </c>
      <c r="O115" s="678">
        <f>3712+36</f>
        <v>3748</v>
      </c>
      <c r="P115" s="678">
        <f>3823+38</f>
        <v>3861</v>
      </c>
      <c r="Q115" s="678">
        <f>3930+38</f>
        <v>3968</v>
      </c>
      <c r="R115" s="678">
        <f>4038+40</f>
        <v>4078</v>
      </c>
      <c r="S115" s="678">
        <f>4142+40</f>
        <v>4182</v>
      </c>
      <c r="T115" s="678">
        <f>4197+42</f>
        <v>4239</v>
      </c>
      <c r="U115" s="678"/>
      <c r="V115" s="678"/>
      <c r="W115" s="16">
        <f t="shared" si="0"/>
        <v>18</v>
      </c>
      <c r="X115" s="15"/>
      <c r="Y115" s="15"/>
      <c r="Z115" s="15"/>
      <c r="AA115" s="15"/>
      <c r="AB115" s="15"/>
    </row>
    <row r="116" spans="1:28" x14ac:dyDescent="0.2">
      <c r="A116" s="24">
        <v>12</v>
      </c>
      <c r="B116" s="25"/>
      <c r="C116" s="678">
        <f>3057+30</f>
        <v>3087</v>
      </c>
      <c r="D116" s="678">
        <f>3172+32</f>
        <v>3204</v>
      </c>
      <c r="E116" s="678">
        <f>3274+32</f>
        <v>3306</v>
      </c>
      <c r="F116" s="678">
        <f>3379+34</f>
        <v>3413</v>
      </c>
      <c r="G116" s="678">
        <f>3482+34</f>
        <v>3516</v>
      </c>
      <c r="H116" s="678">
        <f>3597+36</f>
        <v>3633</v>
      </c>
      <c r="I116" s="678">
        <f>3823+38</f>
        <v>3861</v>
      </c>
      <c r="J116" s="678">
        <f>3930+38</f>
        <v>3968</v>
      </c>
      <c r="K116" s="678">
        <f>4038+40</f>
        <v>4078</v>
      </c>
      <c r="L116" s="678">
        <f>4142+40</f>
        <v>4182</v>
      </c>
      <c r="M116" s="678">
        <f>4253+42</f>
        <v>4295</v>
      </c>
      <c r="N116" s="678">
        <f>4361+44</f>
        <v>4405</v>
      </c>
      <c r="O116" s="678">
        <f>4465+44</f>
        <v>4509</v>
      </c>
      <c r="P116" s="678">
        <f>4573+46</f>
        <v>4619</v>
      </c>
      <c r="Q116" s="678">
        <f>4708+46</f>
        <v>4754</v>
      </c>
      <c r="R116" s="678">
        <f>4775+48</f>
        <v>4823</v>
      </c>
      <c r="S116" s="678"/>
      <c r="T116" s="678"/>
      <c r="U116" s="678"/>
      <c r="V116" s="678"/>
      <c r="W116" s="16">
        <f t="shared" si="0"/>
        <v>16</v>
      </c>
      <c r="X116" s="15"/>
      <c r="Y116" s="15"/>
      <c r="Z116" s="15"/>
      <c r="AA116" s="15"/>
      <c r="AB116" s="15"/>
    </row>
    <row r="117" spans="1:28" x14ac:dyDescent="0.2">
      <c r="A117" s="24">
        <v>13</v>
      </c>
      <c r="B117" s="25"/>
      <c r="C117" s="678">
        <f>3712+36</f>
        <v>3748</v>
      </c>
      <c r="D117" s="678">
        <f>3823+38</f>
        <v>3861</v>
      </c>
      <c r="E117" s="678">
        <f>3930+38</f>
        <v>3968</v>
      </c>
      <c r="F117" s="678">
        <f>4038+40</f>
        <v>4078</v>
      </c>
      <c r="G117" s="678">
        <f>4142+40</f>
        <v>4182</v>
      </c>
      <c r="H117" s="678">
        <f>4361+44</f>
        <v>4405</v>
      </c>
      <c r="I117" s="678">
        <f>4465+44</f>
        <v>4509</v>
      </c>
      <c r="J117" s="678">
        <f>4573+46</f>
        <v>4619</v>
      </c>
      <c r="K117" s="678">
        <f>4708+46</f>
        <v>4754</v>
      </c>
      <c r="L117" s="678">
        <f>4843+48</f>
        <v>4891</v>
      </c>
      <c r="M117" s="678">
        <f>4978+50</f>
        <v>5028</v>
      </c>
      <c r="N117" s="678">
        <f>5113+50</f>
        <v>5163</v>
      </c>
      <c r="O117" s="678">
        <f>5178+52</f>
        <v>5230</v>
      </c>
      <c r="P117" s="678"/>
      <c r="Q117" s="678"/>
      <c r="R117" s="678"/>
      <c r="S117" s="678"/>
      <c r="T117" s="678"/>
      <c r="U117" s="678"/>
      <c r="V117" s="678"/>
      <c r="W117" s="16">
        <f t="shared" si="0"/>
        <v>13</v>
      </c>
      <c r="X117" s="15"/>
      <c r="Y117" s="15"/>
      <c r="Z117" s="15"/>
      <c r="AA117" s="15"/>
      <c r="AB117" s="15"/>
    </row>
    <row r="118" spans="1:28" x14ac:dyDescent="0.2">
      <c r="A118" s="24">
        <v>14</v>
      </c>
      <c r="B118" s="25"/>
      <c r="C118" s="678">
        <f>4253+42</f>
        <v>4295</v>
      </c>
      <c r="D118" s="678">
        <f>4361+44</f>
        <v>4405</v>
      </c>
      <c r="E118" s="678">
        <f>4573+46</f>
        <v>4619</v>
      </c>
      <c r="F118" s="678">
        <f>4708+46</f>
        <v>4754</v>
      </c>
      <c r="G118" s="678">
        <f>4843+48</f>
        <v>4891</v>
      </c>
      <c r="H118" s="678">
        <f>4978+50</f>
        <v>5028</v>
      </c>
      <c r="I118" s="678">
        <f>5113+50</f>
        <v>5163</v>
      </c>
      <c r="J118" s="678">
        <f>5249+52</f>
        <v>5301</v>
      </c>
      <c r="K118" s="678">
        <f>5393+54</f>
        <v>5447</v>
      </c>
      <c r="L118" s="678">
        <f>5539+54</f>
        <v>5593</v>
      </c>
      <c r="M118" s="678">
        <f>5690+56</f>
        <v>5746</v>
      </c>
      <c r="N118" s="678"/>
      <c r="O118" s="678"/>
      <c r="P118" s="678"/>
      <c r="Q118" s="678"/>
      <c r="R118" s="678"/>
      <c r="S118" s="678"/>
      <c r="T118" s="678"/>
      <c r="U118" s="678"/>
      <c r="V118" s="678"/>
      <c r="W118" s="16">
        <f t="shared" si="0"/>
        <v>11</v>
      </c>
      <c r="X118" s="15"/>
      <c r="Y118" s="15"/>
      <c r="Z118" s="15"/>
      <c r="AA118" s="15"/>
      <c r="AB118" s="15"/>
    </row>
    <row r="119" spans="1:28" x14ac:dyDescent="0.2">
      <c r="A119" s="24">
        <v>15</v>
      </c>
      <c r="B119" s="25"/>
      <c r="C119" s="863">
        <v>4509</v>
      </c>
      <c r="D119" s="863">
        <v>4619</v>
      </c>
      <c r="E119" s="863">
        <v>4754</v>
      </c>
      <c r="F119" s="863">
        <v>5028</v>
      </c>
      <c r="G119" s="863">
        <v>5163</v>
      </c>
      <c r="H119" s="863">
        <v>5301</v>
      </c>
      <c r="I119" s="863">
        <v>5447</v>
      </c>
      <c r="J119" s="863">
        <v>5593</v>
      </c>
      <c r="K119" s="863">
        <v>5746</v>
      </c>
      <c r="L119" s="863">
        <v>5928</v>
      </c>
      <c r="M119" s="863">
        <v>6119</v>
      </c>
      <c r="N119" s="863">
        <v>6314</v>
      </c>
      <c r="O119" s="863"/>
      <c r="P119" s="863"/>
      <c r="Q119" s="863"/>
      <c r="R119" s="863"/>
      <c r="S119" s="863"/>
      <c r="T119" s="863"/>
      <c r="U119" s="863"/>
      <c r="V119" s="863"/>
      <c r="W119" s="16">
        <f t="shared" si="0"/>
        <v>12</v>
      </c>
      <c r="X119" s="15"/>
      <c r="Y119" s="15"/>
      <c r="Z119" s="15"/>
      <c r="AA119" s="15"/>
      <c r="AB119" s="15"/>
    </row>
    <row r="120" spans="1:28" x14ac:dyDescent="0.2">
      <c r="A120" s="24">
        <v>16</v>
      </c>
      <c r="B120" s="25"/>
      <c r="C120" s="863">
        <v>4891</v>
      </c>
      <c r="D120" s="863">
        <v>5028</v>
      </c>
      <c r="E120" s="863">
        <v>5163</v>
      </c>
      <c r="F120" s="863">
        <v>5447</v>
      </c>
      <c r="G120" s="863">
        <v>5593</v>
      </c>
      <c r="H120" s="863">
        <v>5746</v>
      </c>
      <c r="I120" s="863">
        <v>5928</v>
      </c>
      <c r="J120" s="863">
        <v>6119</v>
      </c>
      <c r="K120" s="863">
        <v>6314</v>
      </c>
      <c r="L120" s="863">
        <v>6516</v>
      </c>
      <c r="M120" s="863">
        <v>6721</v>
      </c>
      <c r="N120" s="863">
        <v>6936</v>
      </c>
      <c r="O120" s="863"/>
      <c r="P120" s="863"/>
      <c r="Q120" s="863"/>
      <c r="R120" s="863"/>
      <c r="S120" s="863"/>
      <c r="T120" s="863"/>
      <c r="U120" s="863"/>
      <c r="V120" s="863"/>
      <c r="W120" s="16">
        <f t="shared" si="0"/>
        <v>12</v>
      </c>
      <c r="X120" s="15"/>
      <c r="Y120" s="15"/>
      <c r="Z120" s="15"/>
      <c r="AA120" s="15"/>
      <c r="AB120" s="15"/>
    </row>
    <row r="121" spans="1:28" x14ac:dyDescent="0.2">
      <c r="A121" s="15"/>
      <c r="B121" s="15"/>
      <c r="C121" s="17"/>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row>
    <row r="122" spans="1:28" x14ac:dyDescent="0.2">
      <c r="A122" s="15"/>
      <c r="B122" s="15"/>
      <c r="C122" s="8" t="s">
        <v>7</v>
      </c>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row>
    <row r="123" spans="1:28" x14ac:dyDescent="0.2">
      <c r="A123" s="15"/>
      <c r="B123" s="15"/>
      <c r="C123" s="8" t="s">
        <v>8</v>
      </c>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row>
    <row r="124" spans="1:28" x14ac:dyDescent="0.2">
      <c r="A124" s="15"/>
      <c r="B124" s="15"/>
      <c r="C124" s="18" t="s">
        <v>92</v>
      </c>
      <c r="D124" s="30">
        <v>1.1100000000000001</v>
      </c>
      <c r="E124" s="24"/>
      <c r="F124" s="28"/>
      <c r="G124" s="15"/>
      <c r="H124" s="15"/>
      <c r="I124" s="15"/>
      <c r="J124" s="15"/>
      <c r="K124" s="15"/>
      <c r="L124" s="15"/>
      <c r="M124" s="15"/>
      <c r="N124" s="15"/>
      <c r="O124" s="15"/>
      <c r="P124" s="15"/>
      <c r="Q124" s="15"/>
      <c r="R124" s="15"/>
      <c r="S124" s="15"/>
      <c r="T124" s="15"/>
      <c r="U124" s="15"/>
      <c r="V124" s="15"/>
      <c r="W124" s="15"/>
      <c r="X124" s="15"/>
      <c r="Y124" s="15"/>
      <c r="Z124" s="15"/>
      <c r="AA124" s="15"/>
      <c r="AB124" s="15"/>
    </row>
    <row r="125" spans="1:28" x14ac:dyDescent="0.2">
      <c r="A125" s="15"/>
      <c r="B125" s="15"/>
      <c r="C125" s="18" t="s">
        <v>93</v>
      </c>
      <c r="D125" s="30">
        <v>1.25</v>
      </c>
      <c r="E125" s="24"/>
      <c r="F125" s="28"/>
      <c r="G125" s="15"/>
      <c r="H125" s="15"/>
      <c r="I125" s="15"/>
      <c r="J125" s="15"/>
      <c r="K125" s="15"/>
      <c r="L125" s="15"/>
      <c r="M125" s="15"/>
      <c r="N125" s="15"/>
      <c r="O125" s="15"/>
      <c r="P125" s="15"/>
      <c r="Q125" s="15"/>
      <c r="R125" s="15"/>
      <c r="S125" s="15"/>
      <c r="T125" s="15"/>
      <c r="U125" s="15"/>
      <c r="V125" s="15"/>
      <c r="W125" s="15"/>
      <c r="X125" s="15"/>
      <c r="Y125" s="15"/>
      <c r="Z125" s="15"/>
      <c r="AA125" s="15"/>
      <c r="AB125" s="15"/>
    </row>
    <row r="126" spans="1:28" x14ac:dyDescent="0.2">
      <c r="A126" s="15"/>
      <c r="B126" s="15"/>
      <c r="C126" s="18" t="s">
        <v>94</v>
      </c>
      <c r="D126" s="30">
        <v>1.32</v>
      </c>
      <c r="E126" s="24"/>
      <c r="F126" s="28"/>
      <c r="G126" s="15"/>
      <c r="H126" s="15"/>
      <c r="I126" s="15"/>
      <c r="J126" s="15"/>
      <c r="K126" s="15"/>
      <c r="L126" s="15"/>
      <c r="M126" s="15"/>
      <c r="N126" s="15"/>
      <c r="O126" s="15"/>
      <c r="P126" s="15"/>
      <c r="Q126" s="15"/>
      <c r="R126" s="15"/>
      <c r="S126" s="15"/>
      <c r="T126" s="15"/>
      <c r="U126" s="15"/>
      <c r="V126" s="15"/>
      <c r="W126" s="15"/>
      <c r="X126" s="15"/>
      <c r="Y126" s="15"/>
      <c r="Z126" s="15"/>
      <c r="AA126" s="15"/>
      <c r="AB126" s="15"/>
    </row>
    <row r="127" spans="1:28" x14ac:dyDescent="0.2">
      <c r="A127" s="7"/>
      <c r="B127" s="7"/>
      <c r="C127" s="18" t="s">
        <v>95</v>
      </c>
      <c r="D127" s="30">
        <v>1.39</v>
      </c>
      <c r="E127" s="24"/>
      <c r="F127" s="28"/>
      <c r="G127" s="7"/>
      <c r="H127" s="7"/>
      <c r="I127" s="7"/>
    </row>
    <row r="128" spans="1:28" x14ac:dyDescent="0.2">
      <c r="A128" s="7"/>
      <c r="B128" s="7"/>
      <c r="C128" s="18" t="s">
        <v>96</v>
      </c>
      <c r="D128" s="30">
        <v>1.46</v>
      </c>
      <c r="E128" s="24"/>
      <c r="F128" s="28"/>
      <c r="G128" s="7"/>
      <c r="H128" s="7"/>
      <c r="I128" s="7"/>
    </row>
    <row r="129" spans="3:6" x14ac:dyDescent="0.2">
      <c r="C129" s="18" t="s">
        <v>97</v>
      </c>
      <c r="D129" s="19">
        <v>1.42</v>
      </c>
      <c r="E129" s="24"/>
      <c r="F129" s="28"/>
    </row>
    <row r="130" spans="3:6" x14ac:dyDescent="0.2">
      <c r="C130" s="18" t="s">
        <v>98</v>
      </c>
      <c r="D130" s="19">
        <v>1.56</v>
      </c>
      <c r="E130" s="24"/>
      <c r="F130" s="28"/>
    </row>
    <row r="131" spans="3:6" x14ac:dyDescent="0.2">
      <c r="C131" s="18" t="s">
        <v>99</v>
      </c>
      <c r="D131" s="30">
        <v>0.94</v>
      </c>
      <c r="E131" s="24"/>
      <c r="F131" s="28"/>
    </row>
    <row r="132" spans="3:6" x14ac:dyDescent="0.2">
      <c r="C132" s="18" t="s">
        <v>100</v>
      </c>
      <c r="D132" s="30">
        <v>1.02</v>
      </c>
      <c r="E132" s="24"/>
      <c r="F132" s="28"/>
    </row>
    <row r="133" spans="3:6" x14ac:dyDescent="0.2">
      <c r="C133" s="18" t="s">
        <v>101</v>
      </c>
      <c r="D133" s="30">
        <v>1.1599999999999999</v>
      </c>
      <c r="E133" s="24"/>
      <c r="F133" s="28"/>
    </row>
    <row r="134" spans="3:6" x14ac:dyDescent="0.2">
      <c r="C134" s="18" t="s">
        <v>102</v>
      </c>
      <c r="D134" s="30">
        <v>1.32</v>
      </c>
      <c r="E134" s="24"/>
      <c r="F134" s="28"/>
    </row>
    <row r="135" spans="3:6" x14ac:dyDescent="0.2">
      <c r="C135" s="18" t="s">
        <v>103</v>
      </c>
      <c r="D135" s="30">
        <v>1.43</v>
      </c>
      <c r="E135" s="24"/>
      <c r="F135" s="28"/>
    </row>
    <row r="136" spans="3:6" x14ac:dyDescent="0.2">
      <c r="C136" s="18" t="s">
        <v>104</v>
      </c>
      <c r="D136" s="19">
        <v>0.91</v>
      </c>
      <c r="E136" s="24"/>
      <c r="F136" s="28"/>
    </row>
    <row r="137" spans="3:6" x14ac:dyDescent="0.2">
      <c r="C137" s="18" t="s">
        <v>105</v>
      </c>
      <c r="D137" s="19">
        <v>1</v>
      </c>
      <c r="E137" s="21"/>
      <c r="F137" s="29"/>
    </row>
    <row r="138" spans="3:6" x14ac:dyDescent="0.2">
      <c r="C138" s="18" t="s">
        <v>106</v>
      </c>
      <c r="D138" s="19">
        <v>1.1599999999999999</v>
      </c>
      <c r="E138" s="24"/>
      <c r="F138" s="28"/>
    </row>
    <row r="139" spans="3:6" x14ac:dyDescent="0.2">
      <c r="C139" s="18" t="s">
        <v>107</v>
      </c>
      <c r="D139" s="19">
        <v>1.32</v>
      </c>
      <c r="E139" s="24"/>
      <c r="F139" s="28"/>
    </row>
    <row r="140" spans="3:6" x14ac:dyDescent="0.2">
      <c r="C140" s="18" t="s">
        <v>108</v>
      </c>
      <c r="D140" s="19">
        <v>1.43</v>
      </c>
      <c r="E140" s="24"/>
      <c r="F140" s="28"/>
    </row>
    <row r="141" spans="3:6" x14ac:dyDescent="0.2">
      <c r="C141" s="32" t="s">
        <v>145</v>
      </c>
      <c r="D141" s="31">
        <v>0.46002883550688978</v>
      </c>
      <c r="E141" s="24"/>
      <c r="F141" s="28"/>
    </row>
    <row r="142" spans="3:6" x14ac:dyDescent="0.2">
      <c r="C142" s="32" t="s">
        <v>146</v>
      </c>
      <c r="D142" s="31">
        <v>0.4991802257627953</v>
      </c>
      <c r="E142" s="24"/>
      <c r="F142" s="28"/>
    </row>
    <row r="143" spans="3:6" x14ac:dyDescent="0.2">
      <c r="C143" s="32" t="s">
        <v>147</v>
      </c>
      <c r="D143" s="31">
        <v>0.51875592089074807</v>
      </c>
      <c r="E143" s="24"/>
      <c r="F143" s="28"/>
    </row>
    <row r="144" spans="3:6" x14ac:dyDescent="0.2">
      <c r="C144" s="18">
        <v>1</v>
      </c>
      <c r="D144" s="19">
        <v>0.46</v>
      </c>
      <c r="E144" s="24"/>
      <c r="F144" s="28"/>
    </row>
    <row r="145" spans="3:6" x14ac:dyDescent="0.2">
      <c r="C145" s="18">
        <v>2</v>
      </c>
      <c r="D145" s="19">
        <v>0.5</v>
      </c>
      <c r="E145" s="24"/>
      <c r="F145" s="28"/>
    </row>
    <row r="146" spans="3:6" x14ac:dyDescent="0.2">
      <c r="C146" s="18">
        <v>3</v>
      </c>
      <c r="D146" s="19">
        <v>0.55000000000000004</v>
      </c>
      <c r="E146" s="24"/>
      <c r="F146" s="28"/>
    </row>
    <row r="147" spans="3:6" x14ac:dyDescent="0.2">
      <c r="C147" s="18">
        <v>4</v>
      </c>
      <c r="D147" s="19">
        <v>0.57999999999999996</v>
      </c>
      <c r="E147" s="24"/>
      <c r="F147" s="28"/>
    </row>
    <row r="148" spans="3:6" x14ac:dyDescent="0.2">
      <c r="C148" s="18">
        <v>5</v>
      </c>
      <c r="D148" s="19">
        <v>0.61</v>
      </c>
      <c r="E148" s="24"/>
      <c r="F148" s="28"/>
    </row>
    <row r="149" spans="3:6" x14ac:dyDescent="0.2">
      <c r="C149" s="18">
        <v>6</v>
      </c>
      <c r="D149" s="19">
        <v>0.64</v>
      </c>
      <c r="E149" s="24"/>
      <c r="F149" s="28"/>
    </row>
    <row r="150" spans="3:6" x14ac:dyDescent="0.2">
      <c r="C150" s="18">
        <v>7</v>
      </c>
      <c r="D150" s="30">
        <v>0.69</v>
      </c>
      <c r="E150" s="24"/>
      <c r="F150" s="28"/>
    </row>
    <row r="151" spans="3:6" x14ac:dyDescent="0.2">
      <c r="C151" s="18">
        <v>8</v>
      </c>
      <c r="D151" s="30">
        <v>0.79</v>
      </c>
      <c r="E151" s="24"/>
      <c r="F151" s="28"/>
    </row>
    <row r="152" spans="3:6" x14ac:dyDescent="0.2">
      <c r="C152" s="18">
        <v>9</v>
      </c>
      <c r="D152" s="30">
        <v>0.9</v>
      </c>
      <c r="E152" s="24"/>
      <c r="F152" s="28"/>
    </row>
    <row r="153" spans="3:6" x14ac:dyDescent="0.2">
      <c r="C153" s="18">
        <v>10</v>
      </c>
      <c r="D153" s="30">
        <v>0.99</v>
      </c>
      <c r="E153" s="24"/>
      <c r="F153" s="28"/>
    </row>
    <row r="154" spans="3:6" x14ac:dyDescent="0.2">
      <c r="C154" s="18">
        <v>11</v>
      </c>
      <c r="D154" s="30">
        <v>1.1499999999999999</v>
      </c>
      <c r="E154" s="24"/>
      <c r="F154" s="28"/>
    </row>
    <row r="155" spans="3:6" x14ac:dyDescent="0.2">
      <c r="C155" s="18">
        <v>12</v>
      </c>
      <c r="D155" s="30">
        <v>1.31</v>
      </c>
      <c r="E155" s="24"/>
      <c r="F155" s="28"/>
    </row>
    <row r="156" spans="3:6" x14ac:dyDescent="0.2">
      <c r="C156" s="18">
        <v>13</v>
      </c>
      <c r="D156" s="30">
        <v>1.42</v>
      </c>
      <c r="E156" s="24"/>
      <c r="F156" s="28"/>
    </row>
    <row r="157" spans="3:6" x14ac:dyDescent="0.2">
      <c r="C157" s="18">
        <v>14</v>
      </c>
      <c r="D157" s="30">
        <v>1.57</v>
      </c>
    </row>
    <row r="158" spans="3:6" x14ac:dyDescent="0.2">
      <c r="C158" s="18" t="s">
        <v>109</v>
      </c>
      <c r="D158" s="30">
        <v>0.31</v>
      </c>
    </row>
    <row r="159" spans="3:6" x14ac:dyDescent="0.2">
      <c r="C159" s="18" t="s">
        <v>110</v>
      </c>
      <c r="D159" s="30">
        <v>0.32</v>
      </c>
    </row>
  </sheetData>
  <sheetProtection password="DFB1" sheet="1" objects="1" scenarios="1"/>
  <phoneticPr fontId="0" type="noConversion"/>
  <pageMargins left="0.75" right="0.75" top="1" bottom="1" header="0.5" footer="0.5"/>
  <pageSetup paperSize="9" scale="70" orientation="portrait" r:id="rId1"/>
  <headerFooter alignWithMargins="0">
    <oddHeader>&amp;L&amp;"Arial,Vet"&amp;9&amp;F&amp;R&amp;"Arial,Vet"&amp;9&amp;A</oddHeader>
    <oddFooter>&amp;L&amp;"Arial,Vet"&amp;9keizer / goedhart&amp;C&amp;"Arial,Vet"&amp;9pagina &amp;P&amp;R&amp;"Arial,Vet"&amp;9&amp;D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207"/>
  <sheetViews>
    <sheetView showGridLines="0" tabSelected="1" zoomScale="85" zoomScaleNormal="85" workbookViewId="0">
      <selection activeCell="B2" sqref="B2"/>
    </sheetView>
  </sheetViews>
  <sheetFormatPr defaultColWidth="9.140625" defaultRowHeight="12.75" x14ac:dyDescent="0.2"/>
  <cols>
    <col min="1" max="1" width="3.7109375" style="33" customWidth="1"/>
    <col min="2" max="3" width="2.7109375" style="33" customWidth="1"/>
    <col min="4" max="4" width="50.85546875" style="33" customWidth="1"/>
    <col min="5" max="5" width="2.7109375" style="33" customWidth="1"/>
    <col min="6" max="7" width="14.85546875" style="42" customWidth="1"/>
    <col min="8" max="10" width="14.85546875" style="42" hidden="1" customWidth="1"/>
    <col min="11" max="12" width="2.7109375" style="33" customWidth="1"/>
    <col min="13" max="16384" width="9.140625" style="33"/>
  </cols>
  <sheetData>
    <row r="2" spans="2:12" x14ac:dyDescent="0.2">
      <c r="B2" s="153"/>
      <c r="C2" s="154"/>
      <c r="D2" s="154"/>
      <c r="E2" s="154"/>
      <c r="F2" s="155"/>
      <c r="G2" s="155"/>
      <c r="H2" s="155"/>
      <c r="I2" s="155"/>
      <c r="J2" s="155"/>
      <c r="K2" s="154"/>
      <c r="L2" s="156"/>
    </row>
    <row r="3" spans="2:12" x14ac:dyDescent="0.2">
      <c r="B3" s="157"/>
      <c r="C3" s="158"/>
      <c r="D3" s="159"/>
      <c r="E3" s="158"/>
      <c r="F3" s="160"/>
      <c r="G3" s="160"/>
      <c r="H3" s="160"/>
      <c r="I3" s="160"/>
      <c r="J3" s="160"/>
      <c r="K3" s="158"/>
      <c r="L3" s="161"/>
    </row>
    <row r="4" spans="2:12" s="38" customFormat="1" ht="18.75" x14ac:dyDescent="0.3">
      <c r="B4" s="162"/>
      <c r="C4" s="766" t="s">
        <v>231</v>
      </c>
      <c r="D4" s="164"/>
      <c r="E4" s="164"/>
      <c r="F4" s="165"/>
      <c r="G4" s="165"/>
      <c r="H4" s="165"/>
      <c r="I4" s="165"/>
      <c r="J4" s="165"/>
      <c r="K4" s="164"/>
      <c r="L4" s="166"/>
    </row>
    <row r="5" spans="2:12" ht="18.75" x14ac:dyDescent="0.3">
      <c r="B5" s="157"/>
      <c r="C5" s="194" t="str">
        <f>geg!F10</f>
        <v>Zorgzaam</v>
      </c>
      <c r="D5" s="159"/>
      <c r="E5" s="158"/>
      <c r="F5" s="160"/>
      <c r="G5" s="160"/>
      <c r="H5" s="160"/>
      <c r="I5" s="160"/>
      <c r="J5" s="160"/>
      <c r="K5" s="158"/>
      <c r="L5" s="161"/>
    </row>
    <row r="6" spans="2:12" x14ac:dyDescent="0.2">
      <c r="B6" s="157"/>
      <c r="C6" s="158"/>
      <c r="D6" s="159"/>
      <c r="E6" s="158"/>
      <c r="F6" s="160"/>
      <c r="G6" s="160"/>
      <c r="H6" s="160"/>
      <c r="I6" s="160"/>
      <c r="J6" s="160"/>
      <c r="K6" s="158"/>
      <c r="L6" s="161"/>
    </row>
    <row r="7" spans="2:12" x14ac:dyDescent="0.2">
      <c r="B7" s="157"/>
      <c r="C7" s="158"/>
      <c r="D7" s="159"/>
      <c r="E7" s="158"/>
      <c r="F7" s="160"/>
      <c r="G7" s="160"/>
      <c r="H7" s="160"/>
      <c r="I7" s="160"/>
      <c r="J7" s="160"/>
      <c r="K7" s="158"/>
      <c r="L7" s="161"/>
    </row>
    <row r="8" spans="2:12" x14ac:dyDescent="0.2">
      <c r="B8" s="157"/>
      <c r="C8" s="158"/>
      <c r="D8" s="159"/>
      <c r="E8" s="158"/>
      <c r="F8" s="160"/>
      <c r="G8" s="160"/>
      <c r="H8" s="160"/>
      <c r="I8" s="160"/>
      <c r="J8" s="160"/>
      <c r="K8" s="158"/>
      <c r="L8" s="161"/>
    </row>
    <row r="9" spans="2:12" x14ac:dyDescent="0.2">
      <c r="B9" s="157"/>
      <c r="C9" s="499"/>
      <c r="D9" s="502"/>
      <c r="E9" s="499"/>
      <c r="F9" s="499"/>
      <c r="G9" s="681"/>
      <c r="H9" s="681"/>
      <c r="I9" s="681"/>
      <c r="J9" s="681"/>
      <c r="K9" s="499"/>
      <c r="L9" s="161"/>
    </row>
    <row r="10" spans="2:12" x14ac:dyDescent="0.2">
      <c r="B10" s="157"/>
      <c r="C10" s="499"/>
      <c r="D10" s="695" t="s">
        <v>506</v>
      </c>
      <c r="E10" s="499"/>
      <c r="F10" s="698" t="s">
        <v>348</v>
      </c>
      <c r="G10" s="696"/>
      <c r="H10" s="696"/>
      <c r="I10" s="697"/>
      <c r="J10" s="697"/>
      <c r="K10" s="499"/>
      <c r="L10" s="161"/>
    </row>
    <row r="11" spans="2:12" x14ac:dyDescent="0.2">
      <c r="B11" s="157"/>
      <c r="C11" s="499"/>
      <c r="D11" s="695" t="s">
        <v>45</v>
      </c>
      <c r="E11" s="499"/>
      <c r="F11" s="698" t="s">
        <v>349</v>
      </c>
      <c r="G11" s="696"/>
      <c r="H11" s="696"/>
      <c r="I11" s="697"/>
      <c r="J11" s="697"/>
      <c r="K11" s="499"/>
      <c r="L11" s="161"/>
    </row>
    <row r="12" spans="2:12" x14ac:dyDescent="0.2">
      <c r="B12" s="157"/>
      <c r="C12" s="499"/>
      <c r="D12" s="499"/>
      <c r="E12" s="499"/>
      <c r="F12" s="499"/>
      <c r="G12" s="499"/>
      <c r="H12" s="499"/>
      <c r="I12" s="499"/>
      <c r="J12" s="499"/>
      <c r="K12" s="499"/>
      <c r="L12" s="161"/>
    </row>
    <row r="13" spans="2:12" x14ac:dyDescent="0.2">
      <c r="B13" s="157"/>
      <c r="C13" s="158"/>
      <c r="D13" s="159"/>
      <c r="E13" s="158"/>
      <c r="F13" s="160"/>
      <c r="G13" s="160"/>
      <c r="H13" s="160"/>
      <c r="I13" s="160"/>
      <c r="J13" s="160"/>
      <c r="K13" s="158"/>
      <c r="L13" s="161"/>
    </row>
    <row r="14" spans="2:12" x14ac:dyDescent="0.2">
      <c r="B14" s="157"/>
      <c r="C14" s="158"/>
      <c r="D14" s="159"/>
      <c r="E14" s="158"/>
      <c r="F14" s="160"/>
      <c r="G14" s="160"/>
      <c r="H14" s="160"/>
      <c r="I14" s="160"/>
      <c r="J14" s="160"/>
      <c r="K14" s="158"/>
      <c r="L14" s="161"/>
    </row>
    <row r="15" spans="2:12" x14ac:dyDescent="0.2">
      <c r="B15" s="157"/>
      <c r="C15" s="158"/>
      <c r="D15" s="184" t="s">
        <v>153</v>
      </c>
      <c r="E15" s="185"/>
      <c r="F15" s="186" t="str">
        <f>tab!C2</f>
        <v>2012/13</v>
      </c>
      <c r="G15" s="186" t="str">
        <f>tab!D2</f>
        <v>2013/14</v>
      </c>
      <c r="H15" s="186" t="str">
        <f>tab!E2</f>
        <v>2014/15</v>
      </c>
      <c r="I15" s="186" t="str">
        <f>tab!F2</f>
        <v>2015/16</v>
      </c>
      <c r="J15" s="186" t="str">
        <f>tab!G2</f>
        <v>2016/17</v>
      </c>
      <c r="K15" s="158"/>
      <c r="L15" s="161"/>
    </row>
    <row r="16" spans="2:12" x14ac:dyDescent="0.2">
      <c r="B16" s="157"/>
      <c r="C16" s="158"/>
      <c r="D16" s="184" t="s">
        <v>382</v>
      </c>
      <c r="E16" s="185"/>
      <c r="F16" s="187">
        <f>G16-1</f>
        <v>2011</v>
      </c>
      <c r="G16" s="187">
        <f>tab!C4</f>
        <v>2012</v>
      </c>
      <c r="H16" s="187">
        <f>G16+1</f>
        <v>2013</v>
      </c>
      <c r="I16" s="187">
        <f>H16+1</f>
        <v>2014</v>
      </c>
      <c r="J16" s="187">
        <f>I16+1</f>
        <v>2015</v>
      </c>
      <c r="K16" s="158"/>
      <c r="L16" s="161"/>
    </row>
    <row r="17" spans="2:12" x14ac:dyDescent="0.2">
      <c r="B17" s="157"/>
      <c r="C17" s="158"/>
      <c r="D17" s="159"/>
      <c r="E17" s="158"/>
      <c r="F17" s="160"/>
      <c r="G17" s="160"/>
      <c r="H17" s="160"/>
      <c r="I17" s="160"/>
      <c r="J17" s="160"/>
      <c r="K17" s="158"/>
      <c r="L17" s="161"/>
    </row>
    <row r="18" spans="2:12" x14ac:dyDescent="0.2">
      <c r="B18" s="157"/>
      <c r="C18" s="499"/>
      <c r="D18" s="499"/>
      <c r="E18" s="499"/>
      <c r="F18" s="681"/>
      <c r="G18" s="681"/>
      <c r="H18" s="681"/>
      <c r="I18" s="681"/>
      <c r="J18" s="681"/>
      <c r="K18" s="499"/>
      <c r="L18" s="161"/>
    </row>
    <row r="19" spans="2:12" x14ac:dyDescent="0.2">
      <c r="B19" s="157"/>
      <c r="C19" s="499"/>
      <c r="D19" s="682" t="s">
        <v>309</v>
      </c>
      <c r="E19" s="499"/>
      <c r="F19" s="681"/>
      <c r="G19" s="681"/>
      <c r="H19" s="681"/>
      <c r="I19" s="681"/>
      <c r="J19" s="681"/>
      <c r="K19" s="499"/>
      <c r="L19" s="161"/>
    </row>
    <row r="20" spans="2:12" x14ac:dyDescent="0.2">
      <c r="B20" s="157"/>
      <c r="C20" s="499"/>
      <c r="D20" s="499"/>
      <c r="E20" s="499"/>
      <c r="F20" s="681"/>
      <c r="G20" s="681"/>
      <c r="H20" s="681"/>
      <c r="I20" s="681"/>
      <c r="J20" s="681"/>
      <c r="K20" s="499"/>
      <c r="L20" s="161"/>
    </row>
    <row r="21" spans="2:12" x14ac:dyDescent="0.2">
      <c r="B21" s="157"/>
      <c r="C21" s="499"/>
      <c r="D21" s="499" t="s">
        <v>260</v>
      </c>
      <c r="E21" s="499"/>
      <c r="F21" s="517">
        <v>6000</v>
      </c>
      <c r="G21" s="517">
        <v>6000</v>
      </c>
      <c r="H21" s="683">
        <f t="shared" ref="H21:J22" si="0">G21</f>
        <v>6000</v>
      </c>
      <c r="I21" s="683">
        <f t="shared" si="0"/>
        <v>6000</v>
      </c>
      <c r="J21" s="683">
        <f t="shared" si="0"/>
        <v>6000</v>
      </c>
      <c r="K21" s="499"/>
      <c r="L21" s="161"/>
    </row>
    <row r="22" spans="2:12" x14ac:dyDescent="0.2">
      <c r="B22" s="157"/>
      <c r="C22" s="499"/>
      <c r="D22" s="499" t="s">
        <v>380</v>
      </c>
      <c r="E22" s="499"/>
      <c r="F22" s="517">
        <v>100</v>
      </c>
      <c r="G22" s="517">
        <v>100</v>
      </c>
      <c r="H22" s="683">
        <f t="shared" si="0"/>
        <v>100</v>
      </c>
      <c r="I22" s="683">
        <f t="shared" si="0"/>
        <v>100</v>
      </c>
      <c r="J22" s="683">
        <f t="shared" si="0"/>
        <v>100</v>
      </c>
      <c r="K22" s="499"/>
      <c r="L22" s="161"/>
    </row>
    <row r="23" spans="2:12" x14ac:dyDescent="0.2">
      <c r="B23" s="157"/>
      <c r="C23" s="499"/>
      <c r="D23" s="499"/>
      <c r="E23" s="499"/>
      <c r="F23" s="681"/>
      <c r="G23" s="681"/>
      <c r="H23" s="681"/>
      <c r="I23" s="681"/>
      <c r="J23" s="681"/>
      <c r="K23" s="499"/>
      <c r="L23" s="161"/>
    </row>
    <row r="24" spans="2:12" x14ac:dyDescent="0.2">
      <c r="B24" s="157"/>
      <c r="C24" s="499"/>
      <c r="D24" s="499" t="s">
        <v>264</v>
      </c>
      <c r="E24" s="499"/>
      <c r="F24" s="681"/>
      <c r="G24" s="681"/>
      <c r="H24" s="681"/>
      <c r="I24" s="681"/>
      <c r="J24" s="681"/>
      <c r="K24" s="499"/>
      <c r="L24" s="161"/>
    </row>
    <row r="25" spans="2:12" x14ac:dyDescent="0.2">
      <c r="B25" s="157"/>
      <c r="C25" s="499"/>
      <c r="D25" s="847" t="s">
        <v>234</v>
      </c>
      <c r="E25" s="499"/>
      <c r="F25" s="517">
        <v>120</v>
      </c>
      <c r="G25" s="517">
        <v>120</v>
      </c>
      <c r="H25" s="683">
        <f t="shared" ref="H25:J26" si="1">G25</f>
        <v>120</v>
      </c>
      <c r="I25" s="683">
        <f t="shared" si="1"/>
        <v>120</v>
      </c>
      <c r="J25" s="683">
        <f t="shared" si="1"/>
        <v>120</v>
      </c>
      <c r="K25" s="499"/>
      <c r="L25" s="161"/>
    </row>
    <row r="26" spans="2:12" x14ac:dyDescent="0.2">
      <c r="B26" s="157"/>
      <c r="C26" s="499"/>
      <c r="D26" s="847" t="s">
        <v>235</v>
      </c>
      <c r="E26" s="499"/>
      <c r="F26" s="517">
        <v>80</v>
      </c>
      <c r="G26" s="517">
        <v>80</v>
      </c>
      <c r="H26" s="683">
        <f t="shared" si="1"/>
        <v>80</v>
      </c>
      <c r="I26" s="683">
        <f t="shared" si="1"/>
        <v>80</v>
      </c>
      <c r="J26" s="683">
        <f t="shared" si="1"/>
        <v>80</v>
      </c>
      <c r="K26" s="499"/>
      <c r="L26" s="161"/>
    </row>
    <row r="27" spans="2:12" x14ac:dyDescent="0.2">
      <c r="B27" s="157"/>
      <c r="C27" s="499"/>
      <c r="D27" s="847" t="s">
        <v>236</v>
      </c>
      <c r="E27" s="499"/>
      <c r="F27" s="517">
        <v>0</v>
      </c>
      <c r="G27" s="517">
        <v>0</v>
      </c>
      <c r="H27" s="683">
        <f>G27</f>
        <v>0</v>
      </c>
      <c r="I27" s="683">
        <f t="shared" ref="H27:J28" si="2">H27</f>
        <v>0</v>
      </c>
      <c r="J27" s="683">
        <f t="shared" si="2"/>
        <v>0</v>
      </c>
      <c r="K27" s="499"/>
      <c r="L27" s="161"/>
    </row>
    <row r="28" spans="2:12" x14ac:dyDescent="0.2">
      <c r="B28" s="157"/>
      <c r="C28" s="499"/>
      <c r="D28" s="847" t="s">
        <v>237</v>
      </c>
      <c r="E28" s="499"/>
      <c r="F28" s="517">
        <v>0</v>
      </c>
      <c r="G28" s="517">
        <v>0</v>
      </c>
      <c r="H28" s="683">
        <f t="shared" si="2"/>
        <v>0</v>
      </c>
      <c r="I28" s="683">
        <f t="shared" si="2"/>
        <v>0</v>
      </c>
      <c r="J28" s="683">
        <f t="shared" si="2"/>
        <v>0</v>
      </c>
      <c r="K28" s="499"/>
      <c r="L28" s="161"/>
    </row>
    <row r="29" spans="2:12" s="40" customFormat="1" x14ac:dyDescent="0.2">
      <c r="B29" s="168"/>
      <c r="C29" s="688"/>
      <c r="D29" s="688"/>
      <c r="E29" s="688"/>
      <c r="F29" s="845">
        <f>SUM(F25:F28)</f>
        <v>200</v>
      </c>
      <c r="G29" s="845">
        <f>SUM(G25:G28)</f>
        <v>200</v>
      </c>
      <c r="H29" s="689">
        <f>SUM(H25:H28)</f>
        <v>200</v>
      </c>
      <c r="I29" s="689">
        <f>SUM(I25:I28)</f>
        <v>200</v>
      </c>
      <c r="J29" s="689">
        <f>SUM(J25:J28)</f>
        <v>200</v>
      </c>
      <c r="K29" s="688"/>
      <c r="L29" s="169"/>
    </row>
    <row r="30" spans="2:12" x14ac:dyDescent="0.2">
      <c r="B30" s="157"/>
      <c r="C30" s="499"/>
      <c r="D30" s="499"/>
      <c r="E30" s="499"/>
      <c r="F30" s="681"/>
      <c r="G30" s="681"/>
      <c r="H30" s="681"/>
      <c r="I30" s="681"/>
      <c r="J30" s="681"/>
      <c r="K30" s="499"/>
      <c r="L30" s="161"/>
    </row>
    <row r="31" spans="2:12" s="41" customFormat="1" x14ac:dyDescent="0.2">
      <c r="B31" s="170"/>
      <c r="C31" s="502"/>
      <c r="D31" s="636" t="s">
        <v>427</v>
      </c>
      <c r="E31" s="502"/>
      <c r="F31" s="839">
        <f>+F21+F29</f>
        <v>6200</v>
      </c>
      <c r="G31" s="839">
        <f>+G21+G29</f>
        <v>6200</v>
      </c>
      <c r="H31" s="691">
        <f>+H21+H29</f>
        <v>6200</v>
      </c>
      <c r="I31" s="691">
        <f>+I21+I29</f>
        <v>6200</v>
      </c>
      <c r="J31" s="691">
        <f>+J21+J29</f>
        <v>6200</v>
      </c>
      <c r="K31" s="502"/>
      <c r="L31" s="171"/>
    </row>
    <row r="32" spans="2:12" x14ac:dyDescent="0.2">
      <c r="B32" s="157"/>
      <c r="C32" s="499"/>
      <c r="D32" s="499"/>
      <c r="E32" s="499"/>
      <c r="F32" s="681"/>
      <c r="G32" s="681"/>
      <c r="H32" s="681"/>
      <c r="I32" s="681"/>
      <c r="J32" s="681"/>
      <c r="K32" s="499"/>
      <c r="L32" s="161"/>
    </row>
    <row r="33" spans="2:12" x14ac:dyDescent="0.2">
      <c r="B33" s="157"/>
      <c r="C33" s="499"/>
      <c r="D33" s="499" t="s">
        <v>262</v>
      </c>
      <c r="E33" s="499"/>
      <c r="F33" s="846">
        <f>ROUND(0.02*F31,0)</f>
        <v>124</v>
      </c>
      <c r="G33" s="846">
        <f>ROUND(0.02*G31,0)</f>
        <v>124</v>
      </c>
      <c r="H33" s="692">
        <f>ROUND(0.02*H31,0)</f>
        <v>124</v>
      </c>
      <c r="I33" s="692">
        <f>ROUND(0.02*I31,0)</f>
        <v>124</v>
      </c>
      <c r="J33" s="692">
        <f>ROUND(0.02*J31,0)</f>
        <v>124</v>
      </c>
      <c r="K33" s="499"/>
      <c r="L33" s="161"/>
    </row>
    <row r="34" spans="2:12" x14ac:dyDescent="0.2">
      <c r="B34" s="157"/>
      <c r="C34" s="499"/>
      <c r="D34" s="499" t="s">
        <v>263</v>
      </c>
      <c r="E34" s="499"/>
      <c r="F34" s="681"/>
      <c r="G34" s="681"/>
      <c r="H34" s="681"/>
      <c r="I34" s="681"/>
      <c r="J34" s="681"/>
      <c r="K34" s="499"/>
      <c r="L34" s="161"/>
    </row>
    <row r="35" spans="2:12" x14ac:dyDescent="0.2">
      <c r="B35" s="157"/>
      <c r="C35" s="499"/>
      <c r="D35" s="499" t="str">
        <f>D25</f>
        <v>Naam SBO 1</v>
      </c>
      <c r="E35" s="499"/>
      <c r="F35" s="840">
        <f t="shared" ref="F35:J38" si="3">+F25/F$29*F$33</f>
        <v>74.399999999999991</v>
      </c>
      <c r="G35" s="840">
        <f t="shared" si="3"/>
        <v>74.399999999999991</v>
      </c>
      <c r="H35" s="693">
        <f t="shared" si="3"/>
        <v>74.399999999999991</v>
      </c>
      <c r="I35" s="693">
        <f t="shared" si="3"/>
        <v>74.399999999999991</v>
      </c>
      <c r="J35" s="693">
        <f t="shared" si="3"/>
        <v>74.399999999999991</v>
      </c>
      <c r="K35" s="499"/>
      <c r="L35" s="161"/>
    </row>
    <row r="36" spans="2:12" x14ac:dyDescent="0.2">
      <c r="B36" s="157"/>
      <c r="C36" s="499"/>
      <c r="D36" s="499" t="str">
        <f>D26</f>
        <v>Naam SBO 2</v>
      </c>
      <c r="E36" s="499"/>
      <c r="F36" s="840">
        <f t="shared" si="3"/>
        <v>49.6</v>
      </c>
      <c r="G36" s="840">
        <f t="shared" si="3"/>
        <v>49.6</v>
      </c>
      <c r="H36" s="693">
        <f t="shared" si="3"/>
        <v>49.6</v>
      </c>
      <c r="I36" s="693">
        <f t="shared" si="3"/>
        <v>49.6</v>
      </c>
      <c r="J36" s="693">
        <f t="shared" si="3"/>
        <v>49.6</v>
      </c>
      <c r="K36" s="499"/>
      <c r="L36" s="161"/>
    </row>
    <row r="37" spans="2:12" x14ac:dyDescent="0.2">
      <c r="B37" s="157"/>
      <c r="C37" s="499"/>
      <c r="D37" s="499" t="str">
        <f>D27</f>
        <v>Naam SBO 3</v>
      </c>
      <c r="E37" s="499"/>
      <c r="F37" s="840">
        <f t="shared" si="3"/>
        <v>0</v>
      </c>
      <c r="G37" s="840">
        <f t="shared" si="3"/>
        <v>0</v>
      </c>
      <c r="H37" s="693">
        <f t="shared" si="3"/>
        <v>0</v>
      </c>
      <c r="I37" s="693">
        <f t="shared" si="3"/>
        <v>0</v>
      </c>
      <c r="J37" s="693">
        <f t="shared" si="3"/>
        <v>0</v>
      </c>
      <c r="K37" s="499"/>
      <c r="L37" s="161"/>
    </row>
    <row r="38" spans="2:12" x14ac:dyDescent="0.2">
      <c r="B38" s="157"/>
      <c r="C38" s="499"/>
      <c r="D38" s="499" t="str">
        <f>D28</f>
        <v>Naam SBO 4</v>
      </c>
      <c r="E38" s="499"/>
      <c r="F38" s="840">
        <f t="shared" si="3"/>
        <v>0</v>
      </c>
      <c r="G38" s="840">
        <f t="shared" si="3"/>
        <v>0</v>
      </c>
      <c r="H38" s="693">
        <f t="shared" si="3"/>
        <v>0</v>
      </c>
      <c r="I38" s="693">
        <f t="shared" si="3"/>
        <v>0</v>
      </c>
      <c r="J38" s="693">
        <f t="shared" si="3"/>
        <v>0</v>
      </c>
      <c r="K38" s="499"/>
      <c r="L38" s="161"/>
    </row>
    <row r="39" spans="2:12" x14ac:dyDescent="0.2">
      <c r="B39" s="157"/>
      <c r="C39" s="499"/>
      <c r="D39" s="499"/>
      <c r="E39" s="499"/>
      <c r="F39" s="681"/>
      <c r="G39" s="681"/>
      <c r="H39" s="681"/>
      <c r="I39" s="681"/>
      <c r="J39" s="681"/>
      <c r="K39" s="499"/>
      <c r="L39" s="161"/>
    </row>
    <row r="40" spans="2:12" x14ac:dyDescent="0.2">
      <c r="B40" s="157"/>
      <c r="C40" s="188"/>
      <c r="D40" s="188"/>
      <c r="E40" s="188"/>
      <c r="F40" s="189"/>
      <c r="G40" s="189"/>
      <c r="H40" s="189"/>
      <c r="I40" s="189"/>
      <c r="J40" s="189"/>
      <c r="K40" s="188"/>
      <c r="L40" s="161"/>
    </row>
    <row r="41" spans="2:12" x14ac:dyDescent="0.2">
      <c r="B41" s="157"/>
      <c r="C41" s="499"/>
      <c r="D41" s="499"/>
      <c r="E41" s="499"/>
      <c r="F41" s="681"/>
      <c r="G41" s="681"/>
      <c r="H41" s="681"/>
      <c r="I41" s="681"/>
      <c r="J41" s="681"/>
      <c r="K41" s="499"/>
      <c r="L41" s="161"/>
    </row>
    <row r="42" spans="2:12" x14ac:dyDescent="0.2">
      <c r="B42" s="157"/>
      <c r="C42" s="499"/>
      <c r="D42" s="682" t="s">
        <v>308</v>
      </c>
      <c r="E42" s="499"/>
      <c r="F42" s="681"/>
      <c r="G42" s="681"/>
      <c r="H42" s="681"/>
      <c r="I42" s="681"/>
      <c r="J42" s="681"/>
      <c r="K42" s="499"/>
      <c r="L42" s="161"/>
    </row>
    <row r="43" spans="2:12" x14ac:dyDescent="0.2">
      <c r="B43" s="157"/>
      <c r="C43" s="499"/>
      <c r="D43" s="500"/>
      <c r="E43" s="499"/>
      <c r="F43" s="685"/>
      <c r="G43" s="681"/>
      <c r="H43" s="681"/>
      <c r="I43" s="681"/>
      <c r="J43" s="681"/>
      <c r="K43" s="499"/>
      <c r="L43" s="161"/>
    </row>
    <row r="44" spans="2:12" x14ac:dyDescent="0.2">
      <c r="B44" s="157"/>
      <c r="C44" s="499"/>
      <c r="D44" s="500" t="s">
        <v>265</v>
      </c>
      <c r="E44" s="499"/>
      <c r="F44" s="841">
        <v>40575</v>
      </c>
      <c r="G44" s="681"/>
      <c r="H44" s="681"/>
      <c r="I44" s="681"/>
      <c r="J44" s="681"/>
      <c r="K44" s="499"/>
      <c r="L44" s="161"/>
    </row>
    <row r="45" spans="2:12" x14ac:dyDescent="0.2">
      <c r="B45" s="157"/>
      <c r="C45" s="499"/>
      <c r="D45" s="500"/>
      <c r="E45" s="499"/>
      <c r="F45" s="686"/>
      <c r="G45" s="681"/>
      <c r="H45" s="681"/>
      <c r="I45" s="681"/>
      <c r="J45" s="681"/>
      <c r="K45" s="499"/>
      <c r="L45" s="161"/>
    </row>
    <row r="46" spans="2:12" x14ac:dyDescent="0.2">
      <c r="B46" s="157"/>
      <c r="C46" s="499"/>
      <c r="D46" s="499" t="str">
        <f>D25</f>
        <v>Naam SBO 1</v>
      </c>
      <c r="E46" s="499"/>
      <c r="F46" s="842">
        <v>122</v>
      </c>
      <c r="G46" s="842">
        <v>122</v>
      </c>
      <c r="H46" s="687">
        <f t="shared" ref="H46:J49" si="4">G46</f>
        <v>122</v>
      </c>
      <c r="I46" s="687">
        <f t="shared" si="4"/>
        <v>122</v>
      </c>
      <c r="J46" s="687">
        <f t="shared" si="4"/>
        <v>122</v>
      </c>
      <c r="K46" s="499"/>
      <c r="L46" s="161"/>
    </row>
    <row r="47" spans="2:12" x14ac:dyDescent="0.2">
      <c r="B47" s="157"/>
      <c r="C47" s="499"/>
      <c r="D47" s="499" t="str">
        <f>D26</f>
        <v>Naam SBO 2</v>
      </c>
      <c r="E47" s="499"/>
      <c r="F47" s="842">
        <v>83</v>
      </c>
      <c r="G47" s="842">
        <v>83</v>
      </c>
      <c r="H47" s="687">
        <f t="shared" si="4"/>
        <v>83</v>
      </c>
      <c r="I47" s="687">
        <f t="shared" si="4"/>
        <v>83</v>
      </c>
      <c r="J47" s="687">
        <f t="shared" si="4"/>
        <v>83</v>
      </c>
      <c r="K47" s="499"/>
      <c r="L47" s="161"/>
    </row>
    <row r="48" spans="2:12" x14ac:dyDescent="0.2">
      <c r="B48" s="157"/>
      <c r="C48" s="499"/>
      <c r="D48" s="499" t="str">
        <f>D27</f>
        <v>Naam SBO 3</v>
      </c>
      <c r="E48" s="499"/>
      <c r="F48" s="842">
        <v>0</v>
      </c>
      <c r="G48" s="842">
        <v>0</v>
      </c>
      <c r="H48" s="687">
        <f t="shared" si="4"/>
        <v>0</v>
      </c>
      <c r="I48" s="687">
        <f t="shared" si="4"/>
        <v>0</v>
      </c>
      <c r="J48" s="687">
        <f t="shared" si="4"/>
        <v>0</v>
      </c>
      <c r="K48" s="499"/>
      <c r="L48" s="161"/>
    </row>
    <row r="49" spans="2:12" x14ac:dyDescent="0.2">
      <c r="B49" s="157"/>
      <c r="C49" s="499"/>
      <c r="D49" s="499" t="str">
        <f>D28</f>
        <v>Naam SBO 4</v>
      </c>
      <c r="E49" s="499"/>
      <c r="F49" s="842">
        <v>0</v>
      </c>
      <c r="G49" s="842">
        <v>0</v>
      </c>
      <c r="H49" s="687">
        <f t="shared" si="4"/>
        <v>0</v>
      </c>
      <c r="I49" s="687">
        <f t="shared" si="4"/>
        <v>0</v>
      </c>
      <c r="J49" s="687">
        <f t="shared" si="4"/>
        <v>0</v>
      </c>
      <c r="K49" s="499"/>
      <c r="L49" s="161"/>
    </row>
    <row r="50" spans="2:12" s="40" customFormat="1" x14ac:dyDescent="0.2">
      <c r="B50" s="168"/>
      <c r="C50" s="688"/>
      <c r="D50" s="688"/>
      <c r="E50" s="688"/>
      <c r="F50" s="845">
        <f>SUM(F46:F49)</f>
        <v>205</v>
      </c>
      <c r="G50" s="845">
        <f>SUM(G46:G49)</f>
        <v>205</v>
      </c>
      <c r="H50" s="689">
        <f>SUM(H46:H49)</f>
        <v>205</v>
      </c>
      <c r="I50" s="689">
        <f>SUM(I46:I49)</f>
        <v>205</v>
      </c>
      <c r="J50" s="689">
        <f>SUM(J46:J49)</f>
        <v>205</v>
      </c>
      <c r="K50" s="688"/>
      <c r="L50" s="169"/>
    </row>
    <row r="51" spans="2:12" x14ac:dyDescent="0.2">
      <c r="B51" s="157"/>
      <c r="C51" s="499"/>
      <c r="D51" s="499"/>
      <c r="E51" s="499"/>
      <c r="F51" s="681"/>
      <c r="G51" s="681"/>
      <c r="H51" s="681"/>
      <c r="I51" s="681"/>
      <c r="J51" s="681"/>
      <c r="K51" s="499"/>
      <c r="L51" s="161"/>
    </row>
    <row r="52" spans="2:12" x14ac:dyDescent="0.2">
      <c r="B52" s="157"/>
      <c r="C52" s="188"/>
      <c r="D52" s="188"/>
      <c r="E52" s="188"/>
      <c r="F52" s="189"/>
      <c r="G52" s="189"/>
      <c r="H52" s="189"/>
      <c r="I52" s="189"/>
      <c r="J52" s="189"/>
      <c r="K52" s="188"/>
      <c r="L52" s="161"/>
    </row>
    <row r="53" spans="2:12" x14ac:dyDescent="0.2">
      <c r="B53" s="157"/>
      <c r="C53" s="499"/>
      <c r="D53" s="499"/>
      <c r="E53" s="499"/>
      <c r="F53" s="681"/>
      <c r="G53" s="681"/>
      <c r="H53" s="681"/>
      <c r="I53" s="681"/>
      <c r="J53" s="681"/>
      <c r="K53" s="499"/>
      <c r="L53" s="161"/>
    </row>
    <row r="54" spans="2:12" x14ac:dyDescent="0.2">
      <c r="B54" s="157"/>
      <c r="C54" s="499"/>
      <c r="D54" s="499"/>
      <c r="E54" s="499"/>
      <c r="F54" s="681"/>
      <c r="G54" s="681"/>
      <c r="H54" s="681"/>
      <c r="I54" s="681"/>
      <c r="J54" s="681"/>
      <c r="K54" s="499"/>
      <c r="L54" s="161"/>
    </row>
    <row r="55" spans="2:12" x14ac:dyDescent="0.2">
      <c r="B55" s="157"/>
      <c r="C55" s="499"/>
      <c r="D55" s="682" t="s">
        <v>88</v>
      </c>
      <c r="E55" s="499"/>
      <c r="F55" s="517" t="s">
        <v>352</v>
      </c>
      <c r="G55" s="517" t="str">
        <f>F55</f>
        <v>ja</v>
      </c>
      <c r="H55" s="683" t="str">
        <f>G55</f>
        <v>ja</v>
      </c>
      <c r="I55" s="683" t="str">
        <f>H55</f>
        <v>ja</v>
      </c>
      <c r="J55" s="683" t="str">
        <f>I55</f>
        <v>ja</v>
      </c>
      <c r="K55" s="499"/>
      <c r="L55" s="161"/>
    </row>
    <row r="56" spans="2:12" x14ac:dyDescent="0.2">
      <c r="B56" s="157"/>
      <c r="C56" s="499"/>
      <c r="D56" s="499"/>
      <c r="E56" s="499"/>
      <c r="F56" s="681"/>
      <c r="G56" s="681"/>
      <c r="H56" s="681"/>
      <c r="I56" s="681"/>
      <c r="J56" s="681"/>
      <c r="K56" s="499"/>
      <c r="L56" s="161"/>
    </row>
    <row r="57" spans="2:12" x14ac:dyDescent="0.2">
      <c r="B57" s="157"/>
      <c r="C57" s="499"/>
      <c r="D57" s="500" t="s">
        <v>351</v>
      </c>
      <c r="E57" s="499"/>
      <c r="F57" s="681"/>
      <c r="G57" s="681"/>
      <c r="H57" s="681"/>
      <c r="I57" s="681"/>
      <c r="J57" s="681"/>
      <c r="K57" s="499"/>
      <c r="L57" s="161"/>
    </row>
    <row r="58" spans="2:12" x14ac:dyDescent="0.2">
      <c r="B58" s="157"/>
      <c r="C58" s="499"/>
      <c r="D58" s="499" t="str">
        <f>D25</f>
        <v>Naam SBO 1</v>
      </c>
      <c r="E58" s="499"/>
      <c r="F58" s="843">
        <v>0</v>
      </c>
      <c r="G58" s="843">
        <v>0</v>
      </c>
      <c r="H58" s="684">
        <f>G58+1-1</f>
        <v>0</v>
      </c>
      <c r="I58" s="684">
        <f>H58+1-1</f>
        <v>0</v>
      </c>
      <c r="J58" s="684">
        <f>I58+1-1</f>
        <v>0</v>
      </c>
      <c r="K58" s="499"/>
      <c r="L58" s="161"/>
    </row>
    <row r="59" spans="2:12" x14ac:dyDescent="0.2">
      <c r="B59" s="157"/>
      <c r="C59" s="499"/>
      <c r="D59" s="499" t="str">
        <f>D26</f>
        <v>Naam SBO 2</v>
      </c>
      <c r="E59" s="499"/>
      <c r="F59" s="843">
        <v>0</v>
      </c>
      <c r="G59" s="843">
        <v>0</v>
      </c>
      <c r="H59" s="684">
        <f>G59</f>
        <v>0</v>
      </c>
      <c r="I59" s="684">
        <f>H59</f>
        <v>0</v>
      </c>
      <c r="J59" s="684">
        <f>I59</f>
        <v>0</v>
      </c>
      <c r="K59" s="499"/>
      <c r="L59" s="161"/>
    </row>
    <row r="60" spans="2:12" x14ac:dyDescent="0.2">
      <c r="B60" s="157"/>
      <c r="C60" s="499"/>
      <c r="D60" s="499" t="str">
        <f>D27</f>
        <v>Naam SBO 3</v>
      </c>
      <c r="E60" s="499"/>
      <c r="F60" s="843">
        <v>0</v>
      </c>
      <c r="G60" s="843">
        <v>0</v>
      </c>
      <c r="H60" s="684">
        <f t="shared" ref="H60:J61" si="5">G60</f>
        <v>0</v>
      </c>
      <c r="I60" s="684">
        <f t="shared" si="5"/>
        <v>0</v>
      </c>
      <c r="J60" s="684">
        <f t="shared" si="5"/>
        <v>0</v>
      </c>
      <c r="K60" s="499"/>
      <c r="L60" s="161"/>
    </row>
    <row r="61" spans="2:12" x14ac:dyDescent="0.2">
      <c r="B61" s="157"/>
      <c r="C61" s="499"/>
      <c r="D61" s="499" t="str">
        <f>D28</f>
        <v>Naam SBO 4</v>
      </c>
      <c r="E61" s="499"/>
      <c r="F61" s="843">
        <v>0</v>
      </c>
      <c r="G61" s="843">
        <v>0</v>
      </c>
      <c r="H61" s="684">
        <f t="shared" si="5"/>
        <v>0</v>
      </c>
      <c r="I61" s="684">
        <f t="shared" si="5"/>
        <v>0</v>
      </c>
      <c r="J61" s="684">
        <f t="shared" si="5"/>
        <v>0</v>
      </c>
      <c r="K61" s="499"/>
      <c r="L61" s="161"/>
    </row>
    <row r="62" spans="2:12" x14ac:dyDescent="0.2">
      <c r="B62" s="157"/>
      <c r="C62" s="499"/>
      <c r="D62" s="499"/>
      <c r="E62" s="499"/>
      <c r="F62" s="681"/>
      <c r="G62" s="681"/>
      <c r="H62" s="681"/>
      <c r="I62" s="681"/>
      <c r="J62" s="681"/>
      <c r="K62" s="499"/>
      <c r="L62" s="161"/>
    </row>
    <row r="63" spans="2:12" x14ac:dyDescent="0.2">
      <c r="B63" s="157"/>
      <c r="C63" s="188"/>
      <c r="D63" s="188"/>
      <c r="E63" s="188"/>
      <c r="F63" s="189"/>
      <c r="G63" s="189"/>
      <c r="H63" s="189"/>
      <c r="I63" s="189"/>
      <c r="J63" s="189"/>
      <c r="K63" s="188"/>
      <c r="L63" s="161"/>
    </row>
    <row r="64" spans="2:12" x14ac:dyDescent="0.2">
      <c r="B64" s="157"/>
      <c r="C64" s="499"/>
      <c r="D64" s="499"/>
      <c r="E64" s="499"/>
      <c r="F64" s="681"/>
      <c r="G64" s="681"/>
      <c r="H64" s="681"/>
      <c r="I64" s="681"/>
      <c r="J64" s="681"/>
      <c r="K64" s="499"/>
      <c r="L64" s="161"/>
    </row>
    <row r="65" spans="2:12" x14ac:dyDescent="0.2">
      <c r="B65" s="157"/>
      <c r="C65" s="499"/>
      <c r="D65" s="682" t="s">
        <v>337</v>
      </c>
      <c r="E65" s="499"/>
      <c r="F65" s="517" t="s">
        <v>352</v>
      </c>
      <c r="G65" s="517" t="str">
        <f>F65</f>
        <v>ja</v>
      </c>
      <c r="H65" s="683" t="str">
        <f>G65</f>
        <v>ja</v>
      </c>
      <c r="I65" s="683" t="str">
        <f>H65</f>
        <v>ja</v>
      </c>
      <c r="J65" s="683" t="str">
        <f>I65</f>
        <v>ja</v>
      </c>
      <c r="K65" s="499"/>
      <c r="L65" s="161"/>
    </row>
    <row r="66" spans="2:12" x14ac:dyDescent="0.2">
      <c r="B66" s="157"/>
      <c r="C66" s="499"/>
      <c r="D66" s="499"/>
      <c r="E66" s="499"/>
      <c r="F66" s="681"/>
      <c r="G66" s="681"/>
      <c r="H66" s="681"/>
      <c r="I66" s="681"/>
      <c r="J66" s="681"/>
      <c r="K66" s="499"/>
      <c r="L66" s="161"/>
    </row>
    <row r="67" spans="2:12" x14ac:dyDescent="0.2">
      <c r="B67" s="157"/>
      <c r="C67" s="188"/>
      <c r="D67" s="188"/>
      <c r="E67" s="188"/>
      <c r="F67" s="189"/>
      <c r="G67" s="189"/>
      <c r="H67" s="189"/>
      <c r="I67" s="189"/>
      <c r="J67" s="189"/>
      <c r="K67" s="188"/>
      <c r="L67" s="161"/>
    </row>
    <row r="68" spans="2:12" x14ac:dyDescent="0.2">
      <c r="B68" s="157"/>
      <c r="C68" s="499"/>
      <c r="D68" s="499"/>
      <c r="E68" s="499"/>
      <c r="F68" s="681"/>
      <c r="G68" s="681"/>
      <c r="H68" s="681"/>
      <c r="I68" s="681"/>
      <c r="J68" s="681"/>
      <c r="K68" s="499"/>
      <c r="L68" s="161"/>
    </row>
    <row r="69" spans="2:12" x14ac:dyDescent="0.2">
      <c r="B69" s="157"/>
      <c r="C69" s="499"/>
      <c r="D69" s="682" t="s">
        <v>46</v>
      </c>
      <c r="E69" s="499"/>
      <c r="F69" s="681"/>
      <c r="G69" s="681"/>
      <c r="H69" s="681"/>
      <c r="I69" s="681"/>
      <c r="J69" s="681"/>
      <c r="K69" s="499"/>
      <c r="L69" s="161"/>
    </row>
    <row r="70" spans="2:12" x14ac:dyDescent="0.2">
      <c r="B70" s="157"/>
      <c r="C70" s="499"/>
      <c r="D70" s="502"/>
      <c r="E70" s="499"/>
      <c r="F70" s="681"/>
      <c r="G70" s="681"/>
      <c r="H70" s="681"/>
      <c r="I70" s="681"/>
      <c r="J70" s="681"/>
      <c r="K70" s="499"/>
      <c r="L70" s="161"/>
    </row>
    <row r="71" spans="2:12" x14ac:dyDescent="0.2">
      <c r="B71" s="157"/>
      <c r="C71" s="499"/>
      <c r="D71" s="500" t="s">
        <v>311</v>
      </c>
      <c r="E71" s="499"/>
      <c r="F71" s="681"/>
      <c r="G71" s="681"/>
      <c r="H71" s="681"/>
      <c r="I71" s="681"/>
      <c r="J71" s="681"/>
      <c r="K71" s="499"/>
      <c r="L71" s="161"/>
    </row>
    <row r="72" spans="2:12" x14ac:dyDescent="0.2">
      <c r="B72" s="157"/>
      <c r="C72" s="499"/>
      <c r="D72" s="499" t="s">
        <v>244</v>
      </c>
      <c r="E72" s="499"/>
      <c r="F72" s="517"/>
      <c r="G72" s="517"/>
      <c r="H72" s="683">
        <f t="shared" ref="H72:J73" si="6">G72</f>
        <v>0</v>
      </c>
      <c r="I72" s="683">
        <f t="shared" si="6"/>
        <v>0</v>
      </c>
      <c r="J72" s="683">
        <f t="shared" si="6"/>
        <v>0</v>
      </c>
      <c r="K72" s="499"/>
      <c r="L72" s="161"/>
    </row>
    <row r="73" spans="2:12" x14ac:dyDescent="0.2">
      <c r="B73" s="157"/>
      <c r="C73" s="499"/>
      <c r="D73" s="499" t="s">
        <v>245</v>
      </c>
      <c r="E73" s="499"/>
      <c r="F73" s="517"/>
      <c r="G73" s="517"/>
      <c r="H73" s="683">
        <f t="shared" si="6"/>
        <v>0</v>
      </c>
      <c r="I73" s="683">
        <f t="shared" si="6"/>
        <v>0</v>
      </c>
      <c r="J73" s="683">
        <f t="shared" si="6"/>
        <v>0</v>
      </c>
      <c r="K73" s="499"/>
      <c r="L73" s="161"/>
    </row>
    <row r="74" spans="2:12" x14ac:dyDescent="0.2">
      <c r="B74" s="157"/>
      <c r="C74" s="499"/>
      <c r="D74" s="499"/>
      <c r="E74" s="499"/>
      <c r="F74" s="681"/>
      <c r="G74" s="681"/>
      <c r="H74" s="681"/>
      <c r="I74" s="681"/>
      <c r="J74" s="681"/>
      <c r="K74" s="499"/>
      <c r="L74" s="161"/>
    </row>
    <row r="75" spans="2:12" x14ac:dyDescent="0.2">
      <c r="B75" s="157"/>
      <c r="C75" s="499"/>
      <c r="D75" s="500" t="s">
        <v>243</v>
      </c>
      <c r="E75" s="499"/>
      <c r="F75" s="681"/>
      <c r="G75" s="681"/>
      <c r="H75" s="681"/>
      <c r="I75" s="681"/>
      <c r="J75" s="681"/>
      <c r="K75" s="499"/>
      <c r="L75" s="161"/>
    </row>
    <row r="76" spans="2:12" x14ac:dyDescent="0.2">
      <c r="B76" s="157"/>
      <c r="C76" s="499"/>
      <c r="D76" s="499" t="s">
        <v>246</v>
      </c>
      <c r="E76" s="499"/>
      <c r="F76" s="517"/>
      <c r="G76" s="517"/>
      <c r="H76" s="683">
        <f t="shared" ref="H76:J77" si="7">G76</f>
        <v>0</v>
      </c>
      <c r="I76" s="683">
        <f t="shared" si="7"/>
        <v>0</v>
      </c>
      <c r="J76" s="683">
        <f t="shared" si="7"/>
        <v>0</v>
      </c>
      <c r="K76" s="499"/>
      <c r="L76" s="161"/>
    </row>
    <row r="77" spans="2:12" x14ac:dyDescent="0.2">
      <c r="B77" s="157"/>
      <c r="C77" s="499"/>
      <c r="D77" s="499" t="s">
        <v>247</v>
      </c>
      <c r="E77" s="499"/>
      <c r="F77" s="517"/>
      <c r="G77" s="517"/>
      <c r="H77" s="683">
        <f t="shared" si="7"/>
        <v>0</v>
      </c>
      <c r="I77" s="683">
        <f t="shared" si="7"/>
        <v>0</v>
      </c>
      <c r="J77" s="683">
        <f t="shared" si="7"/>
        <v>0</v>
      </c>
      <c r="K77" s="499"/>
      <c r="L77" s="161"/>
    </row>
    <row r="78" spans="2:12" x14ac:dyDescent="0.2">
      <c r="B78" s="157"/>
      <c r="C78" s="499"/>
      <c r="D78" s="499"/>
      <c r="E78" s="499"/>
      <c r="F78" s="681"/>
      <c r="G78" s="681"/>
      <c r="H78" s="681"/>
      <c r="I78" s="681"/>
      <c r="J78" s="681"/>
      <c r="K78" s="499"/>
      <c r="L78" s="161"/>
    </row>
    <row r="79" spans="2:12" x14ac:dyDescent="0.2">
      <c r="B79" s="157"/>
      <c r="C79" s="188"/>
      <c r="D79" s="188"/>
      <c r="E79" s="188"/>
      <c r="F79" s="189"/>
      <c r="G79" s="189"/>
      <c r="H79" s="189"/>
      <c r="I79" s="189"/>
      <c r="J79" s="189"/>
      <c r="K79" s="188"/>
      <c r="L79" s="161"/>
    </row>
    <row r="80" spans="2:12" x14ac:dyDescent="0.2">
      <c r="B80" s="157"/>
      <c r="C80" s="499"/>
      <c r="D80" s="499"/>
      <c r="E80" s="499"/>
      <c r="F80" s="681"/>
      <c r="G80" s="681"/>
      <c r="H80" s="681"/>
      <c r="I80" s="681"/>
      <c r="J80" s="681"/>
      <c r="K80" s="499"/>
      <c r="L80" s="161"/>
    </row>
    <row r="81" spans="2:12" x14ac:dyDescent="0.2">
      <c r="B81" s="157"/>
      <c r="C81" s="499"/>
      <c r="D81" s="682" t="s">
        <v>312</v>
      </c>
      <c r="E81" s="499"/>
      <c r="F81" s="681"/>
      <c r="G81" s="681"/>
      <c r="H81" s="681"/>
      <c r="I81" s="681"/>
      <c r="J81" s="681"/>
      <c r="K81" s="499"/>
      <c r="L81" s="161"/>
    </row>
    <row r="82" spans="2:12" x14ac:dyDescent="0.2">
      <c r="B82" s="157"/>
      <c r="C82" s="499"/>
      <c r="D82" s="500"/>
      <c r="E82" s="499"/>
      <c r="F82" s="681"/>
      <c r="G82" s="681"/>
      <c r="H82" s="681"/>
      <c r="I82" s="681"/>
      <c r="J82" s="681"/>
      <c r="K82" s="499"/>
      <c r="L82" s="161"/>
    </row>
    <row r="83" spans="2:12" x14ac:dyDescent="0.2">
      <c r="B83" s="157"/>
      <c r="C83" s="499"/>
      <c r="D83" s="499" t="s">
        <v>47</v>
      </c>
      <c r="E83" s="499"/>
      <c r="F83" s="844">
        <f>IF(F$31=0,0,+F$29/F$31)</f>
        <v>3.2258064516129031E-2</v>
      </c>
      <c r="G83" s="844">
        <f>IF(G$31=0,0,+G$29/G$31)</f>
        <v>3.2258064516129031E-2</v>
      </c>
      <c r="H83" s="694">
        <f>IF(H$31=0,0,+H$29/H$31)</f>
        <v>3.2258064516129031E-2</v>
      </c>
      <c r="I83" s="694">
        <f>IF(I$31=0,0,+I$29/I$31)</f>
        <v>3.2258064516129031E-2</v>
      </c>
      <c r="J83" s="694">
        <f>IF(J$31=0,0,+J$29/J$31)</f>
        <v>3.2258064516129031E-2</v>
      </c>
      <c r="K83" s="499"/>
      <c r="L83" s="161"/>
    </row>
    <row r="84" spans="2:12" x14ac:dyDescent="0.2">
      <c r="B84" s="157"/>
      <c r="C84" s="499"/>
      <c r="D84" s="499" t="s">
        <v>55</v>
      </c>
      <c r="E84" s="499"/>
      <c r="F84" s="844">
        <f>IF(F$31=0,0,+(F$29-(F$72+F$73))/F$31)</f>
        <v>3.2258064516129031E-2</v>
      </c>
      <c r="G84" s="844">
        <f>IF(G$31=0,0,+(G$29-(G$72+G$73))/G$31)</f>
        <v>3.2258064516129031E-2</v>
      </c>
      <c r="H84" s="694">
        <f>IF(H$31=0,0,+(H$29-(H$72+H$73))/H$31)</f>
        <v>3.2258064516129031E-2</v>
      </c>
      <c r="I84" s="694">
        <f>IF(I$31=0,0,+(I$29-(I$72+I$73))/I$31)</f>
        <v>3.2258064516129031E-2</v>
      </c>
      <c r="J84" s="694">
        <f>IF(J$31=0,0,+(J$29-(J$72+J$73))/J$31)</f>
        <v>3.2258064516129031E-2</v>
      </c>
      <c r="K84" s="499"/>
      <c r="L84" s="161"/>
    </row>
    <row r="85" spans="2:12" s="41" customFormat="1" x14ac:dyDescent="0.2">
      <c r="B85" s="157"/>
      <c r="C85" s="502"/>
      <c r="D85" s="499" t="s">
        <v>248</v>
      </c>
      <c r="E85" s="502"/>
      <c r="F85" s="844">
        <f>IF(F$31=0,0,+(F$29-(F$72+F$73)+(F$76+F$77))/F$31)</f>
        <v>3.2258064516129031E-2</v>
      </c>
      <c r="G85" s="844">
        <f>IF(G$31=0,0,+(G$29-(G$72+G$73)+(G$76+G$77))/G$31)</f>
        <v>3.2258064516129031E-2</v>
      </c>
      <c r="H85" s="694">
        <f>IF(H$31=0,0,+(H$29-(H$72+H$73)+(H$76+H$77))/H$31)</f>
        <v>3.2258064516129031E-2</v>
      </c>
      <c r="I85" s="694">
        <f>IF(I$31=0,0,+(I$29-(I$72+I$73)+(I$76+I$77))/I$31)</f>
        <v>3.2258064516129031E-2</v>
      </c>
      <c r="J85" s="694">
        <f>IF(J$31=0,0,+(J$29-(J$72+J$73)+(J$76+J$77))/J$31)</f>
        <v>3.2258064516129031E-2</v>
      </c>
      <c r="K85" s="502"/>
      <c r="L85" s="171"/>
    </row>
    <row r="86" spans="2:12" x14ac:dyDescent="0.2">
      <c r="B86" s="157"/>
      <c r="C86" s="499"/>
      <c r="D86" s="499"/>
      <c r="E86" s="499"/>
      <c r="F86" s="681"/>
      <c r="G86" s="681"/>
      <c r="H86" s="681"/>
      <c r="I86" s="681"/>
      <c r="J86" s="681"/>
      <c r="K86" s="499"/>
      <c r="L86" s="161"/>
    </row>
    <row r="87" spans="2:12" x14ac:dyDescent="0.2">
      <c r="B87" s="157"/>
      <c r="C87" s="158"/>
      <c r="D87" s="158"/>
      <c r="E87" s="158"/>
      <c r="F87" s="160"/>
      <c r="G87" s="160"/>
      <c r="H87" s="160"/>
      <c r="I87" s="160"/>
      <c r="J87" s="160"/>
      <c r="K87" s="158"/>
      <c r="L87" s="161"/>
    </row>
    <row r="88" spans="2:12" ht="15" x14ac:dyDescent="0.25">
      <c r="B88" s="172"/>
      <c r="C88" s="173"/>
      <c r="D88" s="173"/>
      <c r="E88" s="173"/>
      <c r="F88" s="174"/>
      <c r="G88" s="174"/>
      <c r="H88" s="174"/>
      <c r="I88" s="174"/>
      <c r="J88" s="174"/>
      <c r="K88" s="175" t="s">
        <v>423</v>
      </c>
      <c r="L88" s="176"/>
    </row>
    <row r="101" s="41" customFormat="1" x14ac:dyDescent="0.2"/>
    <row r="106" s="41" customFormat="1" x14ac:dyDescent="0.2"/>
    <row r="111" s="41" customFormat="1" x14ac:dyDescent="0.2"/>
    <row r="116" s="41" customFormat="1" x14ac:dyDescent="0.2"/>
    <row r="121" s="41" customFormat="1" x14ac:dyDescent="0.2"/>
    <row r="134" s="41" customFormat="1" x14ac:dyDescent="0.2"/>
    <row r="140" s="41" customFormat="1" x14ac:dyDescent="0.2"/>
    <row r="146" s="41" customFormat="1" x14ac:dyDescent="0.2"/>
    <row r="152" s="41" customFormat="1" x14ac:dyDescent="0.2"/>
    <row r="158" s="41" customFormat="1" x14ac:dyDescent="0.2"/>
    <row r="164" s="41" customFormat="1" x14ac:dyDescent="0.2"/>
    <row r="177" s="41" customFormat="1" x14ac:dyDescent="0.2"/>
    <row r="183" s="41" customFormat="1" x14ac:dyDescent="0.2"/>
    <row r="189" s="41" customFormat="1" x14ac:dyDescent="0.2"/>
    <row r="195" s="41" customFormat="1" x14ac:dyDescent="0.2"/>
    <row r="201" s="41" customFormat="1" x14ac:dyDescent="0.2"/>
    <row r="207" s="41" customFormat="1" x14ac:dyDescent="0.2"/>
  </sheetData>
  <sheetProtection password="DFB1" sheet="1" objects="1" scenarios="1"/>
  <phoneticPr fontId="0" type="noConversion"/>
  <dataValidations count="2">
    <dataValidation type="list" allowBlank="1" showInputMessage="1" showErrorMessage="1" sqref="F56:J56">
      <formula1>"j,n"</formula1>
    </dataValidation>
    <dataValidation type="list" allowBlank="1" showInputMessage="1" showErrorMessage="1" sqref="F55:J55 F65:J65">
      <formula1>"ja,nee"</formula1>
    </dataValidation>
  </dataValidations>
  <pageMargins left="0.74803149606299213" right="0.74803149606299213" top="0.98425196850393704" bottom="0.98425196850393704" header="0.51181102362204722" footer="0.51181102362204722"/>
  <pageSetup paperSize="9" scale="60" orientation="portrait" r:id="rId1"/>
  <headerFooter alignWithMargins="0">
    <oddHeader>&amp;L&amp;"Arial,Vet"&amp;9&amp;F&amp;R&amp;"Arial,Vet"&amp;9&amp;A</oddHeader>
    <oddFooter>&amp;L&amp;"Arial,Vet"&amp;9PO-Raad&amp;C&amp;"Arial,Vet"&amp;9pagina &amp;P&amp;R&amp;"Arial,Vet"&amp;9&amp;D</oddFooter>
  </headerFooter>
  <rowBreaks count="2" manualBreakCount="2">
    <brk id="88" min="1" max="12" man="1"/>
    <brk id="166" min="1" max="1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197"/>
  <sheetViews>
    <sheetView showGridLines="0" zoomScale="85" zoomScaleNormal="85" zoomScaleSheetLayoutView="70" workbookViewId="0">
      <pane ySplit="9" topLeftCell="A10" activePane="bottomLeft" state="frozen"/>
      <selection activeCell="B3" sqref="A1:IV65536"/>
      <selection pane="bottomLeft" activeCell="B2" sqref="B2"/>
    </sheetView>
  </sheetViews>
  <sheetFormatPr defaultColWidth="9.140625" defaultRowHeight="12.75" x14ac:dyDescent="0.2"/>
  <cols>
    <col min="1" max="1" width="3.7109375" style="33" customWidth="1"/>
    <col min="2" max="3" width="2.7109375" style="33" customWidth="1"/>
    <col min="4" max="4" width="51.42578125" style="33" customWidth="1"/>
    <col min="5" max="5" width="2.7109375" style="33" customWidth="1"/>
    <col min="6" max="7" width="14.85546875" style="42" customWidth="1"/>
    <col min="8" max="10" width="14.85546875" style="42" hidden="1" customWidth="1"/>
    <col min="11" max="12" width="2.7109375" style="33" customWidth="1"/>
    <col min="13" max="16384" width="9.140625" style="33"/>
  </cols>
  <sheetData>
    <row r="2" spans="2:12" x14ac:dyDescent="0.2">
      <c r="B2" s="153"/>
      <c r="C2" s="154"/>
      <c r="D2" s="154"/>
      <c r="E2" s="154"/>
      <c r="F2" s="155"/>
      <c r="G2" s="155"/>
      <c r="H2" s="155"/>
      <c r="I2" s="155"/>
      <c r="J2" s="155"/>
      <c r="K2" s="154"/>
      <c r="L2" s="156"/>
    </row>
    <row r="3" spans="2:12" x14ac:dyDescent="0.2">
      <c r="B3" s="157"/>
      <c r="C3" s="158"/>
      <c r="D3" s="159"/>
      <c r="E3" s="158"/>
      <c r="F3" s="160"/>
      <c r="G3" s="160"/>
      <c r="H3" s="160"/>
      <c r="I3" s="160"/>
      <c r="J3" s="160"/>
      <c r="K3" s="158"/>
      <c r="L3" s="161"/>
    </row>
    <row r="4" spans="2:12" s="68" customFormat="1" ht="18.75" x14ac:dyDescent="0.3">
      <c r="B4" s="190"/>
      <c r="C4" s="183" t="s">
        <v>285</v>
      </c>
      <c r="D4" s="200"/>
      <c r="E4" s="191"/>
      <c r="F4" s="192"/>
      <c r="G4" s="192"/>
      <c r="H4" s="192"/>
      <c r="I4" s="192"/>
      <c r="J4" s="192"/>
      <c r="K4" s="191"/>
      <c r="L4" s="193"/>
    </row>
    <row r="5" spans="2:12" s="38" customFormat="1" ht="18.75" x14ac:dyDescent="0.3">
      <c r="B5" s="162"/>
      <c r="C5" s="194" t="str">
        <f>geg!F10</f>
        <v>Zorgzaam</v>
      </c>
      <c r="D5" s="164"/>
      <c r="E5" s="164"/>
      <c r="F5" s="165"/>
      <c r="G5" s="165"/>
      <c r="H5" s="165"/>
      <c r="I5" s="165"/>
      <c r="J5" s="165"/>
      <c r="K5" s="164"/>
      <c r="L5" s="166"/>
    </row>
    <row r="6" spans="2:12" x14ac:dyDescent="0.2">
      <c r="B6" s="157"/>
      <c r="C6" s="158"/>
      <c r="D6" s="159"/>
      <c r="E6" s="158"/>
      <c r="F6" s="160"/>
      <c r="G6" s="160"/>
      <c r="H6" s="160"/>
      <c r="I6" s="160"/>
      <c r="J6" s="160"/>
      <c r="K6" s="158"/>
      <c r="L6" s="161"/>
    </row>
    <row r="7" spans="2:12" x14ac:dyDescent="0.2">
      <c r="B7" s="157"/>
      <c r="C7" s="158"/>
      <c r="D7" s="159"/>
      <c r="E7" s="158"/>
      <c r="F7" s="160"/>
      <c r="G7" s="160"/>
      <c r="H7" s="160"/>
      <c r="I7" s="160"/>
      <c r="J7" s="160"/>
      <c r="K7" s="158"/>
      <c r="L7" s="161"/>
    </row>
    <row r="8" spans="2:12" s="75" customFormat="1" x14ac:dyDescent="0.2">
      <c r="B8" s="195"/>
      <c r="C8" s="196"/>
      <c r="D8" s="184" t="s">
        <v>153</v>
      </c>
      <c r="E8" s="185"/>
      <c r="F8" s="186" t="str">
        <f>tab!C2</f>
        <v>2012/13</v>
      </c>
      <c r="G8" s="186" t="str">
        <f>tab!D2</f>
        <v>2013/14</v>
      </c>
      <c r="H8" s="186" t="str">
        <f>tab!E2</f>
        <v>2014/15</v>
      </c>
      <c r="I8" s="186" t="str">
        <f>tab!F2</f>
        <v>2015/16</v>
      </c>
      <c r="J8" s="186" t="str">
        <f>tab!G2</f>
        <v>2016/17</v>
      </c>
      <c r="K8" s="196"/>
      <c r="L8" s="197"/>
    </row>
    <row r="9" spans="2:12" x14ac:dyDescent="0.2">
      <c r="B9" s="157"/>
      <c r="C9" s="158"/>
      <c r="D9" s="159"/>
      <c r="E9" s="158"/>
      <c r="F9" s="158"/>
      <c r="G9" s="158"/>
      <c r="H9" s="158"/>
      <c r="I9" s="158"/>
      <c r="J9" s="158"/>
      <c r="K9" s="158"/>
      <c r="L9" s="161"/>
    </row>
    <row r="10" spans="2:12" x14ac:dyDescent="0.2">
      <c r="B10" s="157"/>
      <c r="C10" s="499"/>
      <c r="D10" s="502"/>
      <c r="E10" s="499"/>
      <c r="F10" s="681"/>
      <c r="G10" s="681"/>
      <c r="H10" s="681"/>
      <c r="I10" s="681"/>
      <c r="J10" s="681"/>
      <c r="K10" s="499"/>
      <c r="L10" s="161"/>
    </row>
    <row r="11" spans="2:12" x14ac:dyDescent="0.2">
      <c r="B11" s="157"/>
      <c r="C11" s="499"/>
      <c r="D11" s="682" t="s">
        <v>115</v>
      </c>
      <c r="E11" s="499"/>
      <c r="F11" s="681"/>
      <c r="G11" s="681"/>
      <c r="H11" s="681"/>
      <c r="I11" s="681"/>
      <c r="J11" s="681"/>
      <c r="K11" s="499"/>
      <c r="L11" s="161"/>
    </row>
    <row r="12" spans="2:12" x14ac:dyDescent="0.2">
      <c r="B12" s="157"/>
      <c r="C12" s="499"/>
      <c r="D12" s="502"/>
      <c r="E12" s="499"/>
      <c r="F12" s="681"/>
      <c r="G12" s="681"/>
      <c r="H12" s="681"/>
      <c r="I12" s="681"/>
      <c r="J12" s="681"/>
      <c r="K12" s="499"/>
      <c r="L12" s="161"/>
    </row>
    <row r="13" spans="2:12" x14ac:dyDescent="0.2">
      <c r="B13" s="157"/>
      <c r="C13" s="499"/>
      <c r="D13" s="500" t="s">
        <v>350</v>
      </c>
      <c r="E13" s="499"/>
      <c r="F13" s="681"/>
      <c r="G13" s="681"/>
      <c r="H13" s="681"/>
      <c r="I13" s="681"/>
      <c r="J13" s="681"/>
      <c r="K13" s="499"/>
      <c r="L13" s="161"/>
    </row>
    <row r="14" spans="2:12" x14ac:dyDescent="0.2">
      <c r="B14" s="157"/>
      <c r="C14" s="499"/>
      <c r="D14" s="499" t="s">
        <v>179</v>
      </c>
      <c r="E14" s="499"/>
      <c r="F14" s="783">
        <f>ROUND(+geg!F21*tab!C42,2)</f>
        <v>890940</v>
      </c>
      <c r="G14" s="783">
        <f>ROUND(+geg!G21*tab!$D$42,0)</f>
        <v>893280</v>
      </c>
      <c r="H14" s="781">
        <f>ROUND(+geg!H21*tab!$D$42,0)</f>
        <v>893280</v>
      </c>
      <c r="I14" s="781">
        <f>ROUND(+geg!I21*tab!$D$42,0)</f>
        <v>893280</v>
      </c>
      <c r="J14" s="781">
        <f>ROUND(+geg!J21*tab!$D$42,0)</f>
        <v>893280</v>
      </c>
      <c r="K14" s="499"/>
      <c r="L14" s="161"/>
    </row>
    <row r="15" spans="2:12" x14ac:dyDescent="0.2">
      <c r="B15" s="157"/>
      <c r="C15" s="499"/>
      <c r="D15" s="499" t="s">
        <v>363</v>
      </c>
      <c r="E15" s="499"/>
      <c r="F15" s="783">
        <f>IF(geg!F22&gt;tab!C64,geg!F22*tab!C65,0)</f>
        <v>9076</v>
      </c>
      <c r="G15" s="783">
        <f>IF(geg!G22&gt;74,geg!G22*tab!$D65,0)</f>
        <v>9875</v>
      </c>
      <c r="H15" s="781">
        <f>IF(geg!H22&gt;74,geg!H22*tab!$D65,0)</f>
        <v>9875</v>
      </c>
      <c r="I15" s="781">
        <f>IF(geg!I22&gt;74,geg!I22*tab!$D65,0)</f>
        <v>9875</v>
      </c>
      <c r="J15" s="781">
        <f>IF(geg!J22&gt;74,geg!J22*tab!$D65,0)</f>
        <v>9875</v>
      </c>
      <c r="K15" s="499"/>
      <c r="L15" s="161"/>
    </row>
    <row r="16" spans="2:12" x14ac:dyDescent="0.2">
      <c r="B16" s="157"/>
      <c r="C16" s="499"/>
      <c r="D16" s="502"/>
      <c r="E16" s="499"/>
      <c r="F16" s="850">
        <f>SUM(F14:F15)</f>
        <v>900016</v>
      </c>
      <c r="G16" s="850">
        <f>SUM(G14:G15)</f>
        <v>903155</v>
      </c>
      <c r="H16" s="848">
        <f>SUM(H14:H15)</f>
        <v>903155</v>
      </c>
      <c r="I16" s="848">
        <f>SUM(I14:I15)</f>
        <v>903155</v>
      </c>
      <c r="J16" s="848">
        <f>SUM(J14:J15)</f>
        <v>903155</v>
      </c>
      <c r="K16" s="499"/>
      <c r="L16" s="161"/>
    </row>
    <row r="17" spans="2:12" x14ac:dyDescent="0.2">
      <c r="B17" s="157"/>
      <c r="C17" s="499"/>
      <c r="D17" s="500" t="s">
        <v>116</v>
      </c>
      <c r="E17" s="499"/>
      <c r="F17" s="681"/>
      <c r="G17" s="681"/>
      <c r="H17" s="681"/>
      <c r="I17" s="681"/>
      <c r="J17" s="681"/>
      <c r="K17" s="499"/>
      <c r="L17" s="161"/>
    </row>
    <row r="18" spans="2:12" x14ac:dyDescent="0.2">
      <c r="B18" s="157"/>
      <c r="C18" s="499"/>
      <c r="D18" s="847"/>
      <c r="E18" s="499"/>
      <c r="F18" s="777">
        <v>0</v>
      </c>
      <c r="G18" s="777">
        <f t="shared" ref="G18:J22" si="0">F18</f>
        <v>0</v>
      </c>
      <c r="H18" s="769">
        <f t="shared" si="0"/>
        <v>0</v>
      </c>
      <c r="I18" s="769">
        <f t="shared" si="0"/>
        <v>0</v>
      </c>
      <c r="J18" s="769">
        <f t="shared" si="0"/>
        <v>0</v>
      </c>
      <c r="K18" s="499"/>
      <c r="L18" s="161"/>
    </row>
    <row r="19" spans="2:12" x14ac:dyDescent="0.2">
      <c r="B19" s="157"/>
      <c r="C19" s="499"/>
      <c r="D19" s="847"/>
      <c r="E19" s="499"/>
      <c r="F19" s="777">
        <v>0</v>
      </c>
      <c r="G19" s="777">
        <f t="shared" si="0"/>
        <v>0</v>
      </c>
      <c r="H19" s="769">
        <f t="shared" si="0"/>
        <v>0</v>
      </c>
      <c r="I19" s="769">
        <f t="shared" si="0"/>
        <v>0</v>
      </c>
      <c r="J19" s="769">
        <f t="shared" si="0"/>
        <v>0</v>
      </c>
      <c r="K19" s="499"/>
      <c r="L19" s="161"/>
    </row>
    <row r="20" spans="2:12" x14ac:dyDescent="0.2">
      <c r="B20" s="157"/>
      <c r="C20" s="499"/>
      <c r="D20" s="847"/>
      <c r="E20" s="499"/>
      <c r="F20" s="777">
        <v>0</v>
      </c>
      <c r="G20" s="777">
        <f t="shared" si="0"/>
        <v>0</v>
      </c>
      <c r="H20" s="769">
        <f t="shared" si="0"/>
        <v>0</v>
      </c>
      <c r="I20" s="769">
        <f t="shared" si="0"/>
        <v>0</v>
      </c>
      <c r="J20" s="769">
        <f t="shared" si="0"/>
        <v>0</v>
      </c>
      <c r="K20" s="499"/>
      <c r="L20" s="161"/>
    </row>
    <row r="21" spans="2:12" x14ac:dyDescent="0.2">
      <c r="B21" s="157"/>
      <c r="C21" s="499"/>
      <c r="D21" s="847"/>
      <c r="E21" s="499"/>
      <c r="F21" s="777">
        <v>0</v>
      </c>
      <c r="G21" s="777">
        <f t="shared" si="0"/>
        <v>0</v>
      </c>
      <c r="H21" s="769">
        <f t="shared" si="0"/>
        <v>0</v>
      </c>
      <c r="I21" s="769">
        <f t="shared" si="0"/>
        <v>0</v>
      </c>
      <c r="J21" s="769">
        <f t="shared" si="0"/>
        <v>0</v>
      </c>
      <c r="K21" s="499"/>
      <c r="L21" s="161"/>
    </row>
    <row r="22" spans="2:12" x14ac:dyDescent="0.2">
      <c r="B22" s="157"/>
      <c r="C22" s="499"/>
      <c r="D22" s="847"/>
      <c r="E22" s="499"/>
      <c r="F22" s="777">
        <v>0</v>
      </c>
      <c r="G22" s="777">
        <f t="shared" si="0"/>
        <v>0</v>
      </c>
      <c r="H22" s="769">
        <f t="shared" si="0"/>
        <v>0</v>
      </c>
      <c r="I22" s="769">
        <f t="shared" si="0"/>
        <v>0</v>
      </c>
      <c r="J22" s="769">
        <f t="shared" si="0"/>
        <v>0</v>
      </c>
      <c r="K22" s="499"/>
      <c r="L22" s="161"/>
    </row>
    <row r="23" spans="2:12" x14ac:dyDescent="0.2">
      <c r="B23" s="157"/>
      <c r="C23" s="499"/>
      <c r="D23" s="502"/>
      <c r="E23" s="499"/>
      <c r="F23" s="850">
        <f>SUM(F18:F22)</f>
        <v>0</v>
      </c>
      <c r="G23" s="850">
        <f>SUM(G18:G22)</f>
        <v>0</v>
      </c>
      <c r="H23" s="848">
        <f>SUM(H18:H22)</f>
        <v>0</v>
      </c>
      <c r="I23" s="848">
        <f>SUM(I18:I22)</f>
        <v>0</v>
      </c>
      <c r="J23" s="848">
        <f>SUM(J18:J22)</f>
        <v>0</v>
      </c>
      <c r="K23" s="499"/>
      <c r="L23" s="161"/>
    </row>
    <row r="24" spans="2:12" x14ac:dyDescent="0.2">
      <c r="B24" s="157"/>
      <c r="C24" s="499"/>
      <c r="D24" s="502"/>
      <c r="E24" s="499"/>
      <c r="F24" s="681"/>
      <c r="G24" s="681"/>
      <c r="H24" s="681"/>
      <c r="I24" s="681"/>
      <c r="J24" s="681"/>
      <c r="K24" s="499"/>
      <c r="L24" s="161"/>
    </row>
    <row r="25" spans="2:12" x14ac:dyDescent="0.2">
      <c r="B25" s="157"/>
      <c r="C25" s="499"/>
      <c r="D25" s="502" t="s">
        <v>169</v>
      </c>
      <c r="E25" s="499"/>
      <c r="F25" s="821">
        <f>F16+F23</f>
        <v>900016</v>
      </c>
      <c r="G25" s="821">
        <f>G16+G23</f>
        <v>903155</v>
      </c>
      <c r="H25" s="809">
        <f>H16+H23</f>
        <v>903155</v>
      </c>
      <c r="I25" s="809">
        <f>I16+I23</f>
        <v>903155</v>
      </c>
      <c r="J25" s="809">
        <f>J16+J23</f>
        <v>903155</v>
      </c>
      <c r="K25" s="499"/>
      <c r="L25" s="161"/>
    </row>
    <row r="26" spans="2:12" x14ac:dyDescent="0.2">
      <c r="B26" s="157"/>
      <c r="C26" s="499"/>
      <c r="D26" s="502"/>
      <c r="E26" s="499"/>
      <c r="F26" s="681"/>
      <c r="G26" s="681"/>
      <c r="H26" s="681"/>
      <c r="I26" s="681"/>
      <c r="J26" s="681"/>
      <c r="K26" s="499"/>
      <c r="L26" s="161"/>
    </row>
    <row r="27" spans="2:12" x14ac:dyDescent="0.2">
      <c r="B27" s="157"/>
      <c r="C27" s="188"/>
      <c r="D27" s="199"/>
      <c r="E27" s="188"/>
      <c r="F27" s="189"/>
      <c r="G27" s="189"/>
      <c r="H27" s="189"/>
      <c r="I27" s="189"/>
      <c r="J27" s="189"/>
      <c r="K27" s="188"/>
      <c r="L27" s="161"/>
    </row>
    <row r="28" spans="2:12" x14ac:dyDescent="0.2">
      <c r="B28" s="157"/>
      <c r="C28" s="499"/>
      <c r="D28" s="502"/>
      <c r="E28" s="499"/>
      <c r="F28" s="681"/>
      <c r="G28" s="681"/>
      <c r="H28" s="681"/>
      <c r="I28" s="681"/>
      <c r="J28" s="681"/>
      <c r="K28" s="499"/>
      <c r="L28" s="161"/>
    </row>
    <row r="29" spans="2:12" x14ac:dyDescent="0.2">
      <c r="B29" s="157"/>
      <c r="C29" s="499"/>
      <c r="D29" s="682" t="s">
        <v>277</v>
      </c>
      <c r="E29" s="499"/>
      <c r="F29" s="681"/>
      <c r="G29" s="681"/>
      <c r="H29" s="681"/>
      <c r="I29" s="681"/>
      <c r="J29" s="681"/>
      <c r="K29" s="499"/>
      <c r="L29" s="161"/>
    </row>
    <row r="30" spans="2:12" x14ac:dyDescent="0.2">
      <c r="B30" s="157"/>
      <c r="C30" s="499"/>
      <c r="D30" s="502"/>
      <c r="E30" s="499"/>
      <c r="F30" s="681"/>
      <c r="G30" s="681"/>
      <c r="H30" s="681"/>
      <c r="I30" s="681"/>
      <c r="J30" s="681"/>
      <c r="K30" s="499"/>
      <c r="L30" s="161"/>
    </row>
    <row r="31" spans="2:12" x14ac:dyDescent="0.2">
      <c r="B31" s="157"/>
      <c r="C31" s="499"/>
      <c r="D31" s="847" t="s">
        <v>290</v>
      </c>
      <c r="E31" s="499"/>
      <c r="F31" s="777">
        <v>0</v>
      </c>
      <c r="G31" s="777">
        <f t="shared" ref="G31:J35" si="1">F31</f>
        <v>0</v>
      </c>
      <c r="H31" s="769">
        <f t="shared" si="1"/>
        <v>0</v>
      </c>
      <c r="I31" s="769">
        <f t="shared" si="1"/>
        <v>0</v>
      </c>
      <c r="J31" s="769">
        <f t="shared" si="1"/>
        <v>0</v>
      </c>
      <c r="K31" s="499"/>
      <c r="L31" s="161"/>
    </row>
    <row r="32" spans="2:12" x14ac:dyDescent="0.2">
      <c r="B32" s="157"/>
      <c r="C32" s="499"/>
      <c r="D32" s="847"/>
      <c r="E32" s="499"/>
      <c r="F32" s="777">
        <v>0</v>
      </c>
      <c r="G32" s="777">
        <f t="shared" si="1"/>
        <v>0</v>
      </c>
      <c r="H32" s="769">
        <f t="shared" si="1"/>
        <v>0</v>
      </c>
      <c r="I32" s="769">
        <f t="shared" si="1"/>
        <v>0</v>
      </c>
      <c r="J32" s="769">
        <f t="shared" si="1"/>
        <v>0</v>
      </c>
      <c r="K32" s="499"/>
      <c r="L32" s="161"/>
    </row>
    <row r="33" spans="2:12" x14ac:dyDescent="0.2">
      <c r="B33" s="157"/>
      <c r="C33" s="499"/>
      <c r="D33" s="847"/>
      <c r="E33" s="499"/>
      <c r="F33" s="777">
        <v>0</v>
      </c>
      <c r="G33" s="777">
        <f t="shared" si="1"/>
        <v>0</v>
      </c>
      <c r="H33" s="769">
        <f t="shared" si="1"/>
        <v>0</v>
      </c>
      <c r="I33" s="769">
        <f t="shared" si="1"/>
        <v>0</v>
      </c>
      <c r="J33" s="769">
        <f t="shared" si="1"/>
        <v>0</v>
      </c>
      <c r="K33" s="499"/>
      <c r="L33" s="161"/>
    </row>
    <row r="34" spans="2:12" x14ac:dyDescent="0.2">
      <c r="B34" s="157"/>
      <c r="C34" s="499"/>
      <c r="D34" s="847"/>
      <c r="E34" s="499"/>
      <c r="F34" s="777">
        <v>0</v>
      </c>
      <c r="G34" s="777">
        <f t="shared" si="1"/>
        <v>0</v>
      </c>
      <c r="H34" s="769">
        <f t="shared" si="1"/>
        <v>0</v>
      </c>
      <c r="I34" s="769">
        <f t="shared" si="1"/>
        <v>0</v>
      </c>
      <c r="J34" s="769">
        <f t="shared" si="1"/>
        <v>0</v>
      </c>
      <c r="K34" s="499"/>
      <c r="L34" s="161"/>
    </row>
    <row r="35" spans="2:12" x14ac:dyDescent="0.2">
      <c r="B35" s="157"/>
      <c r="C35" s="499"/>
      <c r="D35" s="847"/>
      <c r="E35" s="499"/>
      <c r="F35" s="777">
        <v>0</v>
      </c>
      <c r="G35" s="777">
        <f t="shared" si="1"/>
        <v>0</v>
      </c>
      <c r="H35" s="769">
        <f t="shared" si="1"/>
        <v>0</v>
      </c>
      <c r="I35" s="769">
        <f t="shared" si="1"/>
        <v>0</v>
      </c>
      <c r="J35" s="769">
        <f t="shared" si="1"/>
        <v>0</v>
      </c>
      <c r="K35" s="499"/>
      <c r="L35" s="161"/>
    </row>
    <row r="36" spans="2:12" x14ac:dyDescent="0.2">
      <c r="B36" s="157"/>
      <c r="C36" s="499"/>
      <c r="D36" s="502"/>
      <c r="E36" s="499"/>
      <c r="F36" s="681"/>
      <c r="G36" s="681"/>
      <c r="H36" s="681"/>
      <c r="I36" s="681"/>
      <c r="J36" s="681"/>
      <c r="K36" s="499"/>
      <c r="L36" s="161"/>
    </row>
    <row r="37" spans="2:12" x14ac:dyDescent="0.2">
      <c r="B37" s="157"/>
      <c r="C37" s="499"/>
      <c r="D37" s="502" t="s">
        <v>169</v>
      </c>
      <c r="E37" s="499"/>
      <c r="F37" s="821">
        <f>SUM(F31:F35)</f>
        <v>0</v>
      </c>
      <c r="G37" s="821">
        <f>SUM(G31:G35)</f>
        <v>0</v>
      </c>
      <c r="H37" s="809">
        <f>SUM(H31:H35)</f>
        <v>0</v>
      </c>
      <c r="I37" s="809">
        <f>SUM(I31:I35)</f>
        <v>0</v>
      </c>
      <c r="J37" s="809">
        <f>SUM(J31:J35)</f>
        <v>0</v>
      </c>
      <c r="K37" s="499"/>
      <c r="L37" s="161"/>
    </row>
    <row r="38" spans="2:12" x14ac:dyDescent="0.2">
      <c r="B38" s="157"/>
      <c r="C38" s="499"/>
      <c r="D38" s="502"/>
      <c r="E38" s="499"/>
      <c r="F38" s="681"/>
      <c r="G38" s="681"/>
      <c r="H38" s="681"/>
      <c r="I38" s="681"/>
      <c r="J38" s="681"/>
      <c r="K38" s="499"/>
      <c r="L38" s="161"/>
    </row>
    <row r="39" spans="2:12" x14ac:dyDescent="0.2">
      <c r="B39" s="157"/>
      <c r="C39" s="188"/>
      <c r="D39" s="199"/>
      <c r="E39" s="188"/>
      <c r="F39" s="189"/>
      <c r="G39" s="189"/>
      <c r="H39" s="189"/>
      <c r="I39" s="189"/>
      <c r="J39" s="189"/>
      <c r="K39" s="188"/>
      <c r="L39" s="161"/>
    </row>
    <row r="40" spans="2:12" x14ac:dyDescent="0.2">
      <c r="B40" s="157"/>
      <c r="C40" s="499"/>
      <c r="D40" s="502"/>
      <c r="E40" s="499"/>
      <c r="F40" s="681"/>
      <c r="G40" s="681"/>
      <c r="H40" s="681"/>
      <c r="I40" s="681"/>
      <c r="J40" s="681"/>
      <c r="K40" s="499"/>
      <c r="L40" s="161"/>
    </row>
    <row r="41" spans="2:12" x14ac:dyDescent="0.2">
      <c r="B41" s="157"/>
      <c r="C41" s="499"/>
      <c r="D41" s="682" t="s">
        <v>278</v>
      </c>
      <c r="E41" s="499"/>
      <c r="F41" s="681"/>
      <c r="G41" s="681"/>
      <c r="H41" s="681"/>
      <c r="I41" s="681"/>
      <c r="J41" s="681"/>
      <c r="K41" s="499"/>
      <c r="L41" s="161"/>
    </row>
    <row r="42" spans="2:12" x14ac:dyDescent="0.2">
      <c r="B42" s="157"/>
      <c r="C42" s="499"/>
      <c r="D42" s="502"/>
      <c r="E42" s="499"/>
      <c r="F42" s="681"/>
      <c r="G42" s="681"/>
      <c r="H42" s="681"/>
      <c r="I42" s="681"/>
      <c r="J42" s="681"/>
      <c r="K42" s="499"/>
      <c r="L42" s="161"/>
    </row>
    <row r="43" spans="2:12" x14ac:dyDescent="0.2">
      <c r="B43" s="157"/>
      <c r="C43" s="499"/>
      <c r="D43" s="499" t="s">
        <v>180</v>
      </c>
      <c r="E43" s="499"/>
      <c r="F43" s="783">
        <f>ROUND(+geg!F72*(tab!C53+tab!C54)+geg!F73*tab!C54,0)</f>
        <v>0</v>
      </c>
      <c r="G43" s="783">
        <f>ROUND(+geg!G72*(tab!$D$53+tab!$D$54)+geg!G73*tab!$D$54,0)</f>
        <v>0</v>
      </c>
      <c r="H43" s="781">
        <f>ROUND(+geg!H72*(tab!$D$53+tab!$D$54)+geg!H73*tab!$D$54,0)</f>
        <v>0</v>
      </c>
      <c r="I43" s="781">
        <f>ROUND(+geg!I72*(tab!$D$53+tab!$D$54)+geg!I73*tab!$D$54,0)</f>
        <v>0</v>
      </c>
      <c r="J43" s="781">
        <f>ROUND(+geg!J72*(tab!$D$53+tab!$D$54)+geg!J73*tab!$D$54,0)</f>
        <v>0</v>
      </c>
      <c r="K43" s="499"/>
      <c r="L43" s="161"/>
    </row>
    <row r="44" spans="2:12" x14ac:dyDescent="0.2">
      <c r="B44" s="157"/>
      <c r="C44" s="499"/>
      <c r="D44" s="499" t="s">
        <v>279</v>
      </c>
      <c r="E44" s="499"/>
      <c r="F44" s="777">
        <v>0</v>
      </c>
      <c r="G44" s="777">
        <f t="shared" ref="G44:G49" si="2">F44</f>
        <v>0</v>
      </c>
      <c r="H44" s="769">
        <f t="shared" ref="H44:J49" si="3">G44</f>
        <v>0</v>
      </c>
      <c r="I44" s="769">
        <f t="shared" si="3"/>
        <v>0</v>
      </c>
      <c r="J44" s="769">
        <f t="shared" si="3"/>
        <v>0</v>
      </c>
      <c r="K44" s="499"/>
      <c r="L44" s="161"/>
    </row>
    <row r="45" spans="2:12" x14ac:dyDescent="0.2">
      <c r="B45" s="157"/>
      <c r="C45" s="499"/>
      <c r="D45" s="690" t="s">
        <v>280</v>
      </c>
      <c r="E45" s="499"/>
      <c r="F45" s="777">
        <v>0</v>
      </c>
      <c r="G45" s="777">
        <f t="shared" si="2"/>
        <v>0</v>
      </c>
      <c r="H45" s="769">
        <f t="shared" si="3"/>
        <v>0</v>
      </c>
      <c r="I45" s="769">
        <f t="shared" si="3"/>
        <v>0</v>
      </c>
      <c r="J45" s="769">
        <f t="shared" si="3"/>
        <v>0</v>
      </c>
      <c r="K45" s="499"/>
      <c r="L45" s="161"/>
    </row>
    <row r="46" spans="2:12" x14ac:dyDescent="0.2">
      <c r="B46" s="157"/>
      <c r="C46" s="499"/>
      <c r="D46" s="847"/>
      <c r="E46" s="499"/>
      <c r="F46" s="777">
        <v>0</v>
      </c>
      <c r="G46" s="777">
        <f t="shared" si="2"/>
        <v>0</v>
      </c>
      <c r="H46" s="769">
        <f t="shared" si="3"/>
        <v>0</v>
      </c>
      <c r="I46" s="769">
        <f t="shared" si="3"/>
        <v>0</v>
      </c>
      <c r="J46" s="769">
        <f t="shared" si="3"/>
        <v>0</v>
      </c>
      <c r="K46" s="499"/>
      <c r="L46" s="161"/>
    </row>
    <row r="47" spans="2:12" x14ac:dyDescent="0.2">
      <c r="B47" s="157"/>
      <c r="C47" s="499"/>
      <c r="D47" s="847"/>
      <c r="E47" s="499"/>
      <c r="F47" s="777">
        <v>0</v>
      </c>
      <c r="G47" s="777">
        <f t="shared" si="2"/>
        <v>0</v>
      </c>
      <c r="H47" s="769">
        <f t="shared" si="3"/>
        <v>0</v>
      </c>
      <c r="I47" s="769">
        <f t="shared" si="3"/>
        <v>0</v>
      </c>
      <c r="J47" s="769">
        <f t="shared" si="3"/>
        <v>0</v>
      </c>
      <c r="K47" s="499"/>
      <c r="L47" s="161"/>
    </row>
    <row r="48" spans="2:12" x14ac:dyDescent="0.2">
      <c r="B48" s="157"/>
      <c r="C48" s="499"/>
      <c r="D48" s="847"/>
      <c r="E48" s="499"/>
      <c r="F48" s="777">
        <v>0</v>
      </c>
      <c r="G48" s="777">
        <f t="shared" si="2"/>
        <v>0</v>
      </c>
      <c r="H48" s="769">
        <f t="shared" si="3"/>
        <v>0</v>
      </c>
      <c r="I48" s="769">
        <f t="shared" si="3"/>
        <v>0</v>
      </c>
      <c r="J48" s="769">
        <f t="shared" si="3"/>
        <v>0</v>
      </c>
      <c r="K48" s="499"/>
      <c r="L48" s="161"/>
    </row>
    <row r="49" spans="2:12" x14ac:dyDescent="0.2">
      <c r="B49" s="157"/>
      <c r="C49" s="499"/>
      <c r="D49" s="847"/>
      <c r="E49" s="499"/>
      <c r="F49" s="777">
        <v>0</v>
      </c>
      <c r="G49" s="777">
        <f t="shared" si="2"/>
        <v>0</v>
      </c>
      <c r="H49" s="769">
        <f t="shared" si="3"/>
        <v>0</v>
      </c>
      <c r="I49" s="769">
        <f t="shared" si="3"/>
        <v>0</v>
      </c>
      <c r="J49" s="769">
        <f t="shared" si="3"/>
        <v>0</v>
      </c>
      <c r="K49" s="499"/>
      <c r="L49" s="161"/>
    </row>
    <row r="50" spans="2:12" x14ac:dyDescent="0.2">
      <c r="B50" s="157"/>
      <c r="C50" s="499"/>
      <c r="D50" s="502"/>
      <c r="E50" s="499"/>
      <c r="F50" s="681"/>
      <c r="G50" s="681"/>
      <c r="H50" s="681"/>
      <c r="I50" s="681"/>
      <c r="J50" s="681"/>
      <c r="K50" s="499"/>
      <c r="L50" s="161"/>
    </row>
    <row r="51" spans="2:12" x14ac:dyDescent="0.2">
      <c r="B51" s="157"/>
      <c r="C51" s="499"/>
      <c r="D51" s="502" t="s">
        <v>169</v>
      </c>
      <c r="E51" s="499"/>
      <c r="F51" s="821">
        <f>SUM(F43:F49)</f>
        <v>0</v>
      </c>
      <c r="G51" s="821">
        <f>SUM(G43:G49)</f>
        <v>0</v>
      </c>
      <c r="H51" s="809">
        <f>SUM(H43:H49)</f>
        <v>0</v>
      </c>
      <c r="I51" s="809">
        <f>SUM(I43:I49)</f>
        <v>0</v>
      </c>
      <c r="J51" s="809">
        <f>SUM(J43:J49)</f>
        <v>0</v>
      </c>
      <c r="K51" s="499"/>
      <c r="L51" s="161"/>
    </row>
    <row r="52" spans="2:12" x14ac:dyDescent="0.2">
      <c r="B52" s="157"/>
      <c r="C52" s="499"/>
      <c r="D52" s="502"/>
      <c r="E52" s="499"/>
      <c r="F52" s="681"/>
      <c r="G52" s="681"/>
      <c r="H52" s="681"/>
      <c r="I52" s="681"/>
      <c r="J52" s="681"/>
      <c r="K52" s="499"/>
      <c r="L52" s="161"/>
    </row>
    <row r="53" spans="2:12" x14ac:dyDescent="0.2">
      <c r="B53" s="157"/>
      <c r="C53" s="188"/>
      <c r="D53" s="199"/>
      <c r="E53" s="188"/>
      <c r="F53" s="189"/>
      <c r="G53" s="189"/>
      <c r="H53" s="189"/>
      <c r="I53" s="189"/>
      <c r="J53" s="189"/>
      <c r="K53" s="188"/>
      <c r="L53" s="161"/>
    </row>
    <row r="54" spans="2:12" x14ac:dyDescent="0.2">
      <c r="B54" s="157"/>
      <c r="C54" s="499"/>
      <c r="D54" s="502"/>
      <c r="E54" s="499"/>
      <c r="F54" s="681"/>
      <c r="G54" s="681"/>
      <c r="H54" s="681"/>
      <c r="I54" s="681"/>
      <c r="J54" s="681"/>
      <c r="K54" s="499"/>
      <c r="L54" s="161"/>
    </row>
    <row r="55" spans="2:12" x14ac:dyDescent="0.2">
      <c r="B55" s="157"/>
      <c r="C55" s="499"/>
      <c r="D55" s="502" t="s">
        <v>281</v>
      </c>
      <c r="E55" s="499"/>
      <c r="F55" s="821">
        <f>F25+F37+F51</f>
        <v>900016</v>
      </c>
      <c r="G55" s="821">
        <f>G25+G37+G51</f>
        <v>903155</v>
      </c>
      <c r="H55" s="809">
        <f>H25+H37+H51</f>
        <v>903155</v>
      </c>
      <c r="I55" s="809">
        <f>I25+I37+I51</f>
        <v>903155</v>
      </c>
      <c r="J55" s="809">
        <f>J25+J37+J51</f>
        <v>903155</v>
      </c>
      <c r="K55" s="499"/>
      <c r="L55" s="161"/>
    </row>
    <row r="56" spans="2:12" x14ac:dyDescent="0.2">
      <c r="B56" s="157"/>
      <c r="C56" s="499"/>
      <c r="D56" s="502"/>
      <c r="E56" s="499"/>
      <c r="F56" s="681"/>
      <c r="G56" s="681"/>
      <c r="H56" s="681"/>
      <c r="I56" s="681"/>
      <c r="J56" s="681"/>
      <c r="K56" s="499"/>
      <c r="L56" s="161"/>
    </row>
    <row r="57" spans="2:12" x14ac:dyDescent="0.2">
      <c r="B57" s="157"/>
      <c r="C57" s="188"/>
      <c r="D57" s="199"/>
      <c r="E57" s="188"/>
      <c r="F57" s="189"/>
      <c r="G57" s="189"/>
      <c r="H57" s="189"/>
      <c r="I57" s="189"/>
      <c r="J57" s="189"/>
      <c r="K57" s="188"/>
      <c r="L57" s="161"/>
    </row>
    <row r="58" spans="2:12" x14ac:dyDescent="0.2">
      <c r="B58" s="157"/>
      <c r="C58" s="188"/>
      <c r="D58" s="199"/>
      <c r="E58" s="188"/>
      <c r="F58" s="189"/>
      <c r="G58" s="189"/>
      <c r="H58" s="189"/>
      <c r="I58" s="189"/>
      <c r="J58" s="189"/>
      <c r="K58" s="188"/>
      <c r="L58" s="161"/>
    </row>
    <row r="59" spans="2:12" x14ac:dyDescent="0.2">
      <c r="B59" s="157"/>
      <c r="C59" s="499"/>
      <c r="D59" s="499"/>
      <c r="E59" s="499"/>
      <c r="F59" s="681"/>
      <c r="G59" s="681"/>
      <c r="H59" s="681"/>
      <c r="I59" s="681"/>
      <c r="J59" s="681"/>
      <c r="K59" s="499"/>
      <c r="L59" s="161"/>
    </row>
    <row r="60" spans="2:12" x14ac:dyDescent="0.2">
      <c r="B60" s="157"/>
      <c r="C60" s="499"/>
      <c r="D60" s="682" t="s">
        <v>151</v>
      </c>
      <c r="E60" s="499"/>
      <c r="F60" s="681"/>
      <c r="G60" s="681"/>
      <c r="H60" s="681"/>
      <c r="I60" s="681"/>
      <c r="J60" s="681"/>
      <c r="K60" s="499"/>
      <c r="L60" s="161"/>
    </row>
    <row r="61" spans="2:12" x14ac:dyDescent="0.2">
      <c r="B61" s="157"/>
      <c r="C61" s="499"/>
      <c r="D61" s="502"/>
      <c r="E61" s="499"/>
      <c r="F61" s="681"/>
      <c r="G61" s="681"/>
      <c r="H61" s="681"/>
      <c r="I61" s="681"/>
      <c r="J61" s="681"/>
      <c r="K61" s="499"/>
      <c r="L61" s="161"/>
    </row>
    <row r="62" spans="2:12" x14ac:dyDescent="0.2">
      <c r="B62" s="157"/>
      <c r="C62" s="499"/>
      <c r="D62" s="499" t="s">
        <v>364</v>
      </c>
      <c r="E62" s="499"/>
      <c r="F62" s="784">
        <f>+'loonkosten CD'!T36</f>
        <v>0</v>
      </c>
      <c r="G62" s="784">
        <f>+'loonkosten CD'!T68</f>
        <v>0</v>
      </c>
      <c r="H62" s="780">
        <f>+'loonkosten CD'!T101</f>
        <v>0</v>
      </c>
      <c r="I62" s="780">
        <f>+'loonkosten CD'!T133</f>
        <v>0</v>
      </c>
      <c r="J62" s="780">
        <f>+'loonkosten CD'!T165</f>
        <v>0</v>
      </c>
      <c r="K62" s="499"/>
      <c r="L62" s="161"/>
    </row>
    <row r="63" spans="2:12" x14ac:dyDescent="0.2">
      <c r="B63" s="157"/>
      <c r="C63" s="499"/>
      <c r="D63" s="499"/>
      <c r="E63" s="499"/>
      <c r="F63" s="681"/>
      <c r="G63" s="681"/>
      <c r="H63" s="681"/>
      <c r="I63" s="681"/>
      <c r="J63" s="681"/>
      <c r="K63" s="499"/>
      <c r="L63" s="161"/>
    </row>
    <row r="64" spans="2:12" x14ac:dyDescent="0.2">
      <c r="B64" s="157"/>
      <c r="C64" s="499"/>
      <c r="D64" s="500" t="s">
        <v>283</v>
      </c>
      <c r="E64" s="499"/>
      <c r="F64" s="681"/>
      <c r="G64" s="681"/>
      <c r="H64" s="681"/>
      <c r="I64" s="681"/>
      <c r="J64" s="681"/>
      <c r="K64" s="499"/>
      <c r="L64" s="161"/>
    </row>
    <row r="65" spans="2:12" x14ac:dyDescent="0.2">
      <c r="B65" s="157"/>
      <c r="C65" s="499"/>
      <c r="D65" s="499" t="s">
        <v>211</v>
      </c>
      <c r="E65" s="500"/>
      <c r="F65" s="783">
        <f>'overdracht aan sbo'!F32</f>
        <v>341994</v>
      </c>
      <c r="G65" s="783">
        <f>'overdracht aan sbo'!G32</f>
        <v>342900</v>
      </c>
      <c r="H65" s="781">
        <f>'overdracht aan sbo'!H32</f>
        <v>342900</v>
      </c>
      <c r="I65" s="781">
        <f>'overdracht aan sbo'!I32</f>
        <v>342900</v>
      </c>
      <c r="J65" s="781">
        <f>'overdracht aan sbo'!J32</f>
        <v>342900</v>
      </c>
      <c r="K65" s="499"/>
      <c r="L65" s="161"/>
    </row>
    <row r="66" spans="2:12" x14ac:dyDescent="0.2">
      <c r="B66" s="157"/>
      <c r="C66" s="499"/>
      <c r="D66" s="499" t="s">
        <v>181</v>
      </c>
      <c r="E66" s="499"/>
      <c r="F66" s="783">
        <f>ROUND(+geg!F76*(tab!C53+tab!C54)+geg!F77*tab!C54,0)</f>
        <v>0</v>
      </c>
      <c r="G66" s="783">
        <f>ROUND(+geg!G76*(tab!$D$53+tab!$D$54)+geg!G77*tab!$D$54,0)</f>
        <v>0</v>
      </c>
      <c r="H66" s="781">
        <f>ROUND(+geg!H76*(tab!$D$53+tab!$D$54)+geg!H77*tab!$D$54,0)</f>
        <v>0</v>
      </c>
      <c r="I66" s="781">
        <f>ROUND(+geg!I76*(tab!$D$53+tab!$D$54)+geg!I77*tab!$D$54,0)</f>
        <v>0</v>
      </c>
      <c r="J66" s="781">
        <f>ROUND(+geg!J76*(tab!$D$53+tab!$D$54)+geg!J77*tab!$D$54,0)</f>
        <v>0</v>
      </c>
      <c r="K66" s="499"/>
      <c r="L66" s="161"/>
    </row>
    <row r="67" spans="2:12" x14ac:dyDescent="0.2">
      <c r="B67" s="157"/>
      <c r="C67" s="499"/>
      <c r="D67" s="849" t="s">
        <v>287</v>
      </c>
      <c r="E67" s="499"/>
      <c r="F67" s="778">
        <v>0</v>
      </c>
      <c r="G67" s="778">
        <f t="shared" ref="G67:J78" si="4">F67</f>
        <v>0</v>
      </c>
      <c r="H67" s="782">
        <f t="shared" si="4"/>
        <v>0</v>
      </c>
      <c r="I67" s="782">
        <f t="shared" si="4"/>
        <v>0</v>
      </c>
      <c r="J67" s="782">
        <f t="shared" si="4"/>
        <v>0</v>
      </c>
      <c r="K67" s="499"/>
      <c r="L67" s="161"/>
    </row>
    <row r="68" spans="2:12" x14ac:dyDescent="0.2">
      <c r="B68" s="157"/>
      <c r="C68" s="499"/>
      <c r="D68" s="847" t="s">
        <v>183</v>
      </c>
      <c r="E68" s="499"/>
      <c r="F68" s="778">
        <v>0</v>
      </c>
      <c r="G68" s="778">
        <f t="shared" si="4"/>
        <v>0</v>
      </c>
      <c r="H68" s="782">
        <f t="shared" si="4"/>
        <v>0</v>
      </c>
      <c r="I68" s="782">
        <f t="shared" si="4"/>
        <v>0</v>
      </c>
      <c r="J68" s="782">
        <f t="shared" si="4"/>
        <v>0</v>
      </c>
      <c r="K68" s="499"/>
      <c r="L68" s="161"/>
    </row>
    <row r="69" spans="2:12" x14ac:dyDescent="0.2">
      <c r="B69" s="157"/>
      <c r="C69" s="499"/>
      <c r="D69" s="847" t="s">
        <v>182</v>
      </c>
      <c r="E69" s="499"/>
      <c r="F69" s="778">
        <v>0</v>
      </c>
      <c r="G69" s="778">
        <f t="shared" si="4"/>
        <v>0</v>
      </c>
      <c r="H69" s="782">
        <f t="shared" si="4"/>
        <v>0</v>
      </c>
      <c r="I69" s="782">
        <f t="shared" si="4"/>
        <v>0</v>
      </c>
      <c r="J69" s="782">
        <f t="shared" si="4"/>
        <v>0</v>
      </c>
      <c r="K69" s="499"/>
      <c r="L69" s="161"/>
    </row>
    <row r="70" spans="2:12" x14ac:dyDescent="0.2">
      <c r="B70" s="157"/>
      <c r="C70" s="499"/>
      <c r="D70" s="847" t="s">
        <v>131</v>
      </c>
      <c r="E70" s="499"/>
      <c r="F70" s="778">
        <v>0</v>
      </c>
      <c r="G70" s="778">
        <f t="shared" si="4"/>
        <v>0</v>
      </c>
      <c r="H70" s="782">
        <f t="shared" si="4"/>
        <v>0</v>
      </c>
      <c r="I70" s="782">
        <f t="shared" si="4"/>
        <v>0</v>
      </c>
      <c r="J70" s="782">
        <f t="shared" si="4"/>
        <v>0</v>
      </c>
      <c r="K70" s="499"/>
      <c r="L70" s="161"/>
    </row>
    <row r="71" spans="2:12" x14ac:dyDescent="0.2">
      <c r="B71" s="157"/>
      <c r="C71" s="499"/>
      <c r="D71" s="847" t="s">
        <v>212</v>
      </c>
      <c r="E71" s="499"/>
      <c r="F71" s="778">
        <v>0</v>
      </c>
      <c r="G71" s="778">
        <f t="shared" si="4"/>
        <v>0</v>
      </c>
      <c r="H71" s="782">
        <f t="shared" si="4"/>
        <v>0</v>
      </c>
      <c r="I71" s="782">
        <f t="shared" si="4"/>
        <v>0</v>
      </c>
      <c r="J71" s="782">
        <f t="shared" si="4"/>
        <v>0</v>
      </c>
      <c r="K71" s="499"/>
      <c r="L71" s="161"/>
    </row>
    <row r="72" spans="2:12" x14ac:dyDescent="0.2">
      <c r="B72" s="157"/>
      <c r="C72" s="499"/>
      <c r="D72" s="847" t="s">
        <v>185</v>
      </c>
      <c r="E72" s="499"/>
      <c r="F72" s="778">
        <v>0</v>
      </c>
      <c r="G72" s="778">
        <f t="shared" si="4"/>
        <v>0</v>
      </c>
      <c r="H72" s="782">
        <f t="shared" si="4"/>
        <v>0</v>
      </c>
      <c r="I72" s="782">
        <f t="shared" si="4"/>
        <v>0</v>
      </c>
      <c r="J72" s="782">
        <f t="shared" si="4"/>
        <v>0</v>
      </c>
      <c r="K72" s="499"/>
      <c r="L72" s="161"/>
    </row>
    <row r="73" spans="2:12" x14ac:dyDescent="0.2">
      <c r="B73" s="157"/>
      <c r="C73" s="499"/>
      <c r="D73" s="847" t="s">
        <v>184</v>
      </c>
      <c r="E73" s="499"/>
      <c r="F73" s="778">
        <v>0</v>
      </c>
      <c r="G73" s="778">
        <f t="shared" si="4"/>
        <v>0</v>
      </c>
      <c r="H73" s="782">
        <f t="shared" si="4"/>
        <v>0</v>
      </c>
      <c r="I73" s="782">
        <f t="shared" si="4"/>
        <v>0</v>
      </c>
      <c r="J73" s="782">
        <f t="shared" si="4"/>
        <v>0</v>
      </c>
      <c r="K73" s="499"/>
      <c r="L73" s="161"/>
    </row>
    <row r="74" spans="2:12" x14ac:dyDescent="0.2">
      <c r="B74" s="157"/>
      <c r="C74" s="499"/>
      <c r="D74" s="847"/>
      <c r="E74" s="499"/>
      <c r="F74" s="777">
        <v>0</v>
      </c>
      <c r="G74" s="777">
        <f t="shared" si="4"/>
        <v>0</v>
      </c>
      <c r="H74" s="769">
        <f t="shared" si="4"/>
        <v>0</v>
      </c>
      <c r="I74" s="769">
        <f t="shared" si="4"/>
        <v>0</v>
      </c>
      <c r="J74" s="769">
        <f t="shared" si="4"/>
        <v>0</v>
      </c>
      <c r="K74" s="499"/>
      <c r="L74" s="161"/>
    </row>
    <row r="75" spans="2:12" x14ac:dyDescent="0.2">
      <c r="B75" s="157"/>
      <c r="C75" s="499"/>
      <c r="D75" s="847"/>
      <c r="E75" s="499"/>
      <c r="F75" s="777">
        <v>0</v>
      </c>
      <c r="G75" s="777">
        <f t="shared" si="4"/>
        <v>0</v>
      </c>
      <c r="H75" s="769">
        <f t="shared" si="4"/>
        <v>0</v>
      </c>
      <c r="I75" s="769">
        <f t="shared" si="4"/>
        <v>0</v>
      </c>
      <c r="J75" s="769">
        <f t="shared" si="4"/>
        <v>0</v>
      </c>
      <c r="K75" s="499"/>
      <c r="L75" s="161"/>
    </row>
    <row r="76" spans="2:12" x14ac:dyDescent="0.2">
      <c r="B76" s="157"/>
      <c r="C76" s="499"/>
      <c r="D76" s="847"/>
      <c r="E76" s="499"/>
      <c r="F76" s="777">
        <v>0</v>
      </c>
      <c r="G76" s="777">
        <f t="shared" si="4"/>
        <v>0</v>
      </c>
      <c r="H76" s="769">
        <f t="shared" si="4"/>
        <v>0</v>
      </c>
      <c r="I76" s="769">
        <f t="shared" si="4"/>
        <v>0</v>
      </c>
      <c r="J76" s="769">
        <f t="shared" si="4"/>
        <v>0</v>
      </c>
      <c r="K76" s="499"/>
      <c r="L76" s="161"/>
    </row>
    <row r="77" spans="2:12" x14ac:dyDescent="0.2">
      <c r="B77" s="157"/>
      <c r="C77" s="499"/>
      <c r="D77" s="847"/>
      <c r="E77" s="499"/>
      <c r="F77" s="777">
        <v>0</v>
      </c>
      <c r="G77" s="777">
        <f t="shared" si="4"/>
        <v>0</v>
      </c>
      <c r="H77" s="769">
        <f t="shared" si="4"/>
        <v>0</v>
      </c>
      <c r="I77" s="769">
        <f t="shared" si="4"/>
        <v>0</v>
      </c>
      <c r="J77" s="769">
        <f t="shared" si="4"/>
        <v>0</v>
      </c>
      <c r="K77" s="499"/>
      <c r="L77" s="161"/>
    </row>
    <row r="78" spans="2:12" x14ac:dyDescent="0.2">
      <c r="B78" s="157"/>
      <c r="C78" s="499"/>
      <c r="D78" s="847"/>
      <c r="E78" s="499"/>
      <c r="F78" s="777">
        <v>0</v>
      </c>
      <c r="G78" s="777">
        <f t="shared" si="4"/>
        <v>0</v>
      </c>
      <c r="H78" s="769">
        <f t="shared" si="4"/>
        <v>0</v>
      </c>
      <c r="I78" s="769">
        <f t="shared" si="4"/>
        <v>0</v>
      </c>
      <c r="J78" s="769">
        <f t="shared" si="4"/>
        <v>0</v>
      </c>
      <c r="K78" s="499"/>
      <c r="L78" s="161"/>
    </row>
    <row r="79" spans="2:12" x14ac:dyDescent="0.2">
      <c r="B79" s="157"/>
      <c r="C79" s="499"/>
      <c r="D79" s="499"/>
      <c r="E79" s="499"/>
      <c r="F79" s="850">
        <f>SUM(F65:F78)</f>
        <v>341994</v>
      </c>
      <c r="G79" s="850">
        <f>SUM(G65:G78)</f>
        <v>342900</v>
      </c>
      <c r="H79" s="848">
        <f>SUM(H65:H78)</f>
        <v>342900</v>
      </c>
      <c r="I79" s="848">
        <f>SUM(I65:I78)</f>
        <v>342900</v>
      </c>
      <c r="J79" s="848">
        <f>SUM(J65:J78)</f>
        <v>342900</v>
      </c>
      <c r="K79" s="499"/>
      <c r="L79" s="161"/>
    </row>
    <row r="80" spans="2:12" x14ac:dyDescent="0.2">
      <c r="B80" s="157"/>
      <c r="C80" s="499"/>
      <c r="D80" s="500" t="s">
        <v>286</v>
      </c>
      <c r="E80" s="499"/>
      <c r="F80" s="681"/>
      <c r="G80" s="681"/>
      <c r="H80" s="681"/>
      <c r="I80" s="681"/>
      <c r="J80" s="681"/>
      <c r="K80" s="499"/>
      <c r="L80" s="161"/>
    </row>
    <row r="81" spans="2:12" x14ac:dyDescent="0.2">
      <c r="B81" s="157"/>
      <c r="C81" s="499"/>
      <c r="D81" s="847"/>
      <c r="E81" s="499"/>
      <c r="F81" s="777">
        <v>0</v>
      </c>
      <c r="G81" s="777">
        <f t="shared" ref="G81:J90" si="5">F81</f>
        <v>0</v>
      </c>
      <c r="H81" s="769">
        <f t="shared" si="5"/>
        <v>0</v>
      </c>
      <c r="I81" s="769">
        <f t="shared" si="5"/>
        <v>0</v>
      </c>
      <c r="J81" s="769">
        <f t="shared" si="5"/>
        <v>0</v>
      </c>
      <c r="K81" s="499"/>
      <c r="L81" s="161"/>
    </row>
    <row r="82" spans="2:12" x14ac:dyDescent="0.2">
      <c r="B82" s="157"/>
      <c r="C82" s="499"/>
      <c r="D82" s="847"/>
      <c r="E82" s="499"/>
      <c r="F82" s="777">
        <v>0</v>
      </c>
      <c r="G82" s="777">
        <f t="shared" si="5"/>
        <v>0</v>
      </c>
      <c r="H82" s="769">
        <f t="shared" si="5"/>
        <v>0</v>
      </c>
      <c r="I82" s="769">
        <f t="shared" si="5"/>
        <v>0</v>
      </c>
      <c r="J82" s="769">
        <f t="shared" si="5"/>
        <v>0</v>
      </c>
      <c r="K82" s="499"/>
      <c r="L82" s="161"/>
    </row>
    <row r="83" spans="2:12" x14ac:dyDescent="0.2">
      <c r="B83" s="157"/>
      <c r="C83" s="499"/>
      <c r="D83" s="847"/>
      <c r="E83" s="499"/>
      <c r="F83" s="777">
        <v>0</v>
      </c>
      <c r="G83" s="777">
        <f t="shared" si="5"/>
        <v>0</v>
      </c>
      <c r="H83" s="769">
        <f t="shared" si="5"/>
        <v>0</v>
      </c>
      <c r="I83" s="769">
        <f t="shared" si="5"/>
        <v>0</v>
      </c>
      <c r="J83" s="769">
        <f t="shared" si="5"/>
        <v>0</v>
      </c>
      <c r="K83" s="499"/>
      <c r="L83" s="161"/>
    </row>
    <row r="84" spans="2:12" x14ac:dyDescent="0.2">
      <c r="B84" s="157"/>
      <c r="C84" s="499"/>
      <c r="D84" s="847"/>
      <c r="E84" s="499"/>
      <c r="F84" s="777">
        <v>0</v>
      </c>
      <c r="G84" s="777">
        <f t="shared" si="5"/>
        <v>0</v>
      </c>
      <c r="H84" s="769">
        <f t="shared" si="5"/>
        <v>0</v>
      </c>
      <c r="I84" s="769">
        <f t="shared" si="5"/>
        <v>0</v>
      </c>
      <c r="J84" s="769">
        <f t="shared" si="5"/>
        <v>0</v>
      </c>
      <c r="K84" s="499"/>
      <c r="L84" s="161"/>
    </row>
    <row r="85" spans="2:12" x14ac:dyDescent="0.2">
      <c r="B85" s="157"/>
      <c r="C85" s="499"/>
      <c r="D85" s="847"/>
      <c r="E85" s="499"/>
      <c r="F85" s="777">
        <v>0</v>
      </c>
      <c r="G85" s="777">
        <f t="shared" si="5"/>
        <v>0</v>
      </c>
      <c r="H85" s="769">
        <f t="shared" si="5"/>
        <v>0</v>
      </c>
      <c r="I85" s="769">
        <f t="shared" si="5"/>
        <v>0</v>
      </c>
      <c r="J85" s="769">
        <f t="shared" si="5"/>
        <v>0</v>
      </c>
      <c r="K85" s="499"/>
      <c r="L85" s="161"/>
    </row>
    <row r="86" spans="2:12" x14ac:dyDescent="0.2">
      <c r="B86" s="157"/>
      <c r="C86" s="499"/>
      <c r="D86" s="847"/>
      <c r="E86" s="499"/>
      <c r="F86" s="777">
        <v>0</v>
      </c>
      <c r="G86" s="777">
        <f t="shared" si="5"/>
        <v>0</v>
      </c>
      <c r="H86" s="769">
        <f t="shared" si="5"/>
        <v>0</v>
      </c>
      <c r="I86" s="769">
        <f t="shared" si="5"/>
        <v>0</v>
      </c>
      <c r="J86" s="769">
        <f t="shared" si="5"/>
        <v>0</v>
      </c>
      <c r="K86" s="499"/>
      <c r="L86" s="161"/>
    </row>
    <row r="87" spans="2:12" x14ac:dyDescent="0.2">
      <c r="B87" s="157"/>
      <c r="C87" s="499"/>
      <c r="D87" s="847"/>
      <c r="E87" s="499"/>
      <c r="F87" s="777">
        <v>0</v>
      </c>
      <c r="G87" s="777">
        <f t="shared" si="5"/>
        <v>0</v>
      </c>
      <c r="H87" s="769">
        <f t="shared" si="5"/>
        <v>0</v>
      </c>
      <c r="I87" s="769">
        <f t="shared" si="5"/>
        <v>0</v>
      </c>
      <c r="J87" s="769">
        <f t="shared" si="5"/>
        <v>0</v>
      </c>
      <c r="K87" s="499"/>
      <c r="L87" s="161"/>
    </row>
    <row r="88" spans="2:12" x14ac:dyDescent="0.2">
      <c r="B88" s="157"/>
      <c r="C88" s="499"/>
      <c r="D88" s="847"/>
      <c r="E88" s="499"/>
      <c r="F88" s="777">
        <v>0</v>
      </c>
      <c r="G88" s="777">
        <f t="shared" si="5"/>
        <v>0</v>
      </c>
      <c r="H88" s="769">
        <f t="shared" si="5"/>
        <v>0</v>
      </c>
      <c r="I88" s="769">
        <f t="shared" si="5"/>
        <v>0</v>
      </c>
      <c r="J88" s="769">
        <f t="shared" si="5"/>
        <v>0</v>
      </c>
      <c r="K88" s="499"/>
      <c r="L88" s="161"/>
    </row>
    <row r="89" spans="2:12" x14ac:dyDescent="0.2">
      <c r="B89" s="157"/>
      <c r="C89" s="499"/>
      <c r="D89" s="847"/>
      <c r="E89" s="499"/>
      <c r="F89" s="777">
        <v>0</v>
      </c>
      <c r="G89" s="777">
        <f t="shared" si="5"/>
        <v>0</v>
      </c>
      <c r="H89" s="769">
        <f t="shared" si="5"/>
        <v>0</v>
      </c>
      <c r="I89" s="769">
        <f t="shared" si="5"/>
        <v>0</v>
      </c>
      <c r="J89" s="769">
        <f t="shared" si="5"/>
        <v>0</v>
      </c>
      <c r="K89" s="499"/>
      <c r="L89" s="161"/>
    </row>
    <row r="90" spans="2:12" x14ac:dyDescent="0.2">
      <c r="B90" s="157"/>
      <c r="C90" s="499"/>
      <c r="D90" s="847"/>
      <c r="E90" s="499"/>
      <c r="F90" s="777">
        <v>0</v>
      </c>
      <c r="G90" s="777">
        <f t="shared" si="5"/>
        <v>0</v>
      </c>
      <c r="H90" s="769">
        <f t="shared" si="5"/>
        <v>0</v>
      </c>
      <c r="I90" s="769">
        <f t="shared" si="5"/>
        <v>0</v>
      </c>
      <c r="J90" s="769">
        <f t="shared" si="5"/>
        <v>0</v>
      </c>
      <c r="K90" s="499"/>
      <c r="L90" s="161"/>
    </row>
    <row r="91" spans="2:12" x14ac:dyDescent="0.2">
      <c r="B91" s="157"/>
      <c r="C91" s="499"/>
      <c r="D91" s="499"/>
      <c r="E91" s="499"/>
      <c r="F91" s="850">
        <f>SUM(F81:F90)</f>
        <v>0</v>
      </c>
      <c r="G91" s="850">
        <f>SUM(G81:G90)</f>
        <v>0</v>
      </c>
      <c r="H91" s="848">
        <f>SUM(H81:H90)</f>
        <v>0</v>
      </c>
      <c r="I91" s="848">
        <f>SUM(I81:I90)</f>
        <v>0</v>
      </c>
      <c r="J91" s="848">
        <f>SUM(J81:J90)</f>
        <v>0</v>
      </c>
      <c r="K91" s="499"/>
      <c r="L91" s="161"/>
    </row>
    <row r="92" spans="2:12" x14ac:dyDescent="0.2">
      <c r="B92" s="157"/>
      <c r="C92" s="499"/>
      <c r="D92" s="499"/>
      <c r="E92" s="499"/>
      <c r="F92" s="681"/>
      <c r="G92" s="681"/>
      <c r="H92" s="681"/>
      <c r="I92" s="681"/>
      <c r="J92" s="681"/>
      <c r="K92" s="499"/>
      <c r="L92" s="161"/>
    </row>
    <row r="93" spans="2:12" x14ac:dyDescent="0.2">
      <c r="B93" s="157"/>
      <c r="C93" s="188"/>
      <c r="D93" s="199"/>
      <c r="E93" s="188"/>
      <c r="F93" s="189"/>
      <c r="G93" s="189"/>
      <c r="H93" s="189"/>
      <c r="I93" s="189"/>
      <c r="J93" s="189"/>
      <c r="K93" s="188"/>
      <c r="L93" s="161"/>
    </row>
    <row r="94" spans="2:12" x14ac:dyDescent="0.2">
      <c r="B94" s="157"/>
      <c r="C94" s="499"/>
      <c r="D94" s="499"/>
      <c r="E94" s="499"/>
      <c r="F94" s="681"/>
      <c r="G94" s="681"/>
      <c r="H94" s="681"/>
      <c r="I94" s="681"/>
      <c r="J94" s="681"/>
      <c r="K94" s="499"/>
      <c r="L94" s="161"/>
    </row>
    <row r="95" spans="2:12" x14ac:dyDescent="0.2">
      <c r="B95" s="157"/>
      <c r="C95" s="499"/>
      <c r="D95" s="502" t="s">
        <v>288</v>
      </c>
      <c r="E95" s="499"/>
      <c r="F95" s="821">
        <f>F62+F79+F91</f>
        <v>341994</v>
      </c>
      <c r="G95" s="821">
        <f>G62+G79+G91</f>
        <v>342900</v>
      </c>
      <c r="H95" s="809">
        <f>H62+H79+H91</f>
        <v>342900</v>
      </c>
      <c r="I95" s="809">
        <f>I62+I79+I91</f>
        <v>342900</v>
      </c>
      <c r="J95" s="809">
        <f>J62+J79+J91</f>
        <v>342900</v>
      </c>
      <c r="K95" s="499"/>
      <c r="L95" s="161"/>
    </row>
    <row r="96" spans="2:12" x14ac:dyDescent="0.2">
      <c r="B96" s="157"/>
      <c r="C96" s="499"/>
      <c r="D96" s="499"/>
      <c r="E96" s="499"/>
      <c r="F96" s="681"/>
      <c r="G96" s="681"/>
      <c r="H96" s="681"/>
      <c r="I96" s="681"/>
      <c r="J96" s="681"/>
      <c r="K96" s="499"/>
      <c r="L96" s="161"/>
    </row>
    <row r="97" spans="2:14" x14ac:dyDescent="0.2">
      <c r="B97" s="157"/>
      <c r="C97" s="188"/>
      <c r="D97" s="199"/>
      <c r="E97" s="188"/>
      <c r="F97" s="189"/>
      <c r="G97" s="189"/>
      <c r="H97" s="189"/>
      <c r="I97" s="189"/>
      <c r="J97" s="189"/>
      <c r="K97" s="188"/>
      <c r="L97" s="161"/>
    </row>
    <row r="98" spans="2:14" x14ac:dyDescent="0.2">
      <c r="B98" s="157"/>
      <c r="C98" s="188"/>
      <c r="D98" s="199"/>
      <c r="E98" s="188"/>
      <c r="F98" s="189"/>
      <c r="G98" s="189"/>
      <c r="H98" s="189"/>
      <c r="I98" s="189"/>
      <c r="J98" s="189"/>
      <c r="K98" s="188"/>
      <c r="L98" s="161"/>
    </row>
    <row r="99" spans="2:14" x14ac:dyDescent="0.2">
      <c r="B99" s="157"/>
      <c r="C99" s="499"/>
      <c r="D99" s="499"/>
      <c r="E99" s="499"/>
      <c r="F99" s="681"/>
      <c r="G99" s="681"/>
      <c r="H99" s="681"/>
      <c r="I99" s="681"/>
      <c r="J99" s="681"/>
      <c r="K99" s="499"/>
      <c r="L99" s="161"/>
    </row>
    <row r="100" spans="2:14" x14ac:dyDescent="0.2">
      <c r="B100" s="157"/>
      <c r="C100" s="499"/>
      <c r="D100" s="682" t="s">
        <v>289</v>
      </c>
      <c r="E100" s="499"/>
      <c r="F100" s="821">
        <f>F55-F95</f>
        <v>558022</v>
      </c>
      <c r="G100" s="821">
        <f>G55-G95</f>
        <v>560255</v>
      </c>
      <c r="H100" s="809">
        <f>H55-H95</f>
        <v>560255</v>
      </c>
      <c r="I100" s="809">
        <f>I55-I95</f>
        <v>560255</v>
      </c>
      <c r="J100" s="809">
        <f>J55-J95</f>
        <v>560255</v>
      </c>
      <c r="K100" s="499"/>
      <c r="L100" s="161"/>
    </row>
    <row r="101" spans="2:14" x14ac:dyDescent="0.2">
      <c r="B101" s="157"/>
      <c r="C101" s="499"/>
      <c r="D101" s="499"/>
      <c r="E101" s="499"/>
      <c r="F101" s="681"/>
      <c r="G101" s="681"/>
      <c r="H101" s="681"/>
      <c r="I101" s="681"/>
      <c r="J101" s="681"/>
      <c r="K101" s="499"/>
      <c r="L101" s="161"/>
    </row>
    <row r="102" spans="2:14" x14ac:dyDescent="0.2">
      <c r="B102" s="157"/>
      <c r="C102" s="158"/>
      <c r="D102" s="158"/>
      <c r="E102" s="158"/>
      <c r="F102" s="160"/>
      <c r="G102" s="160"/>
      <c r="H102" s="160"/>
      <c r="I102" s="160"/>
      <c r="J102" s="160"/>
      <c r="K102" s="158"/>
      <c r="L102" s="161"/>
    </row>
    <row r="103" spans="2:14" x14ac:dyDescent="0.2">
      <c r="B103" s="157"/>
      <c r="C103" s="158"/>
      <c r="D103" s="158"/>
      <c r="E103" s="158"/>
      <c r="F103" s="160"/>
      <c r="G103" s="160"/>
      <c r="H103" s="160"/>
      <c r="I103" s="160"/>
      <c r="J103" s="160"/>
      <c r="K103" s="158"/>
      <c r="L103" s="161"/>
    </row>
    <row r="104" spans="2:14" ht="15" x14ac:dyDescent="0.25">
      <c r="B104" s="172"/>
      <c r="C104" s="173"/>
      <c r="D104" s="173"/>
      <c r="E104" s="173"/>
      <c r="F104" s="174"/>
      <c r="G104" s="198"/>
      <c r="H104" s="198"/>
      <c r="I104" s="198"/>
      <c r="J104" s="198"/>
      <c r="K104" s="175" t="s">
        <v>423</v>
      </c>
      <c r="L104" s="176"/>
      <c r="M104" s="34"/>
      <c r="N104" s="34"/>
    </row>
    <row r="105" spans="2:14" x14ac:dyDescent="0.2">
      <c r="B105" s="34"/>
      <c r="C105" s="34"/>
      <c r="D105" s="34"/>
      <c r="E105" s="34"/>
      <c r="F105" s="36"/>
      <c r="G105" s="50"/>
      <c r="H105" s="50"/>
      <c r="I105" s="50"/>
      <c r="J105" s="50"/>
      <c r="K105" s="34"/>
      <c r="L105" s="34"/>
      <c r="M105" s="34"/>
      <c r="N105" s="34"/>
    </row>
    <row r="106" spans="2:14" x14ac:dyDescent="0.2">
      <c r="B106" s="34"/>
      <c r="C106" s="34"/>
      <c r="D106" s="34"/>
      <c r="E106" s="34"/>
      <c r="F106" s="36"/>
      <c r="G106" s="36"/>
      <c r="H106" s="36"/>
      <c r="I106" s="36"/>
      <c r="J106" s="36"/>
      <c r="K106" s="34"/>
      <c r="L106" s="34"/>
      <c r="M106" s="34"/>
      <c r="N106" s="34"/>
    </row>
    <row r="107" spans="2:14" x14ac:dyDescent="0.2">
      <c r="B107" s="34"/>
      <c r="C107" s="34"/>
      <c r="D107" s="34"/>
      <c r="E107" s="34"/>
      <c r="F107" s="36"/>
      <c r="G107" s="36"/>
      <c r="H107" s="36"/>
      <c r="I107" s="36"/>
      <c r="J107" s="36"/>
      <c r="K107" s="34"/>
      <c r="L107" s="34"/>
      <c r="M107" s="34"/>
      <c r="N107" s="34"/>
    </row>
    <row r="108" spans="2:14" x14ac:dyDescent="0.2">
      <c r="B108" s="34"/>
      <c r="C108" s="34"/>
      <c r="D108" s="34"/>
      <c r="E108" s="34"/>
      <c r="F108" s="36"/>
      <c r="G108" s="36"/>
      <c r="H108" s="36"/>
      <c r="I108" s="36"/>
      <c r="J108" s="36"/>
      <c r="K108" s="34"/>
      <c r="L108" s="34"/>
      <c r="M108" s="34"/>
      <c r="N108" s="34"/>
    </row>
    <row r="109" spans="2:14" x14ac:dyDescent="0.2">
      <c r="B109" s="34"/>
      <c r="C109" s="34"/>
      <c r="D109" s="34"/>
      <c r="E109" s="34"/>
      <c r="F109" s="36"/>
      <c r="G109" s="858" t="s">
        <v>505</v>
      </c>
      <c r="H109" s="36"/>
      <c r="I109" s="36"/>
      <c r="J109" s="36"/>
      <c r="K109" s="34"/>
      <c r="L109" s="34"/>
      <c r="M109" s="34"/>
      <c r="N109" s="34"/>
    </row>
    <row r="110" spans="2:14" x14ac:dyDescent="0.2">
      <c r="B110" s="34"/>
      <c r="C110" s="34"/>
      <c r="D110" s="405" t="s">
        <v>304</v>
      </c>
      <c r="E110" s="368"/>
      <c r="F110" s="403">
        <f>tab!D4</f>
        <v>2013</v>
      </c>
      <c r="G110" s="403">
        <f>tab!E4</f>
        <v>2014</v>
      </c>
      <c r="H110" s="403">
        <f>tab!F4</f>
        <v>2015</v>
      </c>
      <c r="I110" s="403">
        <f>tab!G4</f>
        <v>2016</v>
      </c>
      <c r="J110" s="368"/>
      <c r="K110" s="368"/>
      <c r="L110" s="368"/>
      <c r="M110" s="34"/>
    </row>
    <row r="111" spans="2:14" x14ac:dyDescent="0.2">
      <c r="B111" s="34"/>
      <c r="C111" s="34"/>
      <c r="D111" s="368"/>
      <c r="E111" s="368"/>
      <c r="F111" s="406"/>
      <c r="G111" s="406"/>
      <c r="H111" s="406"/>
      <c r="I111" s="406"/>
      <c r="J111" s="368"/>
      <c r="K111" s="368"/>
      <c r="L111" s="368"/>
      <c r="M111" s="34"/>
    </row>
    <row r="112" spans="2:14" x14ac:dyDescent="0.2">
      <c r="B112" s="34"/>
      <c r="C112" s="34"/>
      <c r="D112" s="368" t="s">
        <v>305</v>
      </c>
      <c r="E112" s="368"/>
      <c r="F112" s="457">
        <f>(7/12*F25)+(5/12*G25)</f>
        <v>901323.91666666674</v>
      </c>
      <c r="G112" s="457">
        <f>(7/12*G25)+(5/12*H25*0)</f>
        <v>526840.41666666674</v>
      </c>
      <c r="H112" s="457">
        <f>(7/12*H25)+(5/12*I25)</f>
        <v>903155.00000000012</v>
      </c>
      <c r="I112" s="457">
        <f>(7/12*I25)+(5/12*J25)</f>
        <v>903155.00000000012</v>
      </c>
      <c r="J112" s="368"/>
      <c r="K112" s="368"/>
      <c r="L112" s="368"/>
      <c r="M112" s="34"/>
    </row>
    <row r="113" spans="2:14" x14ac:dyDescent="0.2">
      <c r="B113" s="34"/>
      <c r="C113" s="34"/>
      <c r="D113" s="368" t="s">
        <v>277</v>
      </c>
      <c r="E113" s="368"/>
      <c r="F113" s="457">
        <f>(7/12*F37)+(5/12*G37)</f>
        <v>0</v>
      </c>
      <c r="G113" s="457">
        <f>(7/12*G37)+(5/12*H37*0)</f>
        <v>0</v>
      </c>
      <c r="H113" s="457">
        <f>(7/12*H37)+(5/12*I37)</f>
        <v>0</v>
      </c>
      <c r="I113" s="457">
        <f>(7/12*I37)+(5/12*J37)</f>
        <v>0</v>
      </c>
      <c r="J113" s="368"/>
      <c r="K113" s="368"/>
      <c r="L113" s="368"/>
      <c r="M113" s="34"/>
    </row>
    <row r="114" spans="2:14" x14ac:dyDescent="0.2">
      <c r="B114" s="34"/>
      <c r="C114" s="34"/>
      <c r="D114" s="368" t="s">
        <v>298</v>
      </c>
      <c r="E114" s="368"/>
      <c r="F114" s="457">
        <f>(7/12*F44)+(5/12*G44)</f>
        <v>0</v>
      </c>
      <c r="G114" s="457">
        <f>(7/12*G44)+(5/12*H44*0)</f>
        <v>0</v>
      </c>
      <c r="H114" s="457">
        <f>(7/12*H44)+(5/12*I44)</f>
        <v>0</v>
      </c>
      <c r="I114" s="457">
        <f>(7/12*I44)+(5/12*J44)</f>
        <v>0</v>
      </c>
      <c r="J114" s="368"/>
      <c r="K114" s="368"/>
      <c r="L114" s="368"/>
      <c r="M114" s="34"/>
    </row>
    <row r="115" spans="2:14" x14ac:dyDescent="0.2">
      <c r="B115" s="34"/>
      <c r="C115" s="34"/>
      <c r="D115" s="368" t="s">
        <v>117</v>
      </c>
      <c r="E115" s="368"/>
      <c r="F115" s="457">
        <f>(7/12*F51)+(5/12*G51)-F114</f>
        <v>0</v>
      </c>
      <c r="G115" s="457">
        <f>(7/12*G51)+(5/12*H51*0)-G114</f>
        <v>0</v>
      </c>
      <c r="H115" s="457">
        <f>(7/12*H51)+(5/12*I51)-H114</f>
        <v>0</v>
      </c>
      <c r="I115" s="457">
        <f>(7/12*I51)+(5/12*J51)-I114</f>
        <v>0</v>
      </c>
      <c r="J115" s="368"/>
      <c r="K115" s="368"/>
      <c r="L115" s="368"/>
      <c r="M115" s="34"/>
    </row>
    <row r="116" spans="2:14" x14ac:dyDescent="0.2">
      <c r="B116" s="34"/>
      <c r="C116" s="34"/>
      <c r="D116" s="368" t="s">
        <v>306</v>
      </c>
      <c r="E116" s="368"/>
      <c r="F116" s="457">
        <f>(7/12*F95)+(5/12*G95)</f>
        <v>342371.5</v>
      </c>
      <c r="G116" s="457">
        <f>(7/12*G95)+(5/12*H95*0)</f>
        <v>200025</v>
      </c>
      <c r="H116" s="457">
        <f>(7/12*H95)+(5/12*I95)</f>
        <v>342900</v>
      </c>
      <c r="I116" s="457">
        <f>(7/12*I95)+(5/12*J95)</f>
        <v>342900</v>
      </c>
      <c r="J116" s="368"/>
      <c r="K116" s="368"/>
      <c r="L116" s="368"/>
      <c r="M116" s="34"/>
    </row>
    <row r="117" spans="2:14" x14ac:dyDescent="0.2">
      <c r="B117" s="34"/>
      <c r="C117" s="34"/>
      <c r="D117" s="34"/>
      <c r="E117" s="34"/>
      <c r="F117" s="36"/>
      <c r="G117" s="36"/>
      <c r="H117" s="36"/>
      <c r="I117" s="36"/>
      <c r="J117" s="36"/>
      <c r="K117" s="34"/>
      <c r="L117" s="34"/>
      <c r="M117" s="34"/>
      <c r="N117" s="34"/>
    </row>
    <row r="118" spans="2:14" x14ac:dyDescent="0.2">
      <c r="B118" s="34"/>
      <c r="C118" s="34"/>
      <c r="D118" s="34"/>
      <c r="E118" s="34"/>
      <c r="F118" s="36"/>
      <c r="G118" s="36"/>
      <c r="H118" s="36"/>
      <c r="I118" s="36"/>
      <c r="J118" s="36"/>
      <c r="K118" s="34"/>
      <c r="L118" s="34"/>
      <c r="M118" s="34"/>
      <c r="N118" s="34"/>
    </row>
    <row r="119" spans="2:14" x14ac:dyDescent="0.2">
      <c r="B119" s="34"/>
      <c r="C119" s="34"/>
      <c r="D119" s="34"/>
      <c r="E119" s="34"/>
      <c r="F119" s="36"/>
      <c r="G119" s="36"/>
      <c r="H119" s="36"/>
      <c r="I119" s="36"/>
      <c r="J119" s="36"/>
      <c r="K119" s="34"/>
      <c r="L119" s="34"/>
      <c r="M119" s="34"/>
      <c r="N119" s="34"/>
    </row>
    <row r="120" spans="2:14" x14ac:dyDescent="0.2">
      <c r="B120" s="34"/>
      <c r="C120" s="34"/>
      <c r="D120" s="34"/>
      <c r="E120" s="34"/>
      <c r="F120" s="36"/>
      <c r="G120" s="36"/>
      <c r="H120" s="36"/>
      <c r="I120" s="36"/>
      <c r="J120" s="36"/>
      <c r="K120" s="34"/>
      <c r="L120" s="34"/>
      <c r="M120" s="34"/>
      <c r="N120" s="34"/>
    </row>
    <row r="121" spans="2:14" x14ac:dyDescent="0.2">
      <c r="B121" s="34"/>
      <c r="C121" s="34"/>
      <c r="D121" s="34"/>
      <c r="E121" s="34"/>
      <c r="F121" s="36"/>
      <c r="G121" s="36"/>
      <c r="H121" s="36"/>
      <c r="I121" s="36"/>
      <c r="J121" s="36"/>
      <c r="K121" s="34"/>
      <c r="L121" s="34"/>
      <c r="M121" s="34"/>
      <c r="N121" s="34"/>
    </row>
    <row r="122" spans="2:14" x14ac:dyDescent="0.2">
      <c r="B122" s="34"/>
      <c r="C122" s="34"/>
      <c r="D122" s="34"/>
      <c r="E122" s="34"/>
      <c r="F122" s="36"/>
      <c r="G122" s="36"/>
      <c r="H122" s="36"/>
      <c r="I122" s="36"/>
      <c r="J122" s="36"/>
      <c r="K122" s="34"/>
      <c r="L122" s="34"/>
      <c r="M122" s="34"/>
      <c r="N122" s="34"/>
    </row>
    <row r="123" spans="2:14" x14ac:dyDescent="0.2">
      <c r="B123" s="34"/>
      <c r="C123" s="34"/>
      <c r="D123" s="34"/>
      <c r="E123" s="34"/>
      <c r="F123" s="36"/>
      <c r="G123" s="36"/>
      <c r="H123" s="36"/>
      <c r="I123" s="36"/>
      <c r="J123" s="36"/>
      <c r="K123" s="34"/>
      <c r="L123" s="34"/>
      <c r="M123" s="34"/>
      <c r="N123" s="34"/>
    </row>
    <row r="124" spans="2:14" x14ac:dyDescent="0.2">
      <c r="B124" s="34"/>
      <c r="C124" s="34"/>
      <c r="D124" s="34"/>
      <c r="E124" s="34"/>
      <c r="F124" s="36"/>
      <c r="G124" s="36"/>
      <c r="H124" s="36"/>
      <c r="I124" s="36"/>
      <c r="J124" s="36"/>
      <c r="K124" s="34"/>
      <c r="L124" s="34"/>
      <c r="M124" s="34"/>
      <c r="N124" s="34"/>
    </row>
    <row r="125" spans="2:14" x14ac:dyDescent="0.2">
      <c r="B125" s="34"/>
      <c r="C125" s="34"/>
      <c r="D125" s="34"/>
      <c r="E125" s="34"/>
      <c r="F125" s="36"/>
      <c r="G125" s="36"/>
      <c r="H125" s="36"/>
      <c r="I125" s="36"/>
      <c r="J125" s="36"/>
      <c r="K125" s="34"/>
      <c r="L125" s="34"/>
      <c r="M125" s="34"/>
      <c r="N125" s="34"/>
    </row>
    <row r="126" spans="2:14" x14ac:dyDescent="0.2">
      <c r="B126" s="34"/>
      <c r="C126" s="34"/>
      <c r="D126" s="34"/>
      <c r="E126" s="34"/>
      <c r="F126" s="36"/>
      <c r="G126" s="36"/>
      <c r="H126" s="36"/>
      <c r="I126" s="36"/>
      <c r="J126" s="36"/>
      <c r="K126" s="34"/>
      <c r="L126" s="34"/>
      <c r="M126" s="34"/>
      <c r="N126" s="34"/>
    </row>
    <row r="127" spans="2:14" x14ac:dyDescent="0.2">
      <c r="B127" s="34"/>
      <c r="C127" s="34"/>
      <c r="D127" s="34"/>
      <c r="E127" s="34"/>
      <c r="F127" s="36"/>
      <c r="G127" s="36"/>
      <c r="H127" s="36"/>
      <c r="I127" s="36"/>
      <c r="J127" s="36"/>
      <c r="K127" s="34"/>
      <c r="L127" s="34"/>
      <c r="M127" s="34"/>
      <c r="N127" s="34"/>
    </row>
    <row r="128" spans="2:14" x14ac:dyDescent="0.2">
      <c r="B128" s="34"/>
      <c r="C128" s="34"/>
      <c r="D128" s="34"/>
      <c r="E128" s="34"/>
      <c r="F128" s="36"/>
      <c r="G128" s="36"/>
      <c r="H128" s="36"/>
      <c r="I128" s="36"/>
      <c r="J128" s="36"/>
      <c r="K128" s="34"/>
      <c r="L128" s="34"/>
      <c r="M128" s="34"/>
      <c r="N128" s="34"/>
    </row>
    <row r="129" spans="2:14" x14ac:dyDescent="0.2">
      <c r="B129" s="34"/>
      <c r="C129" s="34"/>
      <c r="D129" s="34"/>
      <c r="E129" s="34"/>
      <c r="F129" s="36"/>
      <c r="G129" s="36"/>
      <c r="H129" s="36"/>
      <c r="I129" s="36"/>
      <c r="J129" s="36"/>
      <c r="K129" s="34"/>
      <c r="L129" s="34"/>
      <c r="M129" s="34"/>
      <c r="N129" s="34"/>
    </row>
    <row r="130" spans="2:14" x14ac:dyDescent="0.2">
      <c r="B130" s="34"/>
      <c r="C130" s="34"/>
      <c r="D130" s="34"/>
      <c r="E130" s="34"/>
      <c r="F130" s="36"/>
      <c r="G130" s="36"/>
      <c r="H130" s="36"/>
      <c r="I130" s="36"/>
      <c r="J130" s="36"/>
      <c r="K130" s="34"/>
      <c r="L130" s="34"/>
      <c r="M130" s="34"/>
      <c r="N130" s="34"/>
    </row>
    <row r="131" spans="2:14" x14ac:dyDescent="0.2">
      <c r="B131" s="34"/>
      <c r="C131" s="34"/>
      <c r="D131" s="34"/>
      <c r="E131" s="34"/>
      <c r="F131" s="36"/>
      <c r="G131" s="36"/>
      <c r="H131" s="36"/>
      <c r="I131" s="36"/>
      <c r="J131" s="36"/>
      <c r="K131" s="34"/>
      <c r="L131" s="34"/>
      <c r="M131" s="34"/>
      <c r="N131" s="34"/>
    </row>
    <row r="132" spans="2:14" x14ac:dyDescent="0.2">
      <c r="B132" s="34"/>
      <c r="C132" s="34"/>
      <c r="D132" s="34"/>
      <c r="E132" s="34"/>
      <c r="F132" s="36"/>
      <c r="G132" s="36"/>
      <c r="H132" s="36"/>
      <c r="I132" s="36"/>
      <c r="J132" s="36"/>
      <c r="K132" s="34"/>
      <c r="L132" s="34"/>
      <c r="M132" s="34"/>
      <c r="N132" s="34"/>
    </row>
    <row r="133" spans="2:14" x14ac:dyDescent="0.2">
      <c r="B133" s="34"/>
      <c r="C133" s="34"/>
      <c r="D133" s="34"/>
      <c r="E133" s="34"/>
      <c r="F133" s="36"/>
      <c r="G133" s="36"/>
      <c r="H133" s="36"/>
      <c r="I133" s="36"/>
      <c r="J133" s="36"/>
      <c r="K133" s="34"/>
      <c r="L133" s="34"/>
      <c r="M133" s="34"/>
      <c r="N133" s="34"/>
    </row>
    <row r="134" spans="2:14" x14ac:dyDescent="0.2">
      <c r="B134" s="34"/>
      <c r="C134" s="34"/>
      <c r="D134" s="34"/>
      <c r="E134" s="34"/>
      <c r="F134" s="36"/>
      <c r="G134" s="36"/>
      <c r="H134" s="36"/>
      <c r="I134" s="36"/>
      <c r="J134" s="36"/>
      <c r="K134" s="34"/>
      <c r="L134" s="34"/>
      <c r="M134" s="34"/>
      <c r="N134" s="34"/>
    </row>
    <row r="135" spans="2:14" x14ac:dyDescent="0.2">
      <c r="B135" s="34"/>
      <c r="C135" s="34"/>
      <c r="D135" s="34"/>
      <c r="E135" s="34"/>
      <c r="F135" s="36"/>
      <c r="G135" s="36"/>
      <c r="H135" s="36"/>
      <c r="I135" s="36"/>
      <c r="J135" s="36"/>
      <c r="K135" s="34"/>
      <c r="L135" s="34"/>
      <c r="M135" s="34"/>
      <c r="N135" s="34"/>
    </row>
    <row r="136" spans="2:14" x14ac:dyDescent="0.2">
      <c r="B136" s="34"/>
      <c r="C136" s="34"/>
      <c r="D136" s="34"/>
      <c r="E136" s="34"/>
      <c r="F136" s="36"/>
      <c r="G136" s="36"/>
      <c r="H136" s="36"/>
      <c r="I136" s="36"/>
      <c r="J136" s="36"/>
      <c r="K136" s="34"/>
      <c r="L136" s="34"/>
      <c r="M136" s="34"/>
      <c r="N136" s="34"/>
    </row>
    <row r="137" spans="2:14" x14ac:dyDescent="0.2">
      <c r="B137" s="34"/>
      <c r="C137" s="34"/>
      <c r="D137" s="34"/>
      <c r="E137" s="34"/>
      <c r="F137" s="36"/>
      <c r="G137" s="36"/>
      <c r="H137" s="36"/>
      <c r="I137" s="36"/>
      <c r="J137" s="36"/>
      <c r="K137" s="34"/>
      <c r="L137" s="34"/>
      <c r="M137" s="34"/>
      <c r="N137" s="34"/>
    </row>
    <row r="138" spans="2:14" x14ac:dyDescent="0.2">
      <c r="B138" s="34"/>
      <c r="C138" s="34"/>
      <c r="D138" s="34"/>
      <c r="E138" s="34"/>
      <c r="F138" s="36"/>
      <c r="G138" s="36"/>
      <c r="H138" s="36"/>
      <c r="I138" s="36"/>
      <c r="J138" s="36"/>
      <c r="K138" s="34"/>
      <c r="L138" s="34"/>
      <c r="M138" s="34"/>
      <c r="N138" s="34"/>
    </row>
    <row r="139" spans="2:14" x14ac:dyDescent="0.2">
      <c r="B139" s="34"/>
      <c r="C139" s="34"/>
      <c r="D139" s="34"/>
      <c r="E139" s="34"/>
      <c r="F139" s="36"/>
      <c r="G139" s="36"/>
      <c r="H139" s="36"/>
      <c r="I139" s="36"/>
      <c r="J139" s="36"/>
      <c r="K139" s="34"/>
      <c r="L139" s="34"/>
      <c r="M139" s="34"/>
      <c r="N139" s="34"/>
    </row>
    <row r="140" spans="2:14" x14ac:dyDescent="0.2">
      <c r="B140" s="34"/>
      <c r="C140" s="34"/>
      <c r="D140" s="34"/>
      <c r="E140" s="34"/>
      <c r="F140" s="36"/>
      <c r="G140" s="36"/>
      <c r="H140" s="36"/>
      <c r="I140" s="36"/>
      <c r="J140" s="36"/>
      <c r="K140" s="34"/>
      <c r="L140" s="34"/>
      <c r="M140" s="34"/>
      <c r="N140" s="34"/>
    </row>
    <row r="141" spans="2:14" x14ac:dyDescent="0.2">
      <c r="B141" s="34"/>
      <c r="C141" s="34"/>
      <c r="D141" s="34"/>
      <c r="E141" s="34"/>
      <c r="F141" s="36"/>
      <c r="G141" s="36"/>
      <c r="H141" s="36"/>
      <c r="I141" s="36"/>
      <c r="J141" s="36"/>
      <c r="K141" s="34"/>
      <c r="L141" s="34"/>
      <c r="M141" s="34"/>
      <c r="N141" s="34"/>
    </row>
    <row r="142" spans="2:14" x14ac:dyDescent="0.2">
      <c r="B142" s="34"/>
      <c r="C142" s="34"/>
      <c r="D142" s="34"/>
      <c r="E142" s="34"/>
      <c r="F142" s="36"/>
      <c r="G142" s="36"/>
      <c r="H142" s="36"/>
      <c r="I142" s="36"/>
      <c r="J142" s="36"/>
      <c r="K142" s="34"/>
      <c r="L142" s="34"/>
      <c r="M142" s="34"/>
      <c r="N142" s="34"/>
    </row>
    <row r="143" spans="2:14" x14ac:dyDescent="0.2">
      <c r="B143" s="34"/>
      <c r="C143" s="34"/>
      <c r="D143" s="34"/>
      <c r="E143" s="34"/>
      <c r="F143" s="36"/>
      <c r="G143" s="36"/>
      <c r="H143" s="36"/>
      <c r="I143" s="36"/>
      <c r="J143" s="36"/>
      <c r="K143" s="34"/>
      <c r="L143" s="34"/>
      <c r="M143" s="34"/>
      <c r="N143" s="34"/>
    </row>
    <row r="144" spans="2:14" x14ac:dyDescent="0.2">
      <c r="B144" s="34"/>
      <c r="C144" s="34"/>
      <c r="D144" s="34"/>
      <c r="E144" s="34"/>
      <c r="F144" s="36"/>
      <c r="G144" s="36"/>
      <c r="H144" s="36"/>
      <c r="I144" s="36"/>
      <c r="J144" s="36"/>
      <c r="K144" s="34"/>
      <c r="L144" s="34"/>
      <c r="M144" s="34"/>
      <c r="N144" s="34"/>
    </row>
    <row r="145" spans="2:14" x14ac:dyDescent="0.2">
      <c r="B145" s="34"/>
      <c r="C145" s="34"/>
      <c r="D145" s="34"/>
      <c r="E145" s="34"/>
      <c r="F145" s="36"/>
      <c r="G145" s="36"/>
      <c r="H145" s="36"/>
      <c r="I145" s="36"/>
      <c r="J145" s="36"/>
      <c r="K145" s="34"/>
      <c r="L145" s="34"/>
      <c r="M145" s="34"/>
      <c r="N145" s="34"/>
    </row>
    <row r="146" spans="2:14" x14ac:dyDescent="0.2">
      <c r="B146" s="34"/>
      <c r="C146" s="34"/>
      <c r="D146" s="34"/>
      <c r="E146" s="34"/>
      <c r="F146" s="36"/>
      <c r="G146" s="36"/>
      <c r="H146" s="36"/>
      <c r="I146" s="36"/>
      <c r="J146" s="36"/>
      <c r="K146" s="34"/>
      <c r="L146" s="34"/>
      <c r="M146" s="34"/>
      <c r="N146" s="34"/>
    </row>
    <row r="147" spans="2:14" x14ac:dyDescent="0.2">
      <c r="B147" s="34"/>
      <c r="C147" s="34"/>
      <c r="D147" s="34"/>
      <c r="E147" s="34"/>
      <c r="F147" s="36"/>
      <c r="G147" s="36"/>
      <c r="H147" s="36"/>
      <c r="I147" s="36"/>
      <c r="J147" s="36"/>
      <c r="K147" s="34"/>
      <c r="L147" s="34"/>
      <c r="M147" s="34"/>
      <c r="N147" s="34"/>
    </row>
    <row r="148" spans="2:14" x14ac:dyDescent="0.2">
      <c r="B148" s="34"/>
      <c r="C148" s="34"/>
      <c r="D148" s="34"/>
      <c r="E148" s="34"/>
      <c r="F148" s="36"/>
      <c r="G148" s="36"/>
      <c r="H148" s="36"/>
      <c r="I148" s="36"/>
      <c r="J148" s="36"/>
      <c r="K148" s="34"/>
      <c r="L148" s="34"/>
      <c r="M148" s="34"/>
      <c r="N148" s="34"/>
    </row>
    <row r="149" spans="2:14" x14ac:dyDescent="0.2">
      <c r="B149" s="34"/>
      <c r="C149" s="34"/>
      <c r="D149" s="34"/>
      <c r="E149" s="34"/>
      <c r="F149" s="36"/>
      <c r="G149" s="36"/>
      <c r="H149" s="36"/>
      <c r="I149" s="36"/>
      <c r="J149" s="36"/>
      <c r="K149" s="34"/>
      <c r="L149" s="34"/>
      <c r="M149" s="34"/>
      <c r="N149" s="34"/>
    </row>
    <row r="150" spans="2:14" x14ac:dyDescent="0.2">
      <c r="B150" s="34"/>
      <c r="C150" s="34"/>
      <c r="D150" s="34"/>
      <c r="E150" s="34"/>
      <c r="F150" s="36"/>
      <c r="G150" s="36"/>
      <c r="H150" s="36"/>
      <c r="I150" s="36"/>
      <c r="J150" s="36"/>
      <c r="K150" s="34"/>
      <c r="L150" s="34"/>
      <c r="M150" s="34"/>
      <c r="N150" s="34"/>
    </row>
    <row r="151" spans="2:14" x14ac:dyDescent="0.2">
      <c r="B151" s="34"/>
      <c r="C151" s="34"/>
      <c r="D151" s="34"/>
      <c r="E151" s="34"/>
      <c r="F151" s="36"/>
      <c r="G151" s="36"/>
      <c r="H151" s="36"/>
      <c r="I151" s="36"/>
      <c r="J151" s="36"/>
      <c r="K151" s="34"/>
      <c r="L151" s="34"/>
      <c r="M151" s="34"/>
      <c r="N151" s="34"/>
    </row>
    <row r="152" spans="2:14" x14ac:dyDescent="0.2">
      <c r="B152" s="34"/>
      <c r="C152" s="34"/>
      <c r="D152" s="34"/>
      <c r="E152" s="34"/>
      <c r="F152" s="36"/>
      <c r="G152" s="36"/>
      <c r="H152" s="36"/>
      <c r="I152" s="36"/>
      <c r="J152" s="36"/>
      <c r="K152" s="34"/>
      <c r="L152" s="34"/>
      <c r="M152" s="34"/>
      <c r="N152" s="34"/>
    </row>
    <row r="153" spans="2:14" x14ac:dyDescent="0.2">
      <c r="B153" s="34"/>
      <c r="C153" s="34"/>
      <c r="D153" s="34"/>
      <c r="E153" s="34"/>
      <c r="F153" s="36"/>
      <c r="G153" s="36"/>
      <c r="H153" s="36"/>
      <c r="I153" s="36"/>
      <c r="J153" s="36"/>
      <c r="K153" s="34"/>
      <c r="L153" s="34"/>
      <c r="M153" s="34"/>
      <c r="N153" s="34"/>
    </row>
    <row r="154" spans="2:14" x14ac:dyDescent="0.2">
      <c r="B154" s="34"/>
      <c r="C154" s="34"/>
      <c r="D154" s="34"/>
      <c r="E154" s="34"/>
      <c r="F154" s="36"/>
      <c r="G154" s="36"/>
      <c r="H154" s="36"/>
      <c r="I154" s="36"/>
      <c r="J154" s="36"/>
      <c r="K154" s="34"/>
      <c r="L154" s="34"/>
      <c r="M154" s="34"/>
      <c r="N154" s="34"/>
    </row>
    <row r="155" spans="2:14" x14ac:dyDescent="0.2">
      <c r="B155" s="34"/>
      <c r="C155" s="34"/>
      <c r="D155" s="34"/>
      <c r="E155" s="34"/>
      <c r="F155" s="36"/>
      <c r="G155" s="36"/>
      <c r="H155" s="36"/>
      <c r="I155" s="36"/>
      <c r="J155" s="36"/>
      <c r="K155" s="34"/>
      <c r="L155" s="34"/>
      <c r="M155" s="34"/>
      <c r="N155" s="34"/>
    </row>
    <row r="156" spans="2:14" x14ac:dyDescent="0.2">
      <c r="B156" s="34"/>
      <c r="C156" s="34"/>
      <c r="D156" s="34"/>
      <c r="E156" s="34"/>
      <c r="F156" s="36"/>
      <c r="G156" s="36"/>
      <c r="H156" s="36"/>
      <c r="I156" s="36"/>
      <c r="J156" s="36"/>
      <c r="K156" s="34"/>
      <c r="L156" s="34"/>
      <c r="M156" s="34"/>
      <c r="N156" s="34"/>
    </row>
    <row r="157" spans="2:14" x14ac:dyDescent="0.2">
      <c r="B157" s="34"/>
      <c r="C157" s="34"/>
      <c r="D157" s="34"/>
      <c r="E157" s="34"/>
      <c r="F157" s="36"/>
      <c r="G157" s="36"/>
      <c r="H157" s="36"/>
      <c r="I157" s="36"/>
      <c r="J157" s="36"/>
      <c r="K157" s="34"/>
      <c r="L157" s="34"/>
      <c r="M157" s="34"/>
      <c r="N157" s="34"/>
    </row>
    <row r="158" spans="2:14" x14ac:dyDescent="0.2">
      <c r="B158" s="34"/>
      <c r="C158" s="34"/>
      <c r="D158" s="34"/>
      <c r="E158" s="34"/>
      <c r="F158" s="36"/>
      <c r="G158" s="36"/>
      <c r="H158" s="36"/>
      <c r="I158" s="36"/>
      <c r="J158" s="36"/>
      <c r="K158" s="34"/>
      <c r="L158" s="34"/>
      <c r="M158" s="34"/>
      <c r="N158" s="34"/>
    </row>
    <row r="159" spans="2:14" x14ac:dyDescent="0.2">
      <c r="B159" s="34"/>
      <c r="C159" s="34"/>
      <c r="D159" s="34"/>
      <c r="E159" s="34"/>
      <c r="F159" s="36"/>
      <c r="G159" s="36"/>
      <c r="H159" s="36"/>
      <c r="I159" s="36"/>
      <c r="J159" s="36"/>
      <c r="K159" s="34"/>
      <c r="L159" s="34"/>
      <c r="M159" s="34"/>
      <c r="N159" s="34"/>
    </row>
    <row r="160" spans="2:14" x14ac:dyDescent="0.2">
      <c r="B160" s="34"/>
      <c r="C160" s="34"/>
      <c r="D160" s="34"/>
      <c r="E160" s="34"/>
      <c r="F160" s="36"/>
      <c r="G160" s="36"/>
      <c r="H160" s="36"/>
      <c r="I160" s="36"/>
      <c r="J160" s="36"/>
      <c r="K160" s="34"/>
      <c r="L160" s="34"/>
      <c r="M160" s="34"/>
      <c r="N160" s="34"/>
    </row>
    <row r="161" spans="2:14" x14ac:dyDescent="0.2">
      <c r="B161" s="34"/>
      <c r="C161" s="34"/>
      <c r="D161" s="34"/>
      <c r="E161" s="34"/>
      <c r="F161" s="36"/>
      <c r="G161" s="36"/>
      <c r="H161" s="36"/>
      <c r="I161" s="36"/>
      <c r="J161" s="36"/>
      <c r="K161" s="34"/>
      <c r="L161" s="34"/>
      <c r="M161" s="34"/>
      <c r="N161" s="34"/>
    </row>
    <row r="162" spans="2:14" x14ac:dyDescent="0.2">
      <c r="B162" s="34"/>
      <c r="C162" s="34"/>
      <c r="D162" s="34"/>
      <c r="E162" s="34"/>
      <c r="F162" s="36"/>
      <c r="G162" s="36"/>
      <c r="H162" s="36"/>
      <c r="I162" s="36"/>
      <c r="J162" s="36"/>
      <c r="K162" s="34"/>
      <c r="L162" s="34"/>
      <c r="M162" s="34"/>
      <c r="N162" s="34"/>
    </row>
    <row r="163" spans="2:14" x14ac:dyDescent="0.2">
      <c r="B163" s="34"/>
      <c r="C163" s="34"/>
      <c r="D163" s="34"/>
      <c r="E163" s="34"/>
      <c r="F163" s="36"/>
      <c r="G163" s="36"/>
      <c r="H163" s="36"/>
      <c r="I163" s="36"/>
      <c r="J163" s="36"/>
      <c r="K163" s="34"/>
      <c r="L163" s="34"/>
      <c r="M163" s="34"/>
      <c r="N163" s="34"/>
    </row>
    <row r="164" spans="2:14" x14ac:dyDescent="0.2">
      <c r="B164" s="34"/>
      <c r="C164" s="34"/>
      <c r="D164" s="34"/>
      <c r="E164" s="34"/>
      <c r="F164" s="36"/>
      <c r="G164" s="36"/>
      <c r="H164" s="36"/>
      <c r="I164" s="36"/>
      <c r="J164" s="36"/>
      <c r="K164" s="34"/>
      <c r="L164" s="34"/>
      <c r="M164" s="34"/>
      <c r="N164" s="34"/>
    </row>
    <row r="165" spans="2:14" x14ac:dyDescent="0.2">
      <c r="B165" s="34"/>
      <c r="C165" s="34"/>
      <c r="D165" s="34"/>
      <c r="E165" s="34"/>
      <c r="F165" s="36"/>
      <c r="G165" s="36"/>
      <c r="H165" s="36"/>
      <c r="I165" s="36"/>
      <c r="J165" s="36"/>
      <c r="K165" s="34"/>
      <c r="L165" s="34"/>
      <c r="M165" s="34"/>
      <c r="N165" s="34"/>
    </row>
    <row r="166" spans="2:14" x14ac:dyDescent="0.2">
      <c r="B166" s="34"/>
      <c r="C166" s="34"/>
      <c r="D166" s="34"/>
      <c r="E166" s="34"/>
      <c r="F166" s="36"/>
      <c r="G166" s="36"/>
      <c r="H166" s="36"/>
      <c r="I166" s="36"/>
      <c r="J166" s="36"/>
      <c r="K166" s="34"/>
      <c r="L166" s="34"/>
      <c r="M166" s="34"/>
      <c r="N166" s="34"/>
    </row>
    <row r="167" spans="2:14" x14ac:dyDescent="0.2">
      <c r="B167" s="34"/>
      <c r="C167" s="34"/>
      <c r="D167" s="34"/>
      <c r="E167" s="34"/>
      <c r="F167" s="36"/>
      <c r="G167" s="36"/>
      <c r="H167" s="36"/>
      <c r="I167" s="36"/>
      <c r="J167" s="36"/>
      <c r="K167" s="34"/>
      <c r="L167" s="34"/>
      <c r="M167" s="34"/>
      <c r="N167" s="34"/>
    </row>
    <row r="168" spans="2:14" x14ac:dyDescent="0.2">
      <c r="B168" s="34"/>
      <c r="C168" s="34"/>
      <c r="D168" s="34"/>
      <c r="E168" s="34"/>
      <c r="F168" s="36"/>
      <c r="G168" s="36"/>
      <c r="H168" s="36"/>
      <c r="I168" s="36"/>
      <c r="J168" s="36"/>
      <c r="K168" s="34"/>
      <c r="L168" s="34"/>
      <c r="M168" s="34"/>
      <c r="N168" s="34"/>
    </row>
    <row r="169" spans="2:14" x14ac:dyDescent="0.2">
      <c r="B169" s="34"/>
      <c r="C169" s="34"/>
      <c r="D169" s="34"/>
      <c r="E169" s="34"/>
      <c r="F169" s="36"/>
      <c r="G169" s="36"/>
      <c r="H169" s="36"/>
      <c r="I169" s="36"/>
      <c r="J169" s="36"/>
      <c r="K169" s="34"/>
      <c r="L169" s="34"/>
      <c r="M169" s="34"/>
      <c r="N169" s="34"/>
    </row>
    <row r="170" spans="2:14" x14ac:dyDescent="0.2">
      <c r="B170" s="34"/>
      <c r="C170" s="34"/>
      <c r="D170" s="34"/>
      <c r="E170" s="34"/>
      <c r="F170" s="36"/>
      <c r="G170" s="36"/>
      <c r="H170" s="36"/>
      <c r="I170" s="36"/>
      <c r="J170" s="36"/>
      <c r="K170" s="34"/>
      <c r="L170" s="34"/>
      <c r="M170" s="34"/>
      <c r="N170" s="34"/>
    </row>
    <row r="171" spans="2:14" x14ac:dyDescent="0.2">
      <c r="B171" s="34"/>
      <c r="C171" s="34"/>
      <c r="D171" s="34"/>
      <c r="E171" s="34"/>
      <c r="F171" s="36"/>
      <c r="G171" s="36"/>
      <c r="H171" s="36"/>
      <c r="I171" s="36"/>
      <c r="J171" s="36"/>
      <c r="K171" s="34"/>
      <c r="L171" s="34"/>
      <c r="M171" s="34"/>
      <c r="N171" s="34"/>
    </row>
    <row r="172" spans="2:14" x14ac:dyDescent="0.2">
      <c r="B172" s="34"/>
      <c r="C172" s="34"/>
      <c r="D172" s="34"/>
      <c r="E172" s="34"/>
      <c r="F172" s="36"/>
      <c r="G172" s="36"/>
      <c r="H172" s="36"/>
      <c r="I172" s="36"/>
      <c r="J172" s="36"/>
      <c r="K172" s="34"/>
      <c r="L172" s="34"/>
      <c r="M172" s="34"/>
      <c r="N172" s="34"/>
    </row>
    <row r="173" spans="2:14" x14ac:dyDescent="0.2">
      <c r="B173" s="34"/>
      <c r="C173" s="34"/>
      <c r="D173" s="34"/>
      <c r="E173" s="34"/>
      <c r="F173" s="36"/>
      <c r="G173" s="36"/>
      <c r="H173" s="36"/>
      <c r="I173" s="36"/>
      <c r="J173" s="36"/>
      <c r="K173" s="34"/>
      <c r="L173" s="34"/>
      <c r="M173" s="34"/>
      <c r="N173" s="34"/>
    </row>
    <row r="174" spans="2:14" x14ac:dyDescent="0.2">
      <c r="B174" s="34"/>
      <c r="C174" s="34"/>
      <c r="D174" s="34"/>
      <c r="E174" s="34"/>
      <c r="F174" s="36"/>
      <c r="G174" s="36"/>
      <c r="H174" s="36"/>
      <c r="I174" s="36"/>
      <c r="J174" s="36"/>
      <c r="K174" s="34"/>
      <c r="L174" s="34"/>
      <c r="M174" s="34"/>
      <c r="N174" s="34"/>
    </row>
    <row r="175" spans="2:14" x14ac:dyDescent="0.2">
      <c r="B175" s="34"/>
      <c r="C175" s="34"/>
      <c r="D175" s="34"/>
      <c r="E175" s="34"/>
      <c r="F175" s="36"/>
      <c r="G175" s="36"/>
      <c r="H175" s="36"/>
      <c r="I175" s="36"/>
      <c r="J175" s="36"/>
      <c r="K175" s="34"/>
      <c r="L175" s="34"/>
      <c r="M175" s="34"/>
      <c r="N175" s="34"/>
    </row>
    <row r="176" spans="2:14" x14ac:dyDescent="0.2">
      <c r="B176" s="34"/>
      <c r="C176" s="34"/>
      <c r="D176" s="34"/>
      <c r="E176" s="34"/>
      <c r="F176" s="36"/>
      <c r="G176" s="36"/>
      <c r="H176" s="36"/>
      <c r="I176" s="36"/>
      <c r="J176" s="36"/>
      <c r="K176" s="34"/>
      <c r="L176" s="34"/>
      <c r="M176" s="34"/>
      <c r="N176" s="34"/>
    </row>
    <row r="177" spans="2:14" x14ac:dyDescent="0.2">
      <c r="B177" s="34"/>
      <c r="C177" s="34"/>
      <c r="D177" s="34"/>
      <c r="E177" s="34"/>
      <c r="F177" s="36"/>
      <c r="G177" s="36"/>
      <c r="H177" s="36"/>
      <c r="I177" s="36"/>
      <c r="J177" s="36"/>
      <c r="K177" s="34"/>
      <c r="L177" s="34"/>
      <c r="M177" s="34"/>
      <c r="N177" s="34"/>
    </row>
    <row r="178" spans="2:14" x14ac:dyDescent="0.2">
      <c r="B178" s="34"/>
      <c r="C178" s="34"/>
      <c r="D178" s="34"/>
      <c r="E178" s="34"/>
      <c r="F178" s="36"/>
      <c r="G178" s="36"/>
      <c r="H178" s="36"/>
      <c r="I178" s="36"/>
      <c r="J178" s="36"/>
      <c r="K178" s="34"/>
      <c r="L178" s="34"/>
      <c r="M178" s="34"/>
      <c r="N178" s="34"/>
    </row>
    <row r="179" spans="2:14" x14ac:dyDescent="0.2">
      <c r="B179" s="34"/>
      <c r="C179" s="34"/>
      <c r="D179" s="34"/>
      <c r="E179" s="34"/>
      <c r="F179" s="36"/>
      <c r="G179" s="36"/>
      <c r="H179" s="36"/>
      <c r="I179" s="36"/>
      <c r="J179" s="36"/>
      <c r="K179" s="34"/>
      <c r="L179" s="34"/>
      <c r="M179" s="34"/>
      <c r="N179" s="34"/>
    </row>
    <row r="180" spans="2:14" x14ac:dyDescent="0.2">
      <c r="B180" s="34"/>
      <c r="C180" s="34"/>
      <c r="D180" s="34"/>
      <c r="E180" s="34"/>
      <c r="F180" s="36"/>
      <c r="G180" s="36"/>
      <c r="H180" s="36"/>
      <c r="I180" s="36"/>
      <c r="J180" s="36"/>
      <c r="K180" s="34"/>
      <c r="L180" s="34"/>
      <c r="M180" s="34"/>
      <c r="N180" s="34"/>
    </row>
    <row r="181" spans="2:14" x14ac:dyDescent="0.2">
      <c r="B181" s="34"/>
      <c r="C181" s="34"/>
      <c r="D181" s="34"/>
      <c r="E181" s="34"/>
      <c r="F181" s="36"/>
      <c r="G181" s="36"/>
      <c r="H181" s="36"/>
      <c r="I181" s="36"/>
      <c r="J181" s="36"/>
      <c r="K181" s="34"/>
      <c r="L181" s="34"/>
      <c r="M181" s="34"/>
      <c r="N181" s="34"/>
    </row>
    <row r="182" spans="2:14" x14ac:dyDescent="0.2">
      <c r="B182" s="34"/>
      <c r="C182" s="34"/>
      <c r="D182" s="34"/>
      <c r="E182" s="34"/>
      <c r="F182" s="36"/>
      <c r="G182" s="36"/>
      <c r="H182" s="36"/>
      <c r="I182" s="36"/>
      <c r="J182" s="36"/>
      <c r="K182" s="34"/>
      <c r="L182" s="34"/>
      <c r="M182" s="34"/>
      <c r="N182" s="34"/>
    </row>
    <row r="183" spans="2:14" x14ac:dyDescent="0.2">
      <c r="B183" s="34"/>
      <c r="C183" s="34"/>
      <c r="D183" s="34"/>
      <c r="E183" s="34"/>
      <c r="F183" s="36"/>
      <c r="G183" s="36"/>
      <c r="H183" s="36"/>
      <c r="I183" s="36"/>
      <c r="J183" s="36"/>
      <c r="K183" s="34"/>
      <c r="L183" s="34"/>
      <c r="M183" s="34"/>
      <c r="N183" s="34"/>
    </row>
    <row r="184" spans="2:14" x14ac:dyDescent="0.2">
      <c r="B184" s="34"/>
      <c r="C184" s="34"/>
      <c r="D184" s="34"/>
      <c r="E184" s="34"/>
      <c r="F184" s="36"/>
      <c r="G184" s="36"/>
      <c r="H184" s="36"/>
      <c r="I184" s="36"/>
      <c r="J184" s="36"/>
      <c r="K184" s="34"/>
      <c r="L184" s="34"/>
      <c r="M184" s="34"/>
      <c r="N184" s="34"/>
    </row>
    <row r="185" spans="2:14" x14ac:dyDescent="0.2">
      <c r="B185" s="34"/>
      <c r="C185" s="34"/>
      <c r="D185" s="34"/>
      <c r="E185" s="34"/>
      <c r="F185" s="36"/>
      <c r="G185" s="36"/>
      <c r="H185" s="36"/>
      <c r="I185" s="36"/>
      <c r="J185" s="36"/>
      <c r="K185" s="34"/>
      <c r="L185" s="34"/>
      <c r="M185" s="34"/>
      <c r="N185" s="34"/>
    </row>
    <row r="186" spans="2:14" x14ac:dyDescent="0.2">
      <c r="B186" s="34"/>
      <c r="C186" s="34"/>
      <c r="D186" s="34"/>
      <c r="E186" s="34"/>
      <c r="F186" s="36"/>
      <c r="G186" s="36"/>
      <c r="H186" s="36"/>
      <c r="I186" s="36"/>
      <c r="J186" s="36"/>
      <c r="K186" s="34"/>
      <c r="L186" s="34"/>
      <c r="M186" s="34"/>
      <c r="N186" s="34"/>
    </row>
    <row r="187" spans="2:14" x14ac:dyDescent="0.2">
      <c r="B187" s="34"/>
      <c r="C187" s="34"/>
      <c r="D187" s="34"/>
      <c r="E187" s="34"/>
      <c r="F187" s="36"/>
      <c r="G187" s="36"/>
      <c r="H187" s="36"/>
      <c r="I187" s="36"/>
      <c r="J187" s="36"/>
      <c r="K187" s="34"/>
      <c r="L187" s="34"/>
      <c r="M187" s="34"/>
      <c r="N187" s="34"/>
    </row>
    <row r="188" spans="2:14" x14ac:dyDescent="0.2">
      <c r="B188" s="34"/>
      <c r="C188" s="34"/>
      <c r="D188" s="34"/>
      <c r="E188" s="34"/>
      <c r="F188" s="36"/>
      <c r="G188" s="36"/>
      <c r="H188" s="36"/>
      <c r="I188" s="36"/>
      <c r="J188" s="36"/>
      <c r="K188" s="34"/>
      <c r="L188" s="34"/>
      <c r="M188" s="34"/>
      <c r="N188" s="34"/>
    </row>
    <row r="189" spans="2:14" x14ac:dyDescent="0.2">
      <c r="B189" s="34"/>
      <c r="C189" s="34"/>
      <c r="D189" s="34"/>
      <c r="E189" s="34"/>
      <c r="F189" s="36"/>
      <c r="G189" s="36"/>
      <c r="H189" s="36"/>
      <c r="I189" s="36"/>
      <c r="J189" s="36"/>
      <c r="K189" s="34"/>
      <c r="L189" s="34"/>
      <c r="M189" s="34"/>
      <c r="N189" s="34"/>
    </row>
    <row r="190" spans="2:14" x14ac:dyDescent="0.2">
      <c r="B190" s="34"/>
      <c r="C190" s="34"/>
      <c r="D190" s="34"/>
      <c r="E190" s="34"/>
      <c r="F190" s="36"/>
      <c r="G190" s="36"/>
      <c r="H190" s="36"/>
      <c r="I190" s="36"/>
      <c r="J190" s="36"/>
      <c r="K190" s="34"/>
      <c r="L190" s="34"/>
      <c r="M190" s="34"/>
      <c r="N190" s="34"/>
    </row>
    <row r="191" spans="2:14" x14ac:dyDescent="0.2">
      <c r="B191" s="34"/>
      <c r="C191" s="34"/>
      <c r="D191" s="34"/>
      <c r="E191" s="34"/>
      <c r="F191" s="36"/>
      <c r="G191" s="36"/>
      <c r="H191" s="36"/>
      <c r="I191" s="36"/>
      <c r="J191" s="36"/>
      <c r="K191" s="34"/>
      <c r="L191" s="34"/>
      <c r="M191" s="34"/>
      <c r="N191" s="34"/>
    </row>
    <row r="192" spans="2:14" x14ac:dyDescent="0.2">
      <c r="B192" s="34"/>
      <c r="C192" s="34"/>
      <c r="D192" s="34"/>
      <c r="E192" s="34"/>
      <c r="F192" s="36"/>
      <c r="G192" s="36"/>
      <c r="H192" s="36"/>
      <c r="I192" s="36"/>
      <c r="J192" s="36"/>
      <c r="K192" s="34"/>
      <c r="L192" s="34"/>
      <c r="M192" s="34"/>
      <c r="N192" s="34"/>
    </row>
    <row r="193" spans="2:14" x14ac:dyDescent="0.2">
      <c r="B193" s="34"/>
      <c r="C193" s="34"/>
      <c r="D193" s="34"/>
      <c r="E193" s="34"/>
      <c r="F193" s="36"/>
      <c r="G193" s="36"/>
      <c r="H193" s="36"/>
      <c r="I193" s="36"/>
      <c r="J193" s="36"/>
      <c r="K193" s="34"/>
      <c r="L193" s="34"/>
      <c r="M193" s="34"/>
      <c r="N193" s="34"/>
    </row>
    <row r="194" spans="2:14" x14ac:dyDescent="0.2">
      <c r="B194" s="34"/>
      <c r="C194" s="34"/>
      <c r="D194" s="34"/>
      <c r="E194" s="34"/>
      <c r="F194" s="36"/>
      <c r="G194" s="36"/>
      <c r="H194" s="36"/>
      <c r="I194" s="36"/>
      <c r="J194" s="36"/>
      <c r="K194" s="34"/>
      <c r="L194" s="34"/>
      <c r="M194" s="34"/>
      <c r="N194" s="34"/>
    </row>
    <row r="195" spans="2:14" x14ac:dyDescent="0.2">
      <c r="B195" s="34"/>
      <c r="C195" s="34"/>
      <c r="D195" s="34"/>
      <c r="E195" s="34"/>
      <c r="F195" s="36"/>
      <c r="G195" s="36"/>
      <c r="H195" s="36"/>
      <c r="I195" s="36"/>
      <c r="J195" s="36"/>
      <c r="K195" s="34"/>
      <c r="L195" s="34"/>
      <c r="M195" s="34"/>
      <c r="N195" s="34"/>
    </row>
    <row r="196" spans="2:14" x14ac:dyDescent="0.2">
      <c r="B196" s="34"/>
      <c r="C196" s="34"/>
      <c r="D196" s="34"/>
      <c r="E196" s="34"/>
      <c r="F196" s="36"/>
      <c r="G196" s="36"/>
      <c r="H196" s="36"/>
      <c r="I196" s="36"/>
      <c r="J196" s="36"/>
      <c r="K196" s="34"/>
      <c r="L196" s="34"/>
      <c r="M196" s="34"/>
      <c r="N196" s="34"/>
    </row>
    <row r="197" spans="2:14" x14ac:dyDescent="0.2">
      <c r="B197" s="34"/>
      <c r="C197" s="34"/>
      <c r="D197" s="34"/>
      <c r="E197" s="34"/>
      <c r="F197" s="36"/>
      <c r="G197" s="36"/>
      <c r="H197" s="36"/>
      <c r="I197" s="36"/>
      <c r="J197" s="36"/>
      <c r="K197" s="34"/>
      <c r="L197" s="34"/>
      <c r="M197" s="34"/>
      <c r="N197" s="34"/>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53" orientation="portrait" r:id="rId1"/>
  <headerFooter alignWithMargins="0">
    <oddHeader>&amp;L&amp;"Arial,Vet"&amp;9PO-Raad&amp;R&amp;"Arial,Vet"&amp;9&amp;A</oddHeader>
    <oddFooter>&amp;L&amp;"Arial,Vet"&amp;9keizer / goedhart&amp;C&amp;"Arial,Vet"&amp;9pagina &amp;P&amp;R&amp;"Arial,Vet"&amp;9&amp;D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T218"/>
  <sheetViews>
    <sheetView zoomScale="85" zoomScaleNormal="85" zoomScaleSheetLayoutView="85" workbookViewId="0">
      <selection activeCell="B2" sqref="B2"/>
    </sheetView>
  </sheetViews>
  <sheetFormatPr defaultColWidth="9.140625" defaultRowHeight="12.75" x14ac:dyDescent="0.2"/>
  <cols>
    <col min="1" max="1" width="3.7109375" style="34" customWidth="1"/>
    <col min="2" max="3" width="2.7109375" style="34" customWidth="1"/>
    <col min="4" max="4" width="10.7109375" style="39" customWidth="1"/>
    <col min="5" max="5" width="23.7109375" style="39" customWidth="1"/>
    <col min="6" max="6" width="19.140625" style="39" customWidth="1"/>
    <col min="7" max="7" width="8.85546875" style="36" customWidth="1"/>
    <col min="8" max="8" width="8.85546875" style="91" customWidth="1"/>
    <col min="9" max="9" width="8.85546875" style="92" customWidth="1"/>
    <col min="10" max="10" width="8.7109375" style="92" customWidth="1"/>
    <col min="11" max="11" width="8.7109375" style="93" customWidth="1"/>
    <col min="12" max="12" width="8.7109375" style="92" customWidth="1"/>
    <col min="13" max="13" width="8.7109375" style="94" customWidth="1"/>
    <col min="14" max="14" width="0.85546875" style="34" customWidth="1"/>
    <col min="15" max="15" width="10.7109375" style="95" customWidth="1"/>
    <col min="16" max="19" width="10.7109375" style="34" customWidth="1"/>
    <col min="20" max="20" width="12.7109375" style="429" customWidth="1"/>
    <col min="21" max="21" width="10.7109375" style="96" hidden="1" customWidth="1"/>
    <col min="22" max="22" width="10.7109375" style="441" customWidth="1"/>
    <col min="23" max="23" width="3" style="34" customWidth="1"/>
    <col min="24" max="24" width="2.7109375" style="34" customWidth="1"/>
    <col min="25" max="25" width="20.7109375" style="34" customWidth="1"/>
    <col min="26" max="28" width="8.7109375" style="34" customWidth="1"/>
    <col min="29" max="29" width="8.7109375" style="36" customWidth="1"/>
    <col min="30" max="30" width="1.5703125" style="64" customWidth="1"/>
    <col min="31" max="31" width="1.7109375" style="34" customWidth="1"/>
    <col min="32" max="35" width="8.7109375" style="34" customWidth="1"/>
    <col min="36" max="36" width="1.5703125" style="34" customWidth="1"/>
    <col min="37" max="37" width="12.7109375" style="34" customWidth="1"/>
    <col min="38" max="38" width="12.7109375" style="36" customWidth="1"/>
    <col min="39" max="39" width="12.7109375" style="64" customWidth="1"/>
    <col min="40" max="40" width="12.7109375" style="34" customWidth="1"/>
    <col min="41" max="41" width="1.5703125" style="34" customWidth="1"/>
    <col min="42" max="43" width="10.7109375" style="34" customWidth="1"/>
    <col min="44" max="45" width="2.7109375" style="34" customWidth="1"/>
    <col min="46" max="51" width="9.28515625" style="34" bestFit="1" customWidth="1"/>
    <col min="52" max="16384" width="9.140625" style="34"/>
  </cols>
  <sheetData>
    <row r="1" spans="2:46" ht="12.75" customHeight="1" x14ac:dyDescent="0.2"/>
    <row r="2" spans="2:46" x14ac:dyDescent="0.2">
      <c r="B2" s="153"/>
      <c r="C2" s="154"/>
      <c r="D2" s="201"/>
      <c r="E2" s="201"/>
      <c r="F2" s="201"/>
      <c r="G2" s="155"/>
      <c r="H2" s="202"/>
      <c r="I2" s="203"/>
      <c r="J2" s="203"/>
      <c r="K2" s="204"/>
      <c r="L2" s="203"/>
      <c r="M2" s="205"/>
      <c r="N2" s="154"/>
      <c r="O2" s="206"/>
      <c r="P2" s="154"/>
      <c r="Q2" s="154"/>
      <c r="R2" s="154"/>
      <c r="S2" s="154"/>
      <c r="T2" s="430"/>
      <c r="U2" s="207"/>
      <c r="V2" s="442"/>
      <c r="W2" s="154"/>
      <c r="X2" s="156"/>
    </row>
    <row r="3" spans="2:46" x14ac:dyDescent="0.2">
      <c r="B3" s="157"/>
      <c r="C3" s="158"/>
      <c r="D3" s="167"/>
      <c r="E3" s="167"/>
      <c r="F3" s="167"/>
      <c r="G3" s="160"/>
      <c r="H3" s="208"/>
      <c r="I3" s="209"/>
      <c r="J3" s="209"/>
      <c r="K3" s="210"/>
      <c r="L3" s="209"/>
      <c r="M3" s="211"/>
      <c r="N3" s="158"/>
      <c r="O3" s="212"/>
      <c r="P3" s="158"/>
      <c r="Q3" s="158"/>
      <c r="R3" s="158"/>
      <c r="S3" s="158"/>
      <c r="T3" s="431"/>
      <c r="U3" s="213"/>
      <c r="V3" s="443"/>
      <c r="W3" s="158"/>
      <c r="X3" s="161"/>
    </row>
    <row r="4" spans="2:46" s="97" customFormat="1" ht="18.75" x14ac:dyDescent="0.3">
      <c r="B4" s="215"/>
      <c r="C4" s="276" t="s">
        <v>443</v>
      </c>
      <c r="D4" s="216"/>
      <c r="E4" s="217"/>
      <c r="F4" s="217"/>
      <c r="G4" s="218"/>
      <c r="H4" s="219"/>
      <c r="I4" s="220"/>
      <c r="J4" s="220"/>
      <c r="K4" s="221"/>
      <c r="L4" s="220"/>
      <c r="M4" s="222"/>
      <c r="N4" s="216"/>
      <c r="O4" s="223"/>
      <c r="P4" s="216"/>
      <c r="Q4" s="216"/>
      <c r="R4" s="216"/>
      <c r="S4" s="216"/>
      <c r="T4" s="432"/>
      <c r="U4" s="224"/>
      <c r="V4" s="225"/>
      <c r="W4" s="216"/>
      <c r="X4" s="226"/>
      <c r="AC4" s="102"/>
      <c r="AD4" s="101"/>
      <c r="AE4" s="102"/>
      <c r="AF4" s="102"/>
      <c r="AG4" s="102"/>
      <c r="AH4" s="102"/>
      <c r="AI4" s="99"/>
      <c r="AJ4" s="98"/>
      <c r="AK4" s="100"/>
      <c r="AL4" s="103"/>
      <c r="AM4" s="99"/>
    </row>
    <row r="5" spans="2:46" s="97" customFormat="1" ht="18.75" x14ac:dyDescent="0.3">
      <c r="B5" s="215"/>
      <c r="C5" s="227" t="str">
        <f>geg!F10</f>
        <v>Zorgzaam</v>
      </c>
      <c r="D5" s="216"/>
      <c r="E5" s="217"/>
      <c r="F5" s="217"/>
      <c r="G5" s="218"/>
      <c r="H5" s="219"/>
      <c r="I5" s="220"/>
      <c r="J5" s="220"/>
      <c r="K5" s="221"/>
      <c r="L5" s="220"/>
      <c r="M5" s="222"/>
      <c r="N5" s="216"/>
      <c r="O5" s="223"/>
      <c r="P5" s="216"/>
      <c r="Q5" s="216"/>
      <c r="R5" s="216"/>
      <c r="S5" s="216"/>
      <c r="T5" s="432"/>
      <c r="U5" s="224"/>
      <c r="V5" s="225"/>
      <c r="W5" s="216"/>
      <c r="X5" s="226"/>
      <c r="AC5" s="102"/>
      <c r="AD5" s="101"/>
      <c r="AE5" s="102"/>
      <c r="AF5" s="102"/>
      <c r="AG5" s="102"/>
      <c r="AH5" s="102"/>
      <c r="AI5" s="99"/>
      <c r="AJ5" s="98"/>
      <c r="AK5" s="100"/>
      <c r="AL5" s="103"/>
      <c r="AM5" s="99"/>
    </row>
    <row r="6" spans="2:46" ht="12.75" customHeight="1" x14ac:dyDescent="0.2">
      <c r="B6" s="157"/>
      <c r="C6" s="158"/>
      <c r="D6" s="158"/>
      <c r="E6" s="167"/>
      <c r="F6" s="167"/>
      <c r="G6" s="160"/>
      <c r="H6" s="208"/>
      <c r="I6" s="209"/>
      <c r="J6" s="209"/>
      <c r="K6" s="210"/>
      <c r="L6" s="209"/>
      <c r="M6" s="211"/>
      <c r="N6" s="158"/>
      <c r="O6" s="212"/>
      <c r="P6" s="158"/>
      <c r="Q6" s="158"/>
      <c r="R6" s="158"/>
      <c r="S6" s="158"/>
      <c r="T6" s="431"/>
      <c r="U6" s="213"/>
      <c r="V6" s="443"/>
      <c r="W6" s="158"/>
      <c r="X6" s="161"/>
      <c r="AC6" s="104"/>
      <c r="AD6" s="43"/>
      <c r="AE6" s="104"/>
      <c r="AF6" s="104"/>
      <c r="AG6" s="104"/>
      <c r="AH6" s="104"/>
      <c r="AI6" s="93"/>
      <c r="AJ6" s="92"/>
      <c r="AK6" s="94"/>
      <c r="AL6" s="83"/>
      <c r="AM6" s="93"/>
    </row>
    <row r="7" spans="2:46" s="105" customFormat="1" ht="12.75" customHeight="1" x14ac:dyDescent="0.25">
      <c r="B7" s="228"/>
      <c r="C7" s="229"/>
      <c r="D7" s="230"/>
      <c r="E7" s="231"/>
      <c r="F7" s="232"/>
      <c r="G7" s="233"/>
      <c r="H7" s="234"/>
      <c r="I7" s="235"/>
      <c r="J7" s="235"/>
      <c r="K7" s="236"/>
      <c r="L7" s="235"/>
      <c r="M7" s="237"/>
      <c r="N7" s="229"/>
      <c r="O7" s="238"/>
      <c r="P7" s="229"/>
      <c r="Q7" s="229"/>
      <c r="R7" s="229"/>
      <c r="S7" s="229"/>
      <c r="T7" s="433"/>
      <c r="U7" s="239"/>
      <c r="V7" s="444"/>
      <c r="W7" s="229"/>
      <c r="X7" s="240"/>
      <c r="AC7" s="110"/>
      <c r="AD7" s="109"/>
      <c r="AE7" s="110"/>
      <c r="AF7" s="110"/>
      <c r="AG7" s="110"/>
      <c r="AH7" s="110"/>
      <c r="AI7" s="107"/>
      <c r="AJ7" s="106"/>
      <c r="AK7" s="108"/>
      <c r="AL7" s="111"/>
      <c r="AM7" s="107"/>
    </row>
    <row r="8" spans="2:46" s="105" customFormat="1" ht="12.75" customHeight="1" x14ac:dyDescent="0.25">
      <c r="B8" s="228"/>
      <c r="C8" s="158" t="s">
        <v>153</v>
      </c>
      <c r="D8" s="167"/>
      <c r="E8" s="241" t="str">
        <f>tab!C2</f>
        <v>2012/13</v>
      </c>
      <c r="F8" s="232"/>
      <c r="G8" s="233"/>
      <c r="H8" s="234"/>
      <c r="I8" s="235"/>
      <c r="J8" s="235"/>
      <c r="K8" s="236"/>
      <c r="L8" s="235"/>
      <c r="M8" s="237"/>
      <c r="N8" s="229"/>
      <c r="O8" s="238"/>
      <c r="P8" s="229"/>
      <c r="Q8" s="229"/>
      <c r="R8" s="229"/>
      <c r="S8" s="229"/>
      <c r="T8" s="433"/>
      <c r="U8" s="239"/>
      <c r="V8" s="444"/>
      <c r="W8" s="229"/>
      <c r="X8" s="240"/>
      <c r="AC8" s="110"/>
      <c r="AD8" s="109"/>
      <c r="AE8" s="110"/>
      <c r="AF8" s="110"/>
      <c r="AG8" s="110"/>
      <c r="AH8" s="110"/>
      <c r="AI8" s="107"/>
      <c r="AJ8" s="106"/>
      <c r="AK8" s="108"/>
      <c r="AL8" s="111"/>
      <c r="AM8" s="107"/>
    </row>
    <row r="9" spans="2:46" ht="12.75" customHeight="1" x14ac:dyDescent="0.2">
      <c r="B9" s="157"/>
      <c r="C9" s="158" t="s">
        <v>154</v>
      </c>
      <c r="D9" s="167"/>
      <c r="E9" s="241">
        <f>tab!D3</f>
        <v>41183</v>
      </c>
      <c r="F9" s="242"/>
      <c r="G9" s="243"/>
      <c r="H9" s="244"/>
      <c r="I9" s="209"/>
      <c r="J9" s="209"/>
      <c r="K9" s="210"/>
      <c r="L9" s="209"/>
      <c r="M9" s="211"/>
      <c r="N9" s="158"/>
      <c r="O9" s="212"/>
      <c r="P9" s="158"/>
      <c r="Q9" s="158"/>
      <c r="R9" s="158"/>
      <c r="S9" s="158"/>
      <c r="T9" s="431"/>
      <c r="U9" s="213"/>
      <c r="V9" s="443"/>
      <c r="W9" s="158"/>
      <c r="X9" s="161"/>
      <c r="AC9" s="104"/>
      <c r="AD9" s="43"/>
      <c r="AE9" s="104"/>
      <c r="AF9" s="104"/>
      <c r="AG9" s="104"/>
      <c r="AH9" s="104"/>
      <c r="AI9" s="93"/>
      <c r="AJ9" s="92"/>
      <c r="AK9" s="94"/>
      <c r="AL9" s="83"/>
      <c r="AM9" s="93"/>
    </row>
    <row r="10" spans="2:46" ht="12.75" customHeight="1" x14ac:dyDescent="0.25">
      <c r="B10" s="157"/>
      <c r="C10" s="158"/>
      <c r="D10" s="230"/>
      <c r="E10" s="245"/>
      <c r="F10" s="242"/>
      <c r="G10" s="243"/>
      <c r="H10" s="244"/>
      <c r="I10" s="209"/>
      <c r="J10" s="209"/>
      <c r="K10" s="210"/>
      <c r="L10" s="209"/>
      <c r="M10" s="211"/>
      <c r="N10" s="158"/>
      <c r="O10" s="212"/>
      <c r="P10" s="158"/>
      <c r="Q10" s="158"/>
      <c r="R10" s="158"/>
      <c r="S10" s="158"/>
      <c r="T10" s="431"/>
      <c r="U10" s="213"/>
      <c r="V10" s="443"/>
      <c r="W10" s="158"/>
      <c r="X10" s="161"/>
      <c r="AC10" s="113"/>
      <c r="AD10" s="114"/>
      <c r="AE10" s="113"/>
      <c r="AF10" s="113"/>
      <c r="AG10" s="113"/>
      <c r="AH10" s="104"/>
      <c r="AI10" s="115"/>
      <c r="AJ10" s="116"/>
      <c r="AK10" s="117"/>
      <c r="AL10" s="118"/>
      <c r="AM10" s="115"/>
    </row>
    <row r="11" spans="2:46" ht="12.75" customHeight="1" x14ac:dyDescent="0.2">
      <c r="B11" s="157"/>
      <c r="C11" s="499"/>
      <c r="D11" s="695"/>
      <c r="E11" s="612"/>
      <c r="F11" s="695"/>
      <c r="G11" s="681"/>
      <c r="H11" s="686"/>
      <c r="I11" s="699"/>
      <c r="J11" s="699"/>
      <c r="K11" s="700"/>
      <c r="L11" s="699"/>
      <c r="M11" s="701"/>
      <c r="N11" s="499"/>
      <c r="O11" s="702"/>
      <c r="P11" s="499"/>
      <c r="Q11" s="499"/>
      <c r="R11" s="499"/>
      <c r="S11" s="499"/>
      <c r="T11" s="703"/>
      <c r="U11" s="704"/>
      <c r="V11" s="705"/>
      <c r="W11" s="499"/>
      <c r="X11" s="161"/>
      <c r="AC11" s="113"/>
      <c r="AD11" s="114"/>
      <c r="AE11" s="113"/>
      <c r="AF11" s="113"/>
      <c r="AG11" s="113"/>
      <c r="AH11" s="104"/>
      <c r="AI11" s="115"/>
      <c r="AJ11" s="116"/>
      <c r="AK11" s="117"/>
      <c r="AL11" s="118"/>
      <c r="AM11" s="115"/>
    </row>
    <row r="12" spans="2:46" s="48" customFormat="1" ht="12.75" customHeight="1" x14ac:dyDescent="0.2">
      <c r="B12" s="195"/>
      <c r="C12" s="706"/>
      <c r="D12" s="864" t="s">
        <v>155</v>
      </c>
      <c r="E12" s="865"/>
      <c r="F12" s="865"/>
      <c r="G12" s="865"/>
      <c r="H12" s="865"/>
      <c r="I12" s="865"/>
      <c r="J12" s="865"/>
      <c r="K12" s="865"/>
      <c r="L12" s="865"/>
      <c r="M12" s="865"/>
      <c r="N12" s="707"/>
      <c r="O12" s="864" t="s">
        <v>428</v>
      </c>
      <c r="P12" s="866"/>
      <c r="Q12" s="866"/>
      <c r="R12" s="866"/>
      <c r="S12" s="866"/>
      <c r="T12" s="866"/>
      <c r="U12" s="708"/>
      <c r="V12" s="709"/>
      <c r="W12" s="710"/>
      <c r="X12" s="246"/>
      <c r="Y12" s="120"/>
      <c r="Z12" s="121"/>
      <c r="AA12" s="122"/>
      <c r="AB12" s="121"/>
      <c r="AN12" s="120"/>
      <c r="AO12" s="120"/>
    </row>
    <row r="13" spans="2:46" s="48" customFormat="1" ht="12.75" customHeight="1" x14ac:dyDescent="0.2">
      <c r="B13" s="195"/>
      <c r="C13" s="706"/>
      <c r="D13" s="711" t="s">
        <v>156</v>
      </c>
      <c r="E13" s="711" t="s">
        <v>157</v>
      </c>
      <c r="F13" s="711" t="s">
        <v>158</v>
      </c>
      <c r="G13" s="712" t="s">
        <v>159</v>
      </c>
      <c r="H13" s="713" t="s">
        <v>160</v>
      </c>
      <c r="I13" s="712" t="s">
        <v>111</v>
      </c>
      <c r="J13" s="712" t="s">
        <v>161</v>
      </c>
      <c r="K13" s="714" t="s">
        <v>163</v>
      </c>
      <c r="L13" s="715" t="s">
        <v>164</v>
      </c>
      <c r="M13" s="714" t="s">
        <v>163</v>
      </c>
      <c r="N13" s="716"/>
      <c r="O13" s="717" t="s">
        <v>162</v>
      </c>
      <c r="P13" s="717" t="s">
        <v>429</v>
      </c>
      <c r="Q13" s="717" t="s">
        <v>165</v>
      </c>
      <c r="R13" s="716"/>
      <c r="S13" s="718" t="s">
        <v>164</v>
      </c>
      <c r="T13" s="719" t="s">
        <v>166</v>
      </c>
      <c r="U13" s="720" t="s">
        <v>168</v>
      </c>
      <c r="V13" s="709" t="s">
        <v>445</v>
      </c>
      <c r="W13" s="721"/>
      <c r="X13" s="247"/>
      <c r="Y13" s="124"/>
      <c r="Z13" s="123"/>
      <c r="AA13" s="73"/>
      <c r="AB13" s="123"/>
      <c r="AN13" s="120"/>
      <c r="AO13" s="124"/>
    </row>
    <row r="14" spans="2:46" s="48" customFormat="1" ht="12.75" customHeight="1" x14ac:dyDescent="0.2">
      <c r="B14" s="195"/>
      <c r="C14" s="706"/>
      <c r="D14" s="722"/>
      <c r="E14" s="711"/>
      <c r="F14" s="723"/>
      <c r="G14" s="712" t="s">
        <v>170</v>
      </c>
      <c r="H14" s="713" t="s">
        <v>171</v>
      </c>
      <c r="I14" s="712"/>
      <c r="J14" s="712"/>
      <c r="K14" s="714"/>
      <c r="L14" s="715"/>
      <c r="M14" s="714" t="s">
        <v>174</v>
      </c>
      <c r="N14" s="716"/>
      <c r="O14" s="717" t="s">
        <v>172</v>
      </c>
      <c r="P14" s="717" t="s">
        <v>430</v>
      </c>
      <c r="Q14" s="724">
        <f>tab!C68</f>
        <v>0.61</v>
      </c>
      <c r="R14" s="716" t="s">
        <v>446</v>
      </c>
      <c r="S14" s="718" t="s">
        <v>167</v>
      </c>
      <c r="T14" s="719" t="s">
        <v>54</v>
      </c>
      <c r="U14" s="720"/>
      <c r="V14" s="718" t="s">
        <v>167</v>
      </c>
      <c r="W14" s="706"/>
      <c r="X14" s="197"/>
      <c r="AO14" s="125"/>
    </row>
    <row r="15" spans="2:46" ht="12.75" customHeight="1" x14ac:dyDescent="0.2">
      <c r="B15" s="157"/>
      <c r="C15" s="499"/>
      <c r="D15" s="695"/>
      <c r="E15" s="695"/>
      <c r="F15" s="695"/>
      <c r="G15" s="681"/>
      <c r="H15" s="686"/>
      <c r="I15" s="725"/>
      <c r="J15" s="725"/>
      <c r="K15" s="726"/>
      <c r="L15" s="727"/>
      <c r="M15" s="726"/>
      <c r="N15" s="728"/>
      <c r="O15" s="729"/>
      <c r="P15" s="730"/>
      <c r="Q15" s="730"/>
      <c r="R15" s="730"/>
      <c r="S15" s="730"/>
      <c r="T15" s="731"/>
      <c r="U15" s="732"/>
      <c r="V15" s="733"/>
      <c r="W15" s="728"/>
      <c r="X15" s="161"/>
      <c r="AC15" s="34"/>
      <c r="AD15" s="34"/>
      <c r="AL15" s="34"/>
      <c r="AM15" s="34"/>
      <c r="AO15" s="133"/>
    </row>
    <row r="16" spans="2:46" ht="12.75" customHeight="1" x14ac:dyDescent="0.2">
      <c r="B16" s="157"/>
      <c r="C16" s="499"/>
      <c r="D16" s="523"/>
      <c r="E16" s="624"/>
      <c r="F16" s="523"/>
      <c r="G16" s="517"/>
      <c r="H16" s="748"/>
      <c r="I16" s="517"/>
      <c r="J16" s="517"/>
      <c r="K16" s="749"/>
      <c r="L16" s="518"/>
      <c r="M16" s="741">
        <f t="shared" ref="M16:M22" si="0">IF(L16="",K16,K16-L16)</f>
        <v>0</v>
      </c>
      <c r="N16" s="734"/>
      <c r="O16" s="742" t="str">
        <f>IF(I16="","",VLOOKUP(I16,tabelsalaris,J16+2,FALSE))</f>
        <v/>
      </c>
      <c r="P16" s="743" t="str">
        <f t="shared" ref="P16:P35" si="1">IF(E16=0,"",(O16*M16*12))</f>
        <v/>
      </c>
      <c r="Q16" s="747">
        <f>$Q$14</f>
        <v>0.61</v>
      </c>
      <c r="R16" s="743">
        <f>IF(E16=0,0,+P16*Q16)</f>
        <v>0</v>
      </c>
      <c r="S16" s="743">
        <f>IF(L16="",0,O16*12*L16*IF(OR(I16&lt;=8,I16="LIOa",I16="LIOb",I16="ID1",I16="ID2",I16="ID3"),1+tab!C$72,1+tab!C$70))</f>
        <v>0</v>
      </c>
      <c r="T16" s="744">
        <f t="shared" ref="T16:T35" si="2">IF(E16="",0,(P16+R16+S16))</f>
        <v>0</v>
      </c>
      <c r="U16" s="745">
        <f>IF(G16&lt;25,0,IF(G16=25,25,IF(G16&lt;40,0,IF(G16=40,40,IF(G16&gt;=40,0)))))</f>
        <v>0</v>
      </c>
      <c r="V16" s="746">
        <f t="shared" ref="V16:V35" si="3">IF(E16="",0,IF(U16=25,(O16*1.08*(K16)/2),IF(U16=40,(O16*1.08*(K16)),IF(U16=0,0))))</f>
        <v>0</v>
      </c>
      <c r="W16" s="734"/>
      <c r="X16" s="161"/>
      <c r="AT16" s="134" t="s">
        <v>92</v>
      </c>
    </row>
    <row r="17" spans="2:46" ht="12.75" customHeight="1" x14ac:dyDescent="0.2">
      <c r="B17" s="157"/>
      <c r="C17" s="499"/>
      <c r="D17" s="523"/>
      <c r="E17" s="624"/>
      <c r="F17" s="523"/>
      <c r="G17" s="517"/>
      <c r="H17" s="748"/>
      <c r="I17" s="517"/>
      <c r="J17" s="517"/>
      <c r="K17" s="749"/>
      <c r="L17" s="518"/>
      <c r="M17" s="741">
        <f t="shared" si="0"/>
        <v>0</v>
      </c>
      <c r="N17" s="734"/>
      <c r="O17" s="742" t="str">
        <f t="shared" ref="O17:O35" si="4">IF(I17="","",VLOOKUP(I17,tabelsalaris,J17+2,FALSE))</f>
        <v/>
      </c>
      <c r="P17" s="743" t="str">
        <f t="shared" si="1"/>
        <v/>
      </c>
      <c r="Q17" s="747">
        <f t="shared" ref="Q17:Q35" si="5">$Q$14</f>
        <v>0.61</v>
      </c>
      <c r="R17" s="743">
        <f>IF(E17=0,0,+P17*Q17)</f>
        <v>0</v>
      </c>
      <c r="S17" s="743">
        <f>IF(L17="",0,O17*12*L17*IF(OR(I17&lt;=8,I17="LIOa",I17="LIOb"),1+tab!C$72,1+tab!C$70))</f>
        <v>0</v>
      </c>
      <c r="T17" s="744">
        <f t="shared" si="2"/>
        <v>0</v>
      </c>
      <c r="U17" s="745">
        <f t="shared" ref="U17:U35" si="6">IF(G17&lt;25,0,IF(G17=25,25,IF(G17&lt;40,0,IF(G17=40,40,IF(G17&gt;=40,0)))))</f>
        <v>0</v>
      </c>
      <c r="V17" s="746">
        <f t="shared" si="3"/>
        <v>0</v>
      </c>
      <c r="W17" s="734"/>
      <c r="X17" s="161"/>
      <c r="AT17" s="134" t="s">
        <v>93</v>
      </c>
    </row>
    <row r="18" spans="2:46" ht="12.75" customHeight="1" x14ac:dyDescent="0.2">
      <c r="B18" s="157"/>
      <c r="C18" s="499"/>
      <c r="D18" s="523"/>
      <c r="E18" s="523"/>
      <c r="F18" s="523"/>
      <c r="G18" s="517"/>
      <c r="H18" s="748"/>
      <c r="I18" s="517"/>
      <c r="J18" s="517"/>
      <c r="K18" s="749"/>
      <c r="L18" s="518"/>
      <c r="M18" s="741">
        <f t="shared" si="0"/>
        <v>0</v>
      </c>
      <c r="N18" s="734"/>
      <c r="O18" s="742" t="str">
        <f t="shared" si="4"/>
        <v/>
      </c>
      <c r="P18" s="743" t="str">
        <f t="shared" si="1"/>
        <v/>
      </c>
      <c r="Q18" s="747">
        <f t="shared" si="5"/>
        <v>0.61</v>
      </c>
      <c r="R18" s="743">
        <f>IF(E18=0,0,+P18*Q18)</f>
        <v>0</v>
      </c>
      <c r="S18" s="743">
        <f>IF(L18="",0,O18*12*L18*IF(OR(I18&lt;=8,I18="LIOa",I18="LIOb"),1+tab!C$72,1+tab!C$70))</f>
        <v>0</v>
      </c>
      <c r="T18" s="744">
        <f t="shared" si="2"/>
        <v>0</v>
      </c>
      <c r="U18" s="745">
        <f t="shared" si="6"/>
        <v>0</v>
      </c>
      <c r="V18" s="746">
        <f t="shared" si="3"/>
        <v>0</v>
      </c>
      <c r="W18" s="734"/>
      <c r="X18" s="161"/>
      <c r="AT18" s="134" t="s">
        <v>94</v>
      </c>
    </row>
    <row r="19" spans="2:46" ht="12.75" customHeight="1" x14ac:dyDescent="0.2">
      <c r="B19" s="157"/>
      <c r="C19" s="499"/>
      <c r="D19" s="523"/>
      <c r="E19" s="523"/>
      <c r="F19" s="523"/>
      <c r="G19" s="517"/>
      <c r="H19" s="748"/>
      <c r="I19" s="517"/>
      <c r="J19" s="517"/>
      <c r="K19" s="749"/>
      <c r="L19" s="518"/>
      <c r="M19" s="741">
        <f t="shared" si="0"/>
        <v>0</v>
      </c>
      <c r="N19" s="734"/>
      <c r="O19" s="742" t="str">
        <f t="shared" si="4"/>
        <v/>
      </c>
      <c r="P19" s="743" t="str">
        <f t="shared" si="1"/>
        <v/>
      </c>
      <c r="Q19" s="747">
        <f t="shared" si="5"/>
        <v>0.61</v>
      </c>
      <c r="R19" s="743">
        <f>IF(E19=0,0,+P19*Q19)</f>
        <v>0</v>
      </c>
      <c r="S19" s="743">
        <f>IF(L19="",0,O19*12*L19*IF(OR(I19&lt;=8,I19="LIOa",I19="LIOb"),1+tab!C$72,1+tab!C$70))</f>
        <v>0</v>
      </c>
      <c r="T19" s="744">
        <f t="shared" si="2"/>
        <v>0</v>
      </c>
      <c r="U19" s="745">
        <f t="shared" si="6"/>
        <v>0</v>
      </c>
      <c r="V19" s="746">
        <f t="shared" si="3"/>
        <v>0</v>
      </c>
      <c r="W19" s="734"/>
      <c r="X19" s="161"/>
      <c r="AT19" s="134" t="s">
        <v>95</v>
      </c>
    </row>
    <row r="20" spans="2:46" ht="12.75" customHeight="1" x14ac:dyDescent="0.2">
      <c r="B20" s="157"/>
      <c r="C20" s="499"/>
      <c r="D20" s="523"/>
      <c r="E20" s="523"/>
      <c r="F20" s="523"/>
      <c r="G20" s="517"/>
      <c r="H20" s="748"/>
      <c r="I20" s="517"/>
      <c r="J20" s="517"/>
      <c r="K20" s="749"/>
      <c r="L20" s="518"/>
      <c r="M20" s="741">
        <f t="shared" si="0"/>
        <v>0</v>
      </c>
      <c r="N20" s="734"/>
      <c r="O20" s="742" t="str">
        <f t="shared" si="4"/>
        <v/>
      </c>
      <c r="P20" s="743" t="str">
        <f t="shared" si="1"/>
        <v/>
      </c>
      <c r="Q20" s="747">
        <f t="shared" si="5"/>
        <v>0.61</v>
      </c>
      <c r="R20" s="743">
        <f>IF(E20=0,0,+P20*Q20)</f>
        <v>0</v>
      </c>
      <c r="S20" s="743">
        <f>IF(L20="",0,O20*12*L20*IF(OR(I20&lt;=8,I20="LIOa",I20="LIOb"),1+tab!C$72,1+tab!C$70))</f>
        <v>0</v>
      </c>
      <c r="T20" s="744">
        <f t="shared" si="2"/>
        <v>0</v>
      </c>
      <c r="U20" s="745">
        <f t="shared" si="6"/>
        <v>0</v>
      </c>
      <c r="V20" s="746">
        <f t="shared" si="3"/>
        <v>0</v>
      </c>
      <c r="W20" s="734"/>
      <c r="X20" s="161"/>
      <c r="AT20" s="134" t="s">
        <v>96</v>
      </c>
    </row>
    <row r="21" spans="2:46" ht="12.75" customHeight="1" x14ac:dyDescent="0.2">
      <c r="B21" s="157"/>
      <c r="C21" s="499"/>
      <c r="D21" s="523"/>
      <c r="E21" s="523"/>
      <c r="F21" s="523"/>
      <c r="G21" s="517"/>
      <c r="H21" s="748"/>
      <c r="I21" s="517"/>
      <c r="J21" s="517"/>
      <c r="K21" s="749"/>
      <c r="L21" s="518"/>
      <c r="M21" s="741">
        <f t="shared" si="0"/>
        <v>0</v>
      </c>
      <c r="N21" s="734"/>
      <c r="O21" s="742" t="str">
        <f t="shared" si="4"/>
        <v/>
      </c>
      <c r="P21" s="743" t="str">
        <f t="shared" si="1"/>
        <v/>
      </c>
      <c r="Q21" s="747">
        <f t="shared" si="5"/>
        <v>0.61</v>
      </c>
      <c r="R21" s="743">
        <f t="shared" ref="R21:R35" si="7">IF(E21=0,0,+P21*Q21)</f>
        <v>0</v>
      </c>
      <c r="S21" s="743">
        <f>IF(L21="",0,O21*12*L21*IF(OR(I21&lt;=8,I21="LIOa",I21="LIOb"),1+tab!C$72,1+tab!C$70))</f>
        <v>0</v>
      </c>
      <c r="T21" s="744">
        <f t="shared" si="2"/>
        <v>0</v>
      </c>
      <c r="U21" s="745">
        <f t="shared" si="6"/>
        <v>0</v>
      </c>
      <c r="V21" s="746">
        <f t="shared" si="3"/>
        <v>0</v>
      </c>
      <c r="W21" s="734"/>
      <c r="X21" s="161"/>
      <c r="AT21" s="134" t="s">
        <v>97</v>
      </c>
    </row>
    <row r="22" spans="2:46" ht="12.75" customHeight="1" x14ac:dyDescent="0.2">
      <c r="B22" s="157"/>
      <c r="C22" s="499"/>
      <c r="D22" s="523"/>
      <c r="E22" s="523"/>
      <c r="F22" s="523"/>
      <c r="G22" s="517"/>
      <c r="H22" s="748"/>
      <c r="I22" s="517"/>
      <c r="J22" s="517"/>
      <c r="K22" s="749"/>
      <c r="L22" s="518"/>
      <c r="M22" s="741">
        <f t="shared" si="0"/>
        <v>0</v>
      </c>
      <c r="N22" s="734"/>
      <c r="O22" s="742" t="str">
        <f t="shared" si="4"/>
        <v/>
      </c>
      <c r="P22" s="743" t="str">
        <f t="shared" si="1"/>
        <v/>
      </c>
      <c r="Q22" s="747">
        <f t="shared" si="5"/>
        <v>0.61</v>
      </c>
      <c r="R22" s="743">
        <f t="shared" si="7"/>
        <v>0</v>
      </c>
      <c r="S22" s="743">
        <f>IF(L22="",0,O22*12*L22*IF(OR(I22&lt;=8,I22="LIOa",I22="LIOb"),1+tab!C$72,1+tab!C$70))</f>
        <v>0</v>
      </c>
      <c r="T22" s="744">
        <f t="shared" si="2"/>
        <v>0</v>
      </c>
      <c r="U22" s="745">
        <f t="shared" si="6"/>
        <v>0</v>
      </c>
      <c r="V22" s="746">
        <f t="shared" si="3"/>
        <v>0</v>
      </c>
      <c r="W22" s="734"/>
      <c r="X22" s="161"/>
      <c r="AT22" s="134" t="s">
        <v>98</v>
      </c>
    </row>
    <row r="23" spans="2:46" ht="12.75" customHeight="1" x14ac:dyDescent="0.2">
      <c r="B23" s="157"/>
      <c r="C23" s="499"/>
      <c r="D23" s="523"/>
      <c r="E23" s="523"/>
      <c r="F23" s="523"/>
      <c r="G23" s="517"/>
      <c r="H23" s="748"/>
      <c r="I23" s="517"/>
      <c r="J23" s="517"/>
      <c r="K23" s="749"/>
      <c r="L23" s="518"/>
      <c r="M23" s="741">
        <f t="shared" ref="M23:M34" si="8">IF(L23="",K23,K23-L23)</f>
        <v>0</v>
      </c>
      <c r="N23" s="734"/>
      <c r="O23" s="742" t="str">
        <f t="shared" si="4"/>
        <v/>
      </c>
      <c r="P23" s="743" t="str">
        <f t="shared" si="1"/>
        <v/>
      </c>
      <c r="Q23" s="747">
        <f t="shared" si="5"/>
        <v>0.61</v>
      </c>
      <c r="R23" s="743">
        <f t="shared" si="7"/>
        <v>0</v>
      </c>
      <c r="S23" s="743">
        <f>IF(L23="",0,O23*12*L23*IF(OR(I23&lt;=8,I23="LIOa",I23="LIOb"),1+tab!C$72,1+tab!C$70))</f>
        <v>0</v>
      </c>
      <c r="T23" s="744">
        <f t="shared" si="2"/>
        <v>0</v>
      </c>
      <c r="U23" s="745">
        <f t="shared" si="6"/>
        <v>0</v>
      </c>
      <c r="V23" s="746">
        <f t="shared" si="3"/>
        <v>0</v>
      </c>
      <c r="W23" s="734"/>
      <c r="X23" s="161"/>
      <c r="AT23" s="135">
        <v>11</v>
      </c>
    </row>
    <row r="24" spans="2:46" ht="12.75" customHeight="1" x14ac:dyDescent="0.2">
      <c r="B24" s="157"/>
      <c r="C24" s="499"/>
      <c r="D24" s="523"/>
      <c r="E24" s="523"/>
      <c r="F24" s="523"/>
      <c r="G24" s="517"/>
      <c r="H24" s="748"/>
      <c r="I24" s="517"/>
      <c r="J24" s="517"/>
      <c r="K24" s="749"/>
      <c r="L24" s="518"/>
      <c r="M24" s="741">
        <f t="shared" si="8"/>
        <v>0</v>
      </c>
      <c r="N24" s="734"/>
      <c r="O24" s="742" t="str">
        <f t="shared" si="4"/>
        <v/>
      </c>
      <c r="P24" s="743" t="str">
        <f t="shared" si="1"/>
        <v/>
      </c>
      <c r="Q24" s="747">
        <f t="shared" si="5"/>
        <v>0.61</v>
      </c>
      <c r="R24" s="743">
        <f t="shared" si="7"/>
        <v>0</v>
      </c>
      <c r="S24" s="743">
        <f>IF(L24="",0,O24*12*L24*IF(OR(I24&lt;=8,I24="LIOa",I24="LIOb"),1+tab!C$72,1+tab!C$70))</f>
        <v>0</v>
      </c>
      <c r="T24" s="744">
        <f t="shared" si="2"/>
        <v>0</v>
      </c>
      <c r="U24" s="745">
        <f t="shared" si="6"/>
        <v>0</v>
      </c>
      <c r="V24" s="746">
        <f t="shared" si="3"/>
        <v>0</v>
      </c>
      <c r="W24" s="734"/>
      <c r="X24" s="161"/>
      <c r="AT24" s="135">
        <v>12</v>
      </c>
    </row>
    <row r="25" spans="2:46" ht="12.75" customHeight="1" x14ac:dyDescent="0.2">
      <c r="B25" s="157"/>
      <c r="C25" s="499"/>
      <c r="D25" s="523"/>
      <c r="E25" s="523"/>
      <c r="F25" s="523"/>
      <c r="G25" s="517"/>
      <c r="H25" s="748"/>
      <c r="I25" s="517"/>
      <c r="J25" s="517"/>
      <c r="K25" s="749"/>
      <c r="L25" s="518"/>
      <c r="M25" s="741">
        <f t="shared" si="8"/>
        <v>0</v>
      </c>
      <c r="N25" s="734"/>
      <c r="O25" s="742" t="str">
        <f t="shared" si="4"/>
        <v/>
      </c>
      <c r="P25" s="743" t="str">
        <f t="shared" si="1"/>
        <v/>
      </c>
      <c r="Q25" s="747">
        <f t="shared" si="5"/>
        <v>0.61</v>
      </c>
      <c r="R25" s="743">
        <f t="shared" si="7"/>
        <v>0</v>
      </c>
      <c r="S25" s="743">
        <f>IF(L25="",0,O25*12*L25*IF(OR(I25&lt;=8,I25="LIOa",I25="LIOb"),1+tab!C$72,1+tab!C$70))</f>
        <v>0</v>
      </c>
      <c r="T25" s="744">
        <f t="shared" si="2"/>
        <v>0</v>
      </c>
      <c r="U25" s="745">
        <f t="shared" si="6"/>
        <v>0</v>
      </c>
      <c r="V25" s="746">
        <f t="shared" si="3"/>
        <v>0</v>
      </c>
      <c r="W25" s="734"/>
      <c r="X25" s="161"/>
      <c r="AT25" s="135">
        <v>13</v>
      </c>
    </row>
    <row r="26" spans="2:46" ht="12.75" customHeight="1" x14ac:dyDescent="0.2">
      <c r="B26" s="157"/>
      <c r="C26" s="499"/>
      <c r="D26" s="523"/>
      <c r="E26" s="523"/>
      <c r="F26" s="523"/>
      <c r="G26" s="517"/>
      <c r="H26" s="748"/>
      <c r="I26" s="517"/>
      <c r="J26" s="517"/>
      <c r="K26" s="749"/>
      <c r="L26" s="518"/>
      <c r="M26" s="741">
        <f t="shared" si="8"/>
        <v>0</v>
      </c>
      <c r="N26" s="734"/>
      <c r="O26" s="742" t="str">
        <f t="shared" si="4"/>
        <v/>
      </c>
      <c r="P26" s="743" t="str">
        <f t="shared" si="1"/>
        <v/>
      </c>
      <c r="Q26" s="747">
        <f t="shared" si="5"/>
        <v>0.61</v>
      </c>
      <c r="R26" s="743">
        <f t="shared" si="7"/>
        <v>0</v>
      </c>
      <c r="S26" s="743">
        <f>IF(L26="",0,O26*12*L26*IF(OR(I26&lt;=8,I26="LIOa",I26="LIOb"),1+tab!C$72,1+tab!C$70))</f>
        <v>0</v>
      </c>
      <c r="T26" s="744">
        <f t="shared" si="2"/>
        <v>0</v>
      </c>
      <c r="U26" s="745">
        <f t="shared" si="6"/>
        <v>0</v>
      </c>
      <c r="V26" s="746">
        <f t="shared" si="3"/>
        <v>0</v>
      </c>
      <c r="W26" s="734"/>
      <c r="X26" s="161"/>
      <c r="AT26" s="135">
        <v>14</v>
      </c>
    </row>
    <row r="27" spans="2:46" ht="12.75" customHeight="1" x14ac:dyDescent="0.2">
      <c r="B27" s="157"/>
      <c r="C27" s="499"/>
      <c r="D27" s="523"/>
      <c r="E27" s="523"/>
      <c r="F27" s="523"/>
      <c r="G27" s="517"/>
      <c r="H27" s="748"/>
      <c r="I27" s="517"/>
      <c r="J27" s="517"/>
      <c r="K27" s="749"/>
      <c r="L27" s="518"/>
      <c r="M27" s="741">
        <f t="shared" si="8"/>
        <v>0</v>
      </c>
      <c r="N27" s="734"/>
      <c r="O27" s="742" t="str">
        <f t="shared" si="4"/>
        <v/>
      </c>
      <c r="P27" s="743" t="str">
        <f t="shared" si="1"/>
        <v/>
      </c>
      <c r="Q27" s="747">
        <f t="shared" si="5"/>
        <v>0.61</v>
      </c>
      <c r="R27" s="743">
        <f t="shared" si="7"/>
        <v>0</v>
      </c>
      <c r="S27" s="743">
        <f>IF(L27="",0,O27*12*L27*IF(OR(I27&lt;=8,I27="LIOa",I27="LIOb"),1+tab!C$72,1+tab!C$70))</f>
        <v>0</v>
      </c>
      <c r="T27" s="744">
        <f t="shared" si="2"/>
        <v>0</v>
      </c>
      <c r="U27" s="745">
        <f t="shared" si="6"/>
        <v>0</v>
      </c>
      <c r="V27" s="746">
        <f t="shared" si="3"/>
        <v>0</v>
      </c>
      <c r="W27" s="734"/>
      <c r="X27" s="161"/>
      <c r="AT27" s="135" t="s">
        <v>109</v>
      </c>
    </row>
    <row r="28" spans="2:46" ht="12.75" customHeight="1" x14ac:dyDescent="0.2">
      <c r="B28" s="157"/>
      <c r="C28" s="499"/>
      <c r="D28" s="523"/>
      <c r="E28" s="523"/>
      <c r="F28" s="523"/>
      <c r="G28" s="517"/>
      <c r="H28" s="748"/>
      <c r="I28" s="517"/>
      <c r="J28" s="517"/>
      <c r="K28" s="749"/>
      <c r="L28" s="518"/>
      <c r="M28" s="741">
        <f t="shared" si="8"/>
        <v>0</v>
      </c>
      <c r="N28" s="734"/>
      <c r="O28" s="742" t="str">
        <f t="shared" si="4"/>
        <v/>
      </c>
      <c r="P28" s="743" t="str">
        <f t="shared" si="1"/>
        <v/>
      </c>
      <c r="Q28" s="747">
        <f t="shared" si="5"/>
        <v>0.61</v>
      </c>
      <c r="R28" s="743">
        <f t="shared" si="7"/>
        <v>0</v>
      </c>
      <c r="S28" s="743">
        <f>IF(L28="",0,O28*12*L28*IF(OR(I28&lt;=8,I28="LIOa",I28="LIOb"),1+tab!C$72,1+tab!C$70))</f>
        <v>0</v>
      </c>
      <c r="T28" s="744">
        <f t="shared" si="2"/>
        <v>0</v>
      </c>
      <c r="U28" s="745">
        <f t="shared" si="6"/>
        <v>0</v>
      </c>
      <c r="V28" s="746">
        <f t="shared" si="3"/>
        <v>0</v>
      </c>
      <c r="W28" s="734"/>
      <c r="X28" s="161"/>
      <c r="AT28" s="135"/>
    </row>
    <row r="29" spans="2:46" ht="12.75" customHeight="1" x14ac:dyDescent="0.2">
      <c r="B29" s="157"/>
      <c r="C29" s="499"/>
      <c r="D29" s="523"/>
      <c r="E29" s="523"/>
      <c r="F29" s="523"/>
      <c r="G29" s="517"/>
      <c r="H29" s="748"/>
      <c r="I29" s="517"/>
      <c r="J29" s="517"/>
      <c r="K29" s="749"/>
      <c r="L29" s="518"/>
      <c r="M29" s="741">
        <f t="shared" si="8"/>
        <v>0</v>
      </c>
      <c r="N29" s="734"/>
      <c r="O29" s="742" t="str">
        <f t="shared" si="4"/>
        <v/>
      </c>
      <c r="P29" s="743" t="str">
        <f t="shared" si="1"/>
        <v/>
      </c>
      <c r="Q29" s="747">
        <f t="shared" si="5"/>
        <v>0.61</v>
      </c>
      <c r="R29" s="743">
        <f t="shared" si="7"/>
        <v>0</v>
      </c>
      <c r="S29" s="743">
        <f>IF(L29="",0,O29*12*L29*IF(OR(I29&lt;=8,I29="LIOa",I29="LIOb"),1+tab!C$72,1+tab!C$70))</f>
        <v>0</v>
      </c>
      <c r="T29" s="744">
        <f t="shared" si="2"/>
        <v>0</v>
      </c>
      <c r="U29" s="745">
        <f t="shared" si="6"/>
        <v>0</v>
      </c>
      <c r="V29" s="746">
        <f t="shared" si="3"/>
        <v>0</v>
      </c>
      <c r="W29" s="734"/>
      <c r="X29" s="161"/>
      <c r="AT29" s="135"/>
    </row>
    <row r="30" spans="2:46" ht="12.75" customHeight="1" x14ac:dyDescent="0.2">
      <c r="B30" s="157"/>
      <c r="C30" s="499"/>
      <c r="D30" s="523"/>
      <c r="E30" s="523"/>
      <c r="F30" s="523"/>
      <c r="G30" s="517"/>
      <c r="H30" s="748"/>
      <c r="I30" s="517"/>
      <c r="J30" s="517"/>
      <c r="K30" s="749"/>
      <c r="L30" s="518"/>
      <c r="M30" s="741">
        <f t="shared" si="8"/>
        <v>0</v>
      </c>
      <c r="N30" s="734"/>
      <c r="O30" s="742" t="str">
        <f t="shared" si="4"/>
        <v/>
      </c>
      <c r="P30" s="743" t="str">
        <f t="shared" si="1"/>
        <v/>
      </c>
      <c r="Q30" s="747">
        <f t="shared" si="5"/>
        <v>0.61</v>
      </c>
      <c r="R30" s="743">
        <f t="shared" si="7"/>
        <v>0</v>
      </c>
      <c r="S30" s="743">
        <f>IF(L30="",0,O30*12*L30*IF(OR(I30&lt;=8,I30="LIOa",I30="LIOb"),1+tab!C$72,1+tab!C$70))</f>
        <v>0</v>
      </c>
      <c r="T30" s="744">
        <f t="shared" si="2"/>
        <v>0</v>
      </c>
      <c r="U30" s="745">
        <f t="shared" si="6"/>
        <v>0</v>
      </c>
      <c r="V30" s="746">
        <f t="shared" si="3"/>
        <v>0</v>
      </c>
      <c r="W30" s="734"/>
      <c r="X30" s="161"/>
      <c r="AT30" s="135"/>
    </row>
    <row r="31" spans="2:46" ht="12.75" customHeight="1" x14ac:dyDescent="0.2">
      <c r="B31" s="157"/>
      <c r="C31" s="499"/>
      <c r="D31" s="523"/>
      <c r="E31" s="523"/>
      <c r="F31" s="523"/>
      <c r="G31" s="517"/>
      <c r="H31" s="748"/>
      <c r="I31" s="517"/>
      <c r="J31" s="517"/>
      <c r="K31" s="749"/>
      <c r="L31" s="518"/>
      <c r="M31" s="741">
        <f t="shared" si="8"/>
        <v>0</v>
      </c>
      <c r="N31" s="734"/>
      <c r="O31" s="742" t="str">
        <f t="shared" si="4"/>
        <v/>
      </c>
      <c r="P31" s="743" t="str">
        <f t="shared" si="1"/>
        <v/>
      </c>
      <c r="Q31" s="747">
        <f t="shared" si="5"/>
        <v>0.61</v>
      </c>
      <c r="R31" s="743">
        <f t="shared" si="7"/>
        <v>0</v>
      </c>
      <c r="S31" s="743">
        <f>IF(L31="",0,O31*12*L31*IF(OR(I31&lt;=8,I31="LIOa",I31="LIOb"),1+tab!C$72,1+tab!C$70))</f>
        <v>0</v>
      </c>
      <c r="T31" s="744">
        <f t="shared" si="2"/>
        <v>0</v>
      </c>
      <c r="U31" s="745">
        <f t="shared" si="6"/>
        <v>0</v>
      </c>
      <c r="V31" s="746">
        <f t="shared" si="3"/>
        <v>0</v>
      </c>
      <c r="W31" s="734"/>
      <c r="X31" s="161"/>
      <c r="AT31" s="135"/>
    </row>
    <row r="32" spans="2:46" ht="12.75" customHeight="1" x14ac:dyDescent="0.2">
      <c r="B32" s="157"/>
      <c r="C32" s="499"/>
      <c r="D32" s="523"/>
      <c r="E32" s="523"/>
      <c r="F32" s="523"/>
      <c r="G32" s="517"/>
      <c r="H32" s="748"/>
      <c r="I32" s="517"/>
      <c r="J32" s="517"/>
      <c r="K32" s="749"/>
      <c r="L32" s="518"/>
      <c r="M32" s="741">
        <f t="shared" si="8"/>
        <v>0</v>
      </c>
      <c r="N32" s="734"/>
      <c r="O32" s="742" t="str">
        <f t="shared" si="4"/>
        <v/>
      </c>
      <c r="P32" s="743" t="str">
        <f t="shared" si="1"/>
        <v/>
      </c>
      <c r="Q32" s="747">
        <f t="shared" si="5"/>
        <v>0.61</v>
      </c>
      <c r="R32" s="743">
        <f t="shared" si="7"/>
        <v>0</v>
      </c>
      <c r="S32" s="743">
        <f>IF(L32="",0,O32*12*L32*IF(OR(I32&lt;=8,I32="LIOa",I32="LIOb"),1+tab!C$72,1+tab!C$70))</f>
        <v>0</v>
      </c>
      <c r="T32" s="744">
        <f t="shared" si="2"/>
        <v>0</v>
      </c>
      <c r="U32" s="745">
        <f t="shared" si="6"/>
        <v>0</v>
      </c>
      <c r="V32" s="746">
        <f t="shared" si="3"/>
        <v>0</v>
      </c>
      <c r="W32" s="734"/>
      <c r="X32" s="161"/>
      <c r="AT32" s="135"/>
    </row>
    <row r="33" spans="2:46" ht="12.75" customHeight="1" x14ac:dyDescent="0.2">
      <c r="B33" s="157"/>
      <c r="C33" s="499"/>
      <c r="D33" s="523"/>
      <c r="E33" s="523"/>
      <c r="F33" s="523"/>
      <c r="G33" s="517"/>
      <c r="H33" s="748"/>
      <c r="I33" s="517"/>
      <c r="J33" s="517"/>
      <c r="K33" s="749"/>
      <c r="L33" s="518"/>
      <c r="M33" s="741">
        <f t="shared" si="8"/>
        <v>0</v>
      </c>
      <c r="N33" s="734"/>
      <c r="O33" s="742" t="str">
        <f t="shared" si="4"/>
        <v/>
      </c>
      <c r="P33" s="743" t="str">
        <f t="shared" si="1"/>
        <v/>
      </c>
      <c r="Q33" s="747">
        <f t="shared" si="5"/>
        <v>0.61</v>
      </c>
      <c r="R33" s="743">
        <f t="shared" si="7"/>
        <v>0</v>
      </c>
      <c r="S33" s="743">
        <f>IF(L33="",0,O33*12*L33*IF(OR(I33&lt;=8,I33="LIOa",I33="LIOb"),1+tab!C$72,1+tab!C$70))</f>
        <v>0</v>
      </c>
      <c r="T33" s="744">
        <f t="shared" si="2"/>
        <v>0</v>
      </c>
      <c r="U33" s="745">
        <f t="shared" si="6"/>
        <v>0</v>
      </c>
      <c r="V33" s="746">
        <f t="shared" si="3"/>
        <v>0</v>
      </c>
      <c r="W33" s="734"/>
      <c r="X33" s="161"/>
      <c r="AT33" s="135"/>
    </row>
    <row r="34" spans="2:46" ht="12.75" customHeight="1" x14ac:dyDescent="0.2">
      <c r="B34" s="157"/>
      <c r="C34" s="499"/>
      <c r="D34" s="523"/>
      <c r="E34" s="523"/>
      <c r="F34" s="523"/>
      <c r="G34" s="517"/>
      <c r="H34" s="748"/>
      <c r="I34" s="517"/>
      <c r="J34" s="517"/>
      <c r="K34" s="749"/>
      <c r="L34" s="518"/>
      <c r="M34" s="741">
        <f t="shared" si="8"/>
        <v>0</v>
      </c>
      <c r="N34" s="734"/>
      <c r="O34" s="742" t="str">
        <f t="shared" si="4"/>
        <v/>
      </c>
      <c r="P34" s="743" t="str">
        <f t="shared" si="1"/>
        <v/>
      </c>
      <c r="Q34" s="747">
        <f t="shared" si="5"/>
        <v>0.61</v>
      </c>
      <c r="R34" s="743">
        <f t="shared" si="7"/>
        <v>0</v>
      </c>
      <c r="S34" s="743">
        <f>IF(L34="",0,O34*12*L34*IF(OR(I34&lt;=8,I34="LIOa",I34="LIOb"),1+tab!C$72,1+tab!C$70))</f>
        <v>0</v>
      </c>
      <c r="T34" s="744">
        <f t="shared" si="2"/>
        <v>0</v>
      </c>
      <c r="U34" s="745">
        <f t="shared" si="6"/>
        <v>0</v>
      </c>
      <c r="V34" s="746">
        <f t="shared" si="3"/>
        <v>0</v>
      </c>
      <c r="W34" s="734"/>
      <c r="X34" s="161"/>
      <c r="AT34" s="135"/>
    </row>
    <row r="35" spans="2:46" ht="12.75" customHeight="1" x14ac:dyDescent="0.2">
      <c r="B35" s="157"/>
      <c r="C35" s="499"/>
      <c r="D35" s="523"/>
      <c r="E35" s="523"/>
      <c r="F35" s="523"/>
      <c r="G35" s="517"/>
      <c r="H35" s="748"/>
      <c r="I35" s="517"/>
      <c r="J35" s="517"/>
      <c r="K35" s="749"/>
      <c r="L35" s="518"/>
      <c r="M35" s="741">
        <f>IF(L35="",K35,K35-L35)</f>
        <v>0</v>
      </c>
      <c r="N35" s="734"/>
      <c r="O35" s="742" t="str">
        <f t="shared" si="4"/>
        <v/>
      </c>
      <c r="P35" s="743" t="str">
        <f t="shared" si="1"/>
        <v/>
      </c>
      <c r="Q35" s="747">
        <f t="shared" si="5"/>
        <v>0.61</v>
      </c>
      <c r="R35" s="743">
        <f t="shared" si="7"/>
        <v>0</v>
      </c>
      <c r="S35" s="743">
        <f>IF(L35="",0,O35*12*L35*IF(OR(I35&lt;=8,I35="LIOa",I35="LIOb"),1+tab!C$72,1+tab!C$70))</f>
        <v>0</v>
      </c>
      <c r="T35" s="744">
        <f t="shared" si="2"/>
        <v>0</v>
      </c>
      <c r="U35" s="745">
        <f t="shared" si="6"/>
        <v>0</v>
      </c>
      <c r="V35" s="746">
        <f t="shared" si="3"/>
        <v>0</v>
      </c>
      <c r="W35" s="734"/>
      <c r="X35" s="161"/>
      <c r="AT35" s="135"/>
    </row>
    <row r="36" spans="2:46" ht="12.75" customHeight="1" x14ac:dyDescent="0.2">
      <c r="B36" s="157"/>
      <c r="C36" s="499"/>
      <c r="D36" s="735"/>
      <c r="E36" s="735"/>
      <c r="F36" s="735"/>
      <c r="G36" s="691"/>
      <c r="H36" s="736"/>
      <c r="I36" s="691"/>
      <c r="J36" s="737"/>
      <c r="K36" s="750">
        <f>SUM(K16:K35)</f>
        <v>0</v>
      </c>
      <c r="L36" s="750">
        <f>SUM(L16:L35)</f>
        <v>0</v>
      </c>
      <c r="M36" s="750">
        <f>SUM(M16:M35)</f>
        <v>0</v>
      </c>
      <c r="N36" s="738"/>
      <c r="O36" s="751">
        <f t="shared" ref="O36:V36" si="9">SUM(O16:O35)</f>
        <v>0</v>
      </c>
      <c r="P36" s="751">
        <f t="shared" si="9"/>
        <v>0</v>
      </c>
      <c r="Q36" s="739"/>
      <c r="R36" s="751">
        <f t="shared" si="9"/>
        <v>0</v>
      </c>
      <c r="S36" s="751">
        <f t="shared" si="9"/>
        <v>0</v>
      </c>
      <c r="T36" s="751">
        <f t="shared" si="9"/>
        <v>0</v>
      </c>
      <c r="U36" s="752">
        <f t="shared" si="9"/>
        <v>0</v>
      </c>
      <c r="V36" s="753">
        <f t="shared" si="9"/>
        <v>0</v>
      </c>
      <c r="W36" s="699"/>
      <c r="X36" s="161"/>
      <c r="AT36" s="135"/>
    </row>
    <row r="37" spans="2:46" ht="12.75" customHeight="1" x14ac:dyDescent="0.2">
      <c r="B37" s="157"/>
      <c r="C37" s="499"/>
      <c r="D37" s="695"/>
      <c r="E37" s="695"/>
      <c r="F37" s="695"/>
      <c r="G37" s="681"/>
      <c r="H37" s="686"/>
      <c r="I37" s="681"/>
      <c r="J37" s="699"/>
      <c r="K37" s="700"/>
      <c r="L37" s="699"/>
      <c r="M37" s="700"/>
      <c r="N37" s="699"/>
      <c r="O37" s="699"/>
      <c r="P37" s="739"/>
      <c r="Q37" s="739"/>
      <c r="R37" s="739"/>
      <c r="S37" s="739"/>
      <c r="T37" s="703"/>
      <c r="U37" s="740"/>
      <c r="V37" s="615"/>
      <c r="W37" s="699"/>
      <c r="X37" s="161"/>
    </row>
    <row r="38" spans="2:46" ht="12.75" customHeight="1" x14ac:dyDescent="0.2">
      <c r="B38" s="157"/>
      <c r="C38" s="158"/>
      <c r="D38" s="167"/>
      <c r="E38" s="167"/>
      <c r="F38" s="167"/>
      <c r="G38" s="160"/>
      <c r="H38" s="208"/>
      <c r="I38" s="160"/>
      <c r="J38" s="209"/>
      <c r="K38" s="248"/>
      <c r="L38" s="210"/>
      <c r="M38" s="210"/>
      <c r="N38" s="158"/>
      <c r="O38" s="249"/>
      <c r="P38" s="250"/>
      <c r="Q38" s="250"/>
      <c r="R38" s="250"/>
      <c r="S38" s="250"/>
      <c r="T38" s="438"/>
      <c r="U38" s="251"/>
      <c r="V38" s="450"/>
      <c r="W38" s="158"/>
      <c r="X38" s="161"/>
    </row>
    <row r="39" spans="2:46" ht="12.75" customHeight="1" x14ac:dyDescent="0.2">
      <c r="B39" s="157"/>
      <c r="C39" s="158"/>
      <c r="D39" s="167"/>
      <c r="E39" s="167"/>
      <c r="F39" s="167"/>
      <c r="G39" s="160"/>
      <c r="H39" s="208"/>
      <c r="I39" s="160"/>
      <c r="J39" s="209"/>
      <c r="K39" s="248"/>
      <c r="L39" s="210"/>
      <c r="M39" s="210"/>
      <c r="N39" s="158"/>
      <c r="O39" s="249"/>
      <c r="P39" s="250"/>
      <c r="Q39" s="250"/>
      <c r="R39" s="250"/>
      <c r="S39" s="250"/>
      <c r="T39" s="438"/>
      <c r="U39" s="251"/>
      <c r="V39" s="450"/>
      <c r="W39" s="158"/>
      <c r="X39" s="161"/>
    </row>
    <row r="40" spans="2:46" ht="12.75" customHeight="1" x14ac:dyDescent="0.2">
      <c r="B40" s="157"/>
      <c r="C40" s="158" t="s">
        <v>153</v>
      </c>
      <c r="D40" s="167"/>
      <c r="E40" s="241" t="str">
        <f>tab!D2</f>
        <v>2013/14</v>
      </c>
      <c r="F40" s="167"/>
      <c r="G40" s="160"/>
      <c r="H40" s="208"/>
      <c r="I40" s="160"/>
      <c r="J40" s="209"/>
      <c r="K40" s="248"/>
      <c r="L40" s="210"/>
      <c r="M40" s="210"/>
      <c r="N40" s="158"/>
      <c r="O40" s="249"/>
      <c r="P40" s="250"/>
      <c r="Q40" s="250"/>
      <c r="R40" s="250"/>
      <c r="S40" s="250"/>
      <c r="T40" s="438"/>
      <c r="U40" s="251"/>
      <c r="V40" s="450"/>
      <c r="W40" s="158"/>
      <c r="X40" s="161"/>
    </row>
    <row r="41" spans="2:46" ht="12.75" customHeight="1" x14ac:dyDescent="0.2">
      <c r="B41" s="157"/>
      <c r="C41" s="158" t="s">
        <v>154</v>
      </c>
      <c r="D41" s="167"/>
      <c r="E41" s="241">
        <f>tab!E3</f>
        <v>41548</v>
      </c>
      <c r="F41" s="167"/>
      <c r="G41" s="160"/>
      <c r="H41" s="208"/>
      <c r="I41" s="160"/>
      <c r="J41" s="209"/>
      <c r="K41" s="248"/>
      <c r="L41" s="210"/>
      <c r="M41" s="210"/>
      <c r="N41" s="158"/>
      <c r="O41" s="249"/>
      <c r="P41" s="250"/>
      <c r="Q41" s="250"/>
      <c r="R41" s="250"/>
      <c r="S41" s="250"/>
      <c r="T41" s="438"/>
      <c r="U41" s="251"/>
      <c r="V41" s="450"/>
      <c r="W41" s="158"/>
      <c r="X41" s="161"/>
    </row>
    <row r="42" spans="2:46" ht="12.75" customHeight="1" x14ac:dyDescent="0.2">
      <c r="B42" s="157"/>
      <c r="C42" s="158"/>
      <c r="D42" s="167"/>
      <c r="E42" s="167"/>
      <c r="F42" s="167"/>
      <c r="G42" s="160"/>
      <c r="H42" s="208"/>
      <c r="I42" s="160"/>
      <c r="J42" s="209"/>
      <c r="K42" s="248"/>
      <c r="L42" s="210"/>
      <c r="M42" s="210"/>
      <c r="N42" s="158"/>
      <c r="O42" s="249"/>
      <c r="P42" s="250"/>
      <c r="Q42" s="250"/>
      <c r="R42" s="250"/>
      <c r="S42" s="250"/>
      <c r="T42" s="438"/>
      <c r="U42" s="251"/>
      <c r="V42" s="450"/>
      <c r="W42" s="158"/>
      <c r="X42" s="161"/>
    </row>
    <row r="43" spans="2:46" ht="12.75" customHeight="1" x14ac:dyDescent="0.2">
      <c r="B43" s="157"/>
      <c r="C43" s="499"/>
      <c r="D43" s="695"/>
      <c r="E43" s="612"/>
      <c r="F43" s="695"/>
      <c r="G43" s="681"/>
      <c r="H43" s="686"/>
      <c r="I43" s="699"/>
      <c r="J43" s="699"/>
      <c r="K43" s="700"/>
      <c r="L43" s="699"/>
      <c r="M43" s="701"/>
      <c r="N43" s="499"/>
      <c r="O43" s="702"/>
      <c r="P43" s="499"/>
      <c r="Q43" s="499"/>
      <c r="R43" s="499"/>
      <c r="S43" s="499"/>
      <c r="T43" s="703"/>
      <c r="U43" s="704"/>
      <c r="V43" s="705"/>
      <c r="W43" s="499"/>
      <c r="X43" s="161"/>
      <c r="AC43" s="113"/>
      <c r="AD43" s="114"/>
      <c r="AE43" s="113"/>
      <c r="AF43" s="113"/>
      <c r="AG43" s="113"/>
      <c r="AH43" s="104"/>
      <c r="AI43" s="115"/>
      <c r="AJ43" s="116"/>
      <c r="AK43" s="117"/>
      <c r="AL43" s="118"/>
      <c r="AM43" s="115"/>
    </row>
    <row r="44" spans="2:46" s="48" customFormat="1" ht="12.75" customHeight="1" x14ac:dyDescent="0.2">
      <c r="B44" s="195"/>
      <c r="C44" s="706"/>
      <c r="D44" s="864" t="s">
        <v>155</v>
      </c>
      <c r="E44" s="865"/>
      <c r="F44" s="865"/>
      <c r="G44" s="865"/>
      <c r="H44" s="865"/>
      <c r="I44" s="865"/>
      <c r="J44" s="865"/>
      <c r="K44" s="865"/>
      <c r="L44" s="865"/>
      <c r="M44" s="865"/>
      <c r="N44" s="707"/>
      <c r="O44" s="864" t="s">
        <v>428</v>
      </c>
      <c r="P44" s="866"/>
      <c r="Q44" s="866"/>
      <c r="R44" s="866"/>
      <c r="S44" s="866"/>
      <c r="T44" s="866"/>
      <c r="U44" s="708"/>
      <c r="V44" s="709"/>
      <c r="W44" s="710"/>
      <c r="X44" s="246"/>
      <c r="Y44" s="120"/>
      <c r="Z44" s="121"/>
      <c r="AA44" s="122"/>
      <c r="AB44" s="121"/>
      <c r="AN44" s="120"/>
      <c r="AO44" s="120"/>
    </row>
    <row r="45" spans="2:46" s="48" customFormat="1" ht="12.75" customHeight="1" x14ac:dyDescent="0.2">
      <c r="B45" s="195"/>
      <c r="C45" s="706"/>
      <c r="D45" s="711" t="s">
        <v>156</v>
      </c>
      <c r="E45" s="711" t="s">
        <v>157</v>
      </c>
      <c r="F45" s="711" t="s">
        <v>158</v>
      </c>
      <c r="G45" s="712" t="s">
        <v>159</v>
      </c>
      <c r="H45" s="713" t="s">
        <v>160</v>
      </c>
      <c r="I45" s="712" t="s">
        <v>111</v>
      </c>
      <c r="J45" s="712" t="s">
        <v>161</v>
      </c>
      <c r="K45" s="714" t="s">
        <v>163</v>
      </c>
      <c r="L45" s="715" t="s">
        <v>164</v>
      </c>
      <c r="M45" s="714" t="s">
        <v>163</v>
      </c>
      <c r="N45" s="716"/>
      <c r="O45" s="717" t="s">
        <v>162</v>
      </c>
      <c r="P45" s="717" t="s">
        <v>429</v>
      </c>
      <c r="Q45" s="717" t="s">
        <v>165</v>
      </c>
      <c r="R45" s="716"/>
      <c r="S45" s="718" t="s">
        <v>164</v>
      </c>
      <c r="T45" s="719" t="s">
        <v>166</v>
      </c>
      <c r="U45" s="720" t="s">
        <v>168</v>
      </c>
      <c r="V45" s="709" t="s">
        <v>445</v>
      </c>
      <c r="W45" s="721"/>
      <c r="X45" s="247"/>
      <c r="Y45" s="124"/>
      <c r="Z45" s="123"/>
      <c r="AA45" s="73"/>
      <c r="AB45" s="123"/>
      <c r="AN45" s="120"/>
      <c r="AO45" s="124"/>
    </row>
    <row r="46" spans="2:46" ht="12.75" customHeight="1" x14ac:dyDescent="0.2">
      <c r="B46" s="157"/>
      <c r="C46" s="706"/>
      <c r="D46" s="722"/>
      <c r="E46" s="711"/>
      <c r="F46" s="723"/>
      <c r="G46" s="712" t="s">
        <v>170</v>
      </c>
      <c r="H46" s="713" t="s">
        <v>171</v>
      </c>
      <c r="I46" s="712"/>
      <c r="J46" s="712"/>
      <c r="K46" s="714" t="s">
        <v>173</v>
      </c>
      <c r="L46" s="715"/>
      <c r="M46" s="714" t="s">
        <v>174</v>
      </c>
      <c r="N46" s="716"/>
      <c r="O46" s="717" t="s">
        <v>172</v>
      </c>
      <c r="P46" s="717" t="s">
        <v>430</v>
      </c>
      <c r="Q46" s="724">
        <f>tab!D68</f>
        <v>0.61</v>
      </c>
      <c r="R46" s="716" t="s">
        <v>446</v>
      </c>
      <c r="S46" s="718" t="s">
        <v>167</v>
      </c>
      <c r="T46" s="719" t="s">
        <v>54</v>
      </c>
      <c r="U46" s="720"/>
      <c r="V46" s="718" t="s">
        <v>167</v>
      </c>
      <c r="W46" s="706"/>
      <c r="X46" s="161"/>
      <c r="AC46" s="34"/>
      <c r="AD46" s="34"/>
      <c r="AL46" s="34"/>
      <c r="AM46" s="34"/>
      <c r="AO46" s="133"/>
    </row>
    <row r="47" spans="2:46" ht="12.75" customHeight="1" x14ac:dyDescent="0.2">
      <c r="B47" s="157"/>
      <c r="C47" s="499"/>
      <c r="D47" s="695"/>
      <c r="E47" s="695"/>
      <c r="F47" s="695"/>
      <c r="G47" s="681"/>
      <c r="H47" s="686"/>
      <c r="I47" s="725"/>
      <c r="J47" s="725"/>
      <c r="K47" s="726"/>
      <c r="L47" s="727"/>
      <c r="M47" s="726"/>
      <c r="N47" s="728"/>
      <c r="O47" s="729"/>
      <c r="P47" s="730"/>
      <c r="Q47" s="730"/>
      <c r="R47" s="730"/>
      <c r="S47" s="730"/>
      <c r="T47" s="731"/>
      <c r="U47" s="732"/>
      <c r="V47" s="733"/>
      <c r="W47" s="728"/>
      <c r="X47" s="161"/>
      <c r="AC47" s="34"/>
      <c r="AD47" s="34"/>
      <c r="AL47" s="34"/>
      <c r="AM47" s="34"/>
      <c r="AO47" s="133"/>
    </row>
    <row r="48" spans="2:46" x14ac:dyDescent="0.2">
      <c r="B48" s="157"/>
      <c r="C48" s="499"/>
      <c r="D48" s="523" t="str">
        <f t="shared" ref="D48:D67" si="10">IF(D16=0,"",D16)</f>
        <v/>
      </c>
      <c r="E48" s="523" t="str">
        <f t="shared" ref="E48:E67" si="11">IF(E16="","",E16)</f>
        <v/>
      </c>
      <c r="F48" s="523" t="str">
        <f t="shared" ref="F48:F67" si="12">IF(F16=0,"",F16)</f>
        <v/>
      </c>
      <c r="G48" s="517" t="str">
        <f t="shared" ref="G48:G67" si="13">IF(G16="","",G16+1)</f>
        <v/>
      </c>
      <c r="H48" s="748" t="str">
        <f t="shared" ref="H48:H67" si="14">IF(H16=0,"",H16)</f>
        <v/>
      </c>
      <c r="I48" s="517" t="str">
        <f t="shared" ref="I48:I67" si="15">IF(I16=0,"",I16)</f>
        <v/>
      </c>
      <c r="J48" s="517" t="str">
        <f t="shared" ref="J48:J67" si="16">IF(E48="","",(IF((J16+1)&gt;VLOOKUP(I48,tabelsalaris,23,FALSE),J16,J16+1)))</f>
        <v/>
      </c>
      <c r="K48" s="749" t="str">
        <f t="shared" ref="K48:L59" si="17">IF(K16="","",K16)</f>
        <v/>
      </c>
      <c r="L48" s="518" t="str">
        <f t="shared" si="17"/>
        <v/>
      </c>
      <c r="M48" s="741" t="str">
        <f>IF(L48="",K48,K48-L48)</f>
        <v/>
      </c>
      <c r="N48" s="734"/>
      <c r="O48" s="742" t="str">
        <f t="shared" ref="O48:O67" si="18">IF(I48="","",VLOOKUP(I48,tabelsalaris,J48+2,FALSE))</f>
        <v/>
      </c>
      <c r="P48" s="743" t="str">
        <f t="shared" ref="P48:P67" si="19">IF(E48="","",(O48*M48*12))</f>
        <v/>
      </c>
      <c r="Q48" s="747">
        <f>$Q$46</f>
        <v>0.61</v>
      </c>
      <c r="R48" s="743">
        <f>IF(E48="",0,+P48*Q48)</f>
        <v>0</v>
      </c>
      <c r="S48" s="743">
        <f>IF(L48="",0,O48*12*L48*IF(OR(I48&lt;=8,I48="LIOa",I48="LIOb",I48="ID1",I48="ID2",I48="ID3"),1+tab!D$72,1+tab!D$70))</f>
        <v>0</v>
      </c>
      <c r="T48" s="744">
        <f t="shared" ref="T48:T67" si="20">IF(E48="",0,(P48+R48+S48))</f>
        <v>0</v>
      </c>
      <c r="U48" s="745">
        <f>IF(G48&lt;25,0,IF(G48=25,25,IF(G48&lt;40,0,IF(G48=40,40,IF(G48&gt;=40,0)))))</f>
        <v>0</v>
      </c>
      <c r="V48" s="746">
        <f t="shared" ref="V48:V67" si="21">IF(E48="",0,IF(U48=25,(O48*1.08*(K48)/2),IF(U48=40,(O48*1.08*(K48)),IF(U48=0,0))))</f>
        <v>0</v>
      </c>
      <c r="W48" s="734"/>
      <c r="X48" s="161"/>
      <c r="AA48" s="139"/>
      <c r="AJ48" s="139"/>
    </row>
    <row r="49" spans="2:46" x14ac:dyDescent="0.2">
      <c r="B49" s="157"/>
      <c r="C49" s="499"/>
      <c r="D49" s="523" t="str">
        <f t="shared" si="10"/>
        <v/>
      </c>
      <c r="E49" s="523" t="str">
        <f t="shared" si="11"/>
        <v/>
      </c>
      <c r="F49" s="523" t="str">
        <f t="shared" si="12"/>
        <v/>
      </c>
      <c r="G49" s="517" t="str">
        <f t="shared" si="13"/>
        <v/>
      </c>
      <c r="H49" s="748" t="str">
        <f t="shared" si="14"/>
        <v/>
      </c>
      <c r="I49" s="517" t="str">
        <f t="shared" si="15"/>
        <v/>
      </c>
      <c r="J49" s="517" t="str">
        <f t="shared" si="16"/>
        <v/>
      </c>
      <c r="K49" s="749" t="str">
        <f t="shared" si="17"/>
        <v/>
      </c>
      <c r="L49" s="518" t="str">
        <f t="shared" si="17"/>
        <v/>
      </c>
      <c r="M49" s="741" t="str">
        <f t="shared" ref="M49:M67" si="22">IF(L49="",K49,K49-L49)</f>
        <v/>
      </c>
      <c r="N49" s="734"/>
      <c r="O49" s="742" t="str">
        <f t="shared" si="18"/>
        <v/>
      </c>
      <c r="P49" s="743" t="str">
        <f t="shared" si="19"/>
        <v/>
      </c>
      <c r="Q49" s="747">
        <f t="shared" ref="Q49:Q67" si="23">$Q$46</f>
        <v>0.61</v>
      </c>
      <c r="R49" s="743">
        <f t="shared" ref="R49:R67" si="24">IF(E49="",0,+P49*Q49)</f>
        <v>0</v>
      </c>
      <c r="S49" s="743">
        <f>IF(L49="",0,O49*12*L49*IF(OR(I49&lt;=8,I49="LIOa",I49="LIOb",I49="ID1",I49="ID2",I49="ID3"),1+tab!D$72,1+tab!D$70))</f>
        <v>0</v>
      </c>
      <c r="T49" s="744">
        <f t="shared" si="20"/>
        <v>0</v>
      </c>
      <c r="U49" s="745">
        <f t="shared" ref="U49:U67" si="25">IF(G49&lt;25,0,IF(G49=25,25,IF(G49&lt;40,0,IF(G49=40,40,IF(G49&gt;=40,0)))))</f>
        <v>0</v>
      </c>
      <c r="V49" s="746">
        <f t="shared" si="21"/>
        <v>0</v>
      </c>
      <c r="W49" s="734"/>
      <c r="X49" s="161"/>
      <c r="AA49" s="139"/>
      <c r="AJ49" s="139"/>
    </row>
    <row r="50" spans="2:46" x14ac:dyDescent="0.2">
      <c r="B50" s="157"/>
      <c r="C50" s="499"/>
      <c r="D50" s="523" t="str">
        <f t="shared" si="10"/>
        <v/>
      </c>
      <c r="E50" s="523" t="str">
        <f t="shared" si="11"/>
        <v/>
      </c>
      <c r="F50" s="523" t="str">
        <f t="shared" si="12"/>
        <v/>
      </c>
      <c r="G50" s="517" t="str">
        <f t="shared" si="13"/>
        <v/>
      </c>
      <c r="H50" s="748" t="str">
        <f t="shared" si="14"/>
        <v/>
      </c>
      <c r="I50" s="517" t="str">
        <f t="shared" si="15"/>
        <v/>
      </c>
      <c r="J50" s="517" t="str">
        <f t="shared" si="16"/>
        <v/>
      </c>
      <c r="K50" s="749" t="str">
        <f t="shared" si="17"/>
        <v/>
      </c>
      <c r="L50" s="518" t="str">
        <f t="shared" si="17"/>
        <v/>
      </c>
      <c r="M50" s="741" t="str">
        <f t="shared" si="22"/>
        <v/>
      </c>
      <c r="N50" s="734"/>
      <c r="O50" s="742" t="str">
        <f t="shared" si="18"/>
        <v/>
      </c>
      <c r="P50" s="743" t="str">
        <f t="shared" si="19"/>
        <v/>
      </c>
      <c r="Q50" s="747">
        <f t="shared" si="23"/>
        <v>0.61</v>
      </c>
      <c r="R50" s="743">
        <f t="shared" si="24"/>
        <v>0</v>
      </c>
      <c r="S50" s="743">
        <f>IF(L50="",0,O50*12*L50*IF(OR(I50&lt;=8,I50="LIOa",I50="LIOb",I50="ID1",I50="ID2",I50="ID3"),1+tab!D$72,1+tab!D$70))</f>
        <v>0</v>
      </c>
      <c r="T50" s="744">
        <f t="shared" si="20"/>
        <v>0</v>
      </c>
      <c r="U50" s="745">
        <f t="shared" si="25"/>
        <v>0</v>
      </c>
      <c r="V50" s="746">
        <f t="shared" si="21"/>
        <v>0</v>
      </c>
      <c r="W50" s="734"/>
      <c r="X50" s="161"/>
      <c r="AA50" s="139"/>
      <c r="AJ50" s="139"/>
      <c r="AT50" s="135"/>
    </row>
    <row r="51" spans="2:46" x14ac:dyDescent="0.2">
      <c r="B51" s="157"/>
      <c r="C51" s="499"/>
      <c r="D51" s="523" t="str">
        <f t="shared" si="10"/>
        <v/>
      </c>
      <c r="E51" s="523" t="str">
        <f t="shared" si="11"/>
        <v/>
      </c>
      <c r="F51" s="523" t="str">
        <f t="shared" si="12"/>
        <v/>
      </c>
      <c r="G51" s="517" t="str">
        <f t="shared" si="13"/>
        <v/>
      </c>
      <c r="H51" s="748" t="str">
        <f t="shared" si="14"/>
        <v/>
      </c>
      <c r="I51" s="517" t="str">
        <f t="shared" si="15"/>
        <v/>
      </c>
      <c r="J51" s="517" t="str">
        <f t="shared" si="16"/>
        <v/>
      </c>
      <c r="K51" s="749" t="str">
        <f t="shared" si="17"/>
        <v/>
      </c>
      <c r="L51" s="518" t="str">
        <f t="shared" si="17"/>
        <v/>
      </c>
      <c r="M51" s="741" t="str">
        <f t="shared" si="22"/>
        <v/>
      </c>
      <c r="N51" s="734"/>
      <c r="O51" s="742" t="str">
        <f t="shared" si="18"/>
        <v/>
      </c>
      <c r="P51" s="743" t="str">
        <f t="shared" si="19"/>
        <v/>
      </c>
      <c r="Q51" s="747">
        <f t="shared" si="23"/>
        <v>0.61</v>
      </c>
      <c r="R51" s="743">
        <f t="shared" si="24"/>
        <v>0</v>
      </c>
      <c r="S51" s="743">
        <f>IF(L51="",0,O51*12*L51*IF(OR(I51&lt;=8,I51="LIOa",I51="LIOb",I51="ID1",I51="ID2",I51="ID3"),1+tab!D$72,1+tab!D$70))</f>
        <v>0</v>
      </c>
      <c r="T51" s="744">
        <f t="shared" si="20"/>
        <v>0</v>
      </c>
      <c r="U51" s="745">
        <f t="shared" si="25"/>
        <v>0</v>
      </c>
      <c r="V51" s="746">
        <f t="shared" si="21"/>
        <v>0</v>
      </c>
      <c r="W51" s="734"/>
      <c r="X51" s="161"/>
      <c r="AA51" s="139"/>
      <c r="AJ51" s="139"/>
      <c r="AT51" s="135"/>
    </row>
    <row r="52" spans="2:46" x14ac:dyDescent="0.2">
      <c r="B52" s="157"/>
      <c r="C52" s="499"/>
      <c r="D52" s="523" t="str">
        <f t="shared" si="10"/>
        <v/>
      </c>
      <c r="E52" s="523" t="str">
        <f t="shared" si="11"/>
        <v/>
      </c>
      <c r="F52" s="523" t="str">
        <f t="shared" si="12"/>
        <v/>
      </c>
      <c r="G52" s="517" t="str">
        <f t="shared" si="13"/>
        <v/>
      </c>
      <c r="H52" s="748" t="str">
        <f t="shared" si="14"/>
        <v/>
      </c>
      <c r="I52" s="517" t="str">
        <f t="shared" si="15"/>
        <v/>
      </c>
      <c r="J52" s="517" t="str">
        <f t="shared" si="16"/>
        <v/>
      </c>
      <c r="K52" s="749" t="str">
        <f t="shared" si="17"/>
        <v/>
      </c>
      <c r="L52" s="518" t="str">
        <f t="shared" si="17"/>
        <v/>
      </c>
      <c r="M52" s="741" t="str">
        <f t="shared" si="22"/>
        <v/>
      </c>
      <c r="N52" s="734"/>
      <c r="O52" s="742" t="str">
        <f t="shared" si="18"/>
        <v/>
      </c>
      <c r="P52" s="743" t="str">
        <f t="shared" si="19"/>
        <v/>
      </c>
      <c r="Q52" s="747">
        <f t="shared" si="23"/>
        <v>0.61</v>
      </c>
      <c r="R52" s="743">
        <f t="shared" si="24"/>
        <v>0</v>
      </c>
      <c r="S52" s="743">
        <f>IF(L52="",0,O52*12*L52*IF(OR(I52&lt;=8,I52="LIOa",I52="LIOb",I52="ID1",I52="ID2",I52="ID3"),1+tab!D$72,1+tab!D$70))</f>
        <v>0</v>
      </c>
      <c r="T52" s="744">
        <f t="shared" si="20"/>
        <v>0</v>
      </c>
      <c r="U52" s="745">
        <f t="shared" si="25"/>
        <v>0</v>
      </c>
      <c r="V52" s="746">
        <f t="shared" si="21"/>
        <v>0</v>
      </c>
      <c r="W52" s="734"/>
      <c r="X52" s="161"/>
      <c r="AA52" s="139"/>
      <c r="AJ52" s="139"/>
      <c r="AT52" s="135"/>
    </row>
    <row r="53" spans="2:46" x14ac:dyDescent="0.2">
      <c r="B53" s="157"/>
      <c r="C53" s="499"/>
      <c r="D53" s="523" t="str">
        <f t="shared" si="10"/>
        <v/>
      </c>
      <c r="E53" s="523" t="str">
        <f t="shared" si="11"/>
        <v/>
      </c>
      <c r="F53" s="523" t="str">
        <f t="shared" si="12"/>
        <v/>
      </c>
      <c r="G53" s="517" t="str">
        <f t="shared" si="13"/>
        <v/>
      </c>
      <c r="H53" s="748" t="str">
        <f t="shared" si="14"/>
        <v/>
      </c>
      <c r="I53" s="517" t="str">
        <f t="shared" si="15"/>
        <v/>
      </c>
      <c r="J53" s="517" t="str">
        <f t="shared" si="16"/>
        <v/>
      </c>
      <c r="K53" s="749" t="str">
        <f t="shared" si="17"/>
        <v/>
      </c>
      <c r="L53" s="518" t="str">
        <f t="shared" si="17"/>
        <v/>
      </c>
      <c r="M53" s="741" t="str">
        <f t="shared" si="22"/>
        <v/>
      </c>
      <c r="N53" s="734"/>
      <c r="O53" s="742" t="str">
        <f t="shared" si="18"/>
        <v/>
      </c>
      <c r="P53" s="743" t="str">
        <f t="shared" si="19"/>
        <v/>
      </c>
      <c r="Q53" s="747">
        <f t="shared" si="23"/>
        <v>0.61</v>
      </c>
      <c r="R53" s="743">
        <f t="shared" si="24"/>
        <v>0</v>
      </c>
      <c r="S53" s="743">
        <f>IF(L53="",0,O53*12*L53*IF(OR(I53&lt;=8,I53="LIOa",I53="LIOb",I53="ID1",I53="ID2",I53="ID3"),1+tab!D$72,1+tab!D$70))</f>
        <v>0</v>
      </c>
      <c r="T53" s="744">
        <f t="shared" si="20"/>
        <v>0</v>
      </c>
      <c r="U53" s="745">
        <f t="shared" si="25"/>
        <v>0</v>
      </c>
      <c r="V53" s="746">
        <f t="shared" si="21"/>
        <v>0</v>
      </c>
      <c r="W53" s="734"/>
      <c r="X53" s="161"/>
      <c r="AA53" s="139"/>
      <c r="AJ53" s="139"/>
      <c r="AT53" s="135"/>
    </row>
    <row r="54" spans="2:46" x14ac:dyDescent="0.2">
      <c r="B54" s="157"/>
      <c r="C54" s="499"/>
      <c r="D54" s="523" t="str">
        <f t="shared" si="10"/>
        <v/>
      </c>
      <c r="E54" s="523" t="str">
        <f t="shared" si="11"/>
        <v/>
      </c>
      <c r="F54" s="523" t="str">
        <f t="shared" si="12"/>
        <v/>
      </c>
      <c r="G54" s="517" t="str">
        <f t="shared" si="13"/>
        <v/>
      </c>
      <c r="H54" s="748" t="str">
        <f t="shared" si="14"/>
        <v/>
      </c>
      <c r="I54" s="517" t="str">
        <f t="shared" si="15"/>
        <v/>
      </c>
      <c r="J54" s="517" t="str">
        <f t="shared" si="16"/>
        <v/>
      </c>
      <c r="K54" s="749" t="str">
        <f t="shared" si="17"/>
        <v/>
      </c>
      <c r="L54" s="518" t="str">
        <f t="shared" si="17"/>
        <v/>
      </c>
      <c r="M54" s="741" t="str">
        <f t="shared" si="22"/>
        <v/>
      </c>
      <c r="N54" s="734"/>
      <c r="O54" s="742" t="str">
        <f t="shared" si="18"/>
        <v/>
      </c>
      <c r="P54" s="743" t="str">
        <f t="shared" si="19"/>
        <v/>
      </c>
      <c r="Q54" s="747">
        <f t="shared" si="23"/>
        <v>0.61</v>
      </c>
      <c r="R54" s="743">
        <f t="shared" si="24"/>
        <v>0</v>
      </c>
      <c r="S54" s="743">
        <f>IF(L54="",0,O54*12*L54*IF(OR(I54&lt;=8,I54="LIOa",I54="LIOb",I54="ID1",I54="ID2",I54="ID3"),1+tab!D$72,1+tab!D$70))</f>
        <v>0</v>
      </c>
      <c r="T54" s="744">
        <f t="shared" si="20"/>
        <v>0</v>
      </c>
      <c r="U54" s="745">
        <f t="shared" si="25"/>
        <v>0</v>
      </c>
      <c r="V54" s="746">
        <f t="shared" si="21"/>
        <v>0</v>
      </c>
      <c r="W54" s="734"/>
      <c r="X54" s="161"/>
      <c r="AA54" s="139"/>
      <c r="AJ54" s="139"/>
      <c r="AT54" s="135"/>
    </row>
    <row r="55" spans="2:46" x14ac:dyDescent="0.2">
      <c r="B55" s="157"/>
      <c r="C55" s="499"/>
      <c r="D55" s="523" t="str">
        <f t="shared" si="10"/>
        <v/>
      </c>
      <c r="E55" s="523" t="str">
        <f t="shared" si="11"/>
        <v/>
      </c>
      <c r="F55" s="523" t="str">
        <f t="shared" si="12"/>
        <v/>
      </c>
      <c r="G55" s="517" t="str">
        <f t="shared" si="13"/>
        <v/>
      </c>
      <c r="H55" s="748" t="str">
        <f t="shared" si="14"/>
        <v/>
      </c>
      <c r="I55" s="517" t="str">
        <f t="shared" si="15"/>
        <v/>
      </c>
      <c r="J55" s="517" t="str">
        <f t="shared" si="16"/>
        <v/>
      </c>
      <c r="K55" s="749" t="str">
        <f t="shared" si="17"/>
        <v/>
      </c>
      <c r="L55" s="518" t="str">
        <f t="shared" si="17"/>
        <v/>
      </c>
      <c r="M55" s="741" t="str">
        <f t="shared" si="22"/>
        <v/>
      </c>
      <c r="N55" s="734"/>
      <c r="O55" s="742" t="str">
        <f t="shared" si="18"/>
        <v/>
      </c>
      <c r="P55" s="743" t="str">
        <f t="shared" si="19"/>
        <v/>
      </c>
      <c r="Q55" s="747">
        <f t="shared" si="23"/>
        <v>0.61</v>
      </c>
      <c r="R55" s="743">
        <f t="shared" si="24"/>
        <v>0</v>
      </c>
      <c r="S55" s="743">
        <f>IF(L55="",0,O55*12*L55*IF(OR(I55&lt;=8,I55="LIOa",I55="LIOb",I55="ID1",I55="ID2",I55="ID3"),1+tab!D$72,1+tab!D$70))</f>
        <v>0</v>
      </c>
      <c r="T55" s="744">
        <f t="shared" si="20"/>
        <v>0</v>
      </c>
      <c r="U55" s="745">
        <f t="shared" si="25"/>
        <v>0</v>
      </c>
      <c r="V55" s="746">
        <f t="shared" si="21"/>
        <v>0</v>
      </c>
      <c r="W55" s="734"/>
      <c r="X55" s="161"/>
      <c r="AA55" s="139"/>
      <c r="AJ55" s="139"/>
      <c r="AT55" s="135"/>
    </row>
    <row r="56" spans="2:46" x14ac:dyDescent="0.2">
      <c r="B56" s="157"/>
      <c r="C56" s="499"/>
      <c r="D56" s="523" t="str">
        <f t="shared" si="10"/>
        <v/>
      </c>
      <c r="E56" s="523" t="str">
        <f t="shared" si="11"/>
        <v/>
      </c>
      <c r="F56" s="523" t="str">
        <f t="shared" si="12"/>
        <v/>
      </c>
      <c r="G56" s="517" t="str">
        <f t="shared" si="13"/>
        <v/>
      </c>
      <c r="H56" s="748" t="str">
        <f t="shared" si="14"/>
        <v/>
      </c>
      <c r="I56" s="517" t="str">
        <f t="shared" si="15"/>
        <v/>
      </c>
      <c r="J56" s="517" t="str">
        <f t="shared" si="16"/>
        <v/>
      </c>
      <c r="K56" s="749" t="str">
        <f t="shared" si="17"/>
        <v/>
      </c>
      <c r="L56" s="518" t="str">
        <f t="shared" si="17"/>
        <v/>
      </c>
      <c r="M56" s="741" t="str">
        <f t="shared" si="22"/>
        <v/>
      </c>
      <c r="N56" s="734"/>
      <c r="O56" s="742" t="str">
        <f t="shared" si="18"/>
        <v/>
      </c>
      <c r="P56" s="743" t="str">
        <f t="shared" si="19"/>
        <v/>
      </c>
      <c r="Q56" s="747">
        <f t="shared" si="23"/>
        <v>0.61</v>
      </c>
      <c r="R56" s="743">
        <f t="shared" si="24"/>
        <v>0</v>
      </c>
      <c r="S56" s="743">
        <f>IF(L56="",0,O56*12*L56*IF(OR(I56&lt;=8,I56="LIOa",I56="LIOb",I56="ID1",I56="ID2",I56="ID3"),1+tab!D$72,1+tab!D$70))</f>
        <v>0</v>
      </c>
      <c r="T56" s="744">
        <f t="shared" si="20"/>
        <v>0</v>
      </c>
      <c r="U56" s="745">
        <f t="shared" si="25"/>
        <v>0</v>
      </c>
      <c r="V56" s="746">
        <f t="shared" si="21"/>
        <v>0</v>
      </c>
      <c r="W56" s="734"/>
      <c r="X56" s="161"/>
      <c r="AA56" s="139"/>
      <c r="AJ56" s="139"/>
      <c r="AT56" s="135"/>
    </row>
    <row r="57" spans="2:46" x14ac:dyDescent="0.2">
      <c r="B57" s="157"/>
      <c r="C57" s="499"/>
      <c r="D57" s="523" t="str">
        <f t="shared" si="10"/>
        <v/>
      </c>
      <c r="E57" s="523" t="str">
        <f t="shared" si="11"/>
        <v/>
      </c>
      <c r="F57" s="523" t="str">
        <f t="shared" si="12"/>
        <v/>
      </c>
      <c r="G57" s="517" t="str">
        <f t="shared" si="13"/>
        <v/>
      </c>
      <c r="H57" s="748" t="str">
        <f t="shared" si="14"/>
        <v/>
      </c>
      <c r="I57" s="517" t="str">
        <f t="shared" si="15"/>
        <v/>
      </c>
      <c r="J57" s="517" t="str">
        <f t="shared" si="16"/>
        <v/>
      </c>
      <c r="K57" s="749" t="str">
        <f t="shared" si="17"/>
        <v/>
      </c>
      <c r="L57" s="518" t="str">
        <f t="shared" si="17"/>
        <v/>
      </c>
      <c r="M57" s="741" t="str">
        <f t="shared" si="22"/>
        <v/>
      </c>
      <c r="N57" s="734"/>
      <c r="O57" s="742" t="str">
        <f t="shared" si="18"/>
        <v/>
      </c>
      <c r="P57" s="743" t="str">
        <f t="shared" si="19"/>
        <v/>
      </c>
      <c r="Q57" s="747">
        <f t="shared" si="23"/>
        <v>0.61</v>
      </c>
      <c r="R57" s="743">
        <f t="shared" si="24"/>
        <v>0</v>
      </c>
      <c r="S57" s="743">
        <f>IF(L57="",0,O57*12*L57*IF(OR(I57&lt;=8,I57="LIOa",I57="LIOb",I57="ID1",I57="ID2",I57="ID3"),1+tab!D$72,1+tab!D$70))</f>
        <v>0</v>
      </c>
      <c r="T57" s="744">
        <f t="shared" si="20"/>
        <v>0</v>
      </c>
      <c r="U57" s="745">
        <f t="shared" si="25"/>
        <v>0</v>
      </c>
      <c r="V57" s="746">
        <f t="shared" si="21"/>
        <v>0</v>
      </c>
      <c r="W57" s="734"/>
      <c r="X57" s="161"/>
      <c r="AA57" s="139"/>
      <c r="AJ57" s="139"/>
      <c r="AT57" s="135"/>
    </row>
    <row r="58" spans="2:46" x14ac:dyDescent="0.2">
      <c r="B58" s="157"/>
      <c r="C58" s="499"/>
      <c r="D58" s="523" t="str">
        <f t="shared" si="10"/>
        <v/>
      </c>
      <c r="E58" s="523" t="str">
        <f t="shared" si="11"/>
        <v/>
      </c>
      <c r="F58" s="523" t="str">
        <f t="shared" si="12"/>
        <v/>
      </c>
      <c r="G58" s="517" t="str">
        <f t="shared" si="13"/>
        <v/>
      </c>
      <c r="H58" s="748" t="str">
        <f t="shared" si="14"/>
        <v/>
      </c>
      <c r="I58" s="517" t="str">
        <f t="shared" si="15"/>
        <v/>
      </c>
      <c r="J58" s="517" t="str">
        <f t="shared" si="16"/>
        <v/>
      </c>
      <c r="K58" s="749" t="str">
        <f t="shared" si="17"/>
        <v/>
      </c>
      <c r="L58" s="518" t="str">
        <f t="shared" si="17"/>
        <v/>
      </c>
      <c r="M58" s="741" t="str">
        <f t="shared" si="22"/>
        <v/>
      </c>
      <c r="N58" s="734"/>
      <c r="O58" s="742" t="str">
        <f t="shared" si="18"/>
        <v/>
      </c>
      <c r="P58" s="743" t="str">
        <f t="shared" si="19"/>
        <v/>
      </c>
      <c r="Q58" s="747">
        <f t="shared" si="23"/>
        <v>0.61</v>
      </c>
      <c r="R58" s="743">
        <f t="shared" si="24"/>
        <v>0</v>
      </c>
      <c r="S58" s="743">
        <f>IF(L58="",0,O58*12*L58*IF(OR(I58&lt;=8,I58="LIOa",I58="LIOb",I58="ID1",I58="ID2",I58="ID3"),1+tab!D$72,1+tab!D$70))</f>
        <v>0</v>
      </c>
      <c r="T58" s="744">
        <f t="shared" si="20"/>
        <v>0</v>
      </c>
      <c r="U58" s="745">
        <f t="shared" si="25"/>
        <v>0</v>
      </c>
      <c r="V58" s="746">
        <f t="shared" si="21"/>
        <v>0</v>
      </c>
      <c r="W58" s="734"/>
      <c r="X58" s="161"/>
      <c r="AA58" s="139"/>
      <c r="AJ58" s="139"/>
      <c r="AT58" s="135"/>
    </row>
    <row r="59" spans="2:46" x14ac:dyDescent="0.2">
      <c r="B59" s="157"/>
      <c r="C59" s="499"/>
      <c r="D59" s="523" t="str">
        <f t="shared" si="10"/>
        <v/>
      </c>
      <c r="E59" s="523" t="str">
        <f t="shared" si="11"/>
        <v/>
      </c>
      <c r="F59" s="523" t="str">
        <f t="shared" si="12"/>
        <v/>
      </c>
      <c r="G59" s="517" t="str">
        <f t="shared" si="13"/>
        <v/>
      </c>
      <c r="H59" s="748" t="str">
        <f t="shared" si="14"/>
        <v/>
      </c>
      <c r="I59" s="517" t="str">
        <f t="shared" si="15"/>
        <v/>
      </c>
      <c r="J59" s="517" t="str">
        <f t="shared" si="16"/>
        <v/>
      </c>
      <c r="K59" s="749" t="str">
        <f t="shared" si="17"/>
        <v/>
      </c>
      <c r="L59" s="518" t="str">
        <f t="shared" si="17"/>
        <v/>
      </c>
      <c r="M59" s="741" t="str">
        <f t="shared" si="22"/>
        <v/>
      </c>
      <c r="N59" s="734"/>
      <c r="O59" s="742" t="str">
        <f t="shared" si="18"/>
        <v/>
      </c>
      <c r="P59" s="743" t="str">
        <f t="shared" si="19"/>
        <v/>
      </c>
      <c r="Q59" s="747">
        <f t="shared" si="23"/>
        <v>0.61</v>
      </c>
      <c r="R59" s="743">
        <f t="shared" si="24"/>
        <v>0</v>
      </c>
      <c r="S59" s="743">
        <f>IF(L59="",0,O59*12*L59*IF(OR(I59&lt;=8,I59="LIOa",I59="LIOb",I59="ID1",I59="ID2",I59="ID3"),1+tab!D$72,1+tab!D$70))</f>
        <v>0</v>
      </c>
      <c r="T59" s="744">
        <f t="shared" si="20"/>
        <v>0</v>
      </c>
      <c r="U59" s="745">
        <f t="shared" si="25"/>
        <v>0</v>
      </c>
      <c r="V59" s="746">
        <f t="shared" si="21"/>
        <v>0</v>
      </c>
      <c r="W59" s="734"/>
      <c r="X59" s="161"/>
      <c r="AA59" s="139"/>
      <c r="AJ59" s="139"/>
      <c r="AT59" s="135"/>
    </row>
    <row r="60" spans="2:46" x14ac:dyDescent="0.2">
      <c r="B60" s="157"/>
      <c r="C60" s="499"/>
      <c r="D60" s="523" t="str">
        <f t="shared" si="10"/>
        <v/>
      </c>
      <c r="E60" s="523" t="str">
        <f t="shared" si="11"/>
        <v/>
      </c>
      <c r="F60" s="523" t="str">
        <f t="shared" si="12"/>
        <v/>
      </c>
      <c r="G60" s="517" t="str">
        <f t="shared" si="13"/>
        <v/>
      </c>
      <c r="H60" s="748" t="str">
        <f t="shared" si="14"/>
        <v/>
      </c>
      <c r="I60" s="517" t="str">
        <f t="shared" si="15"/>
        <v/>
      </c>
      <c r="J60" s="517" t="str">
        <f t="shared" si="16"/>
        <v/>
      </c>
      <c r="K60" s="749" t="str">
        <f t="shared" ref="K60:L62" si="26">IF(K28="","",K28)</f>
        <v/>
      </c>
      <c r="L60" s="518" t="str">
        <f t="shared" si="26"/>
        <v/>
      </c>
      <c r="M60" s="741" t="str">
        <f t="shared" si="22"/>
        <v/>
      </c>
      <c r="N60" s="734"/>
      <c r="O60" s="742" t="str">
        <f t="shared" si="18"/>
        <v/>
      </c>
      <c r="P60" s="743" t="str">
        <f t="shared" si="19"/>
        <v/>
      </c>
      <c r="Q60" s="747">
        <f t="shared" si="23"/>
        <v>0.61</v>
      </c>
      <c r="R60" s="743">
        <f t="shared" si="24"/>
        <v>0</v>
      </c>
      <c r="S60" s="743">
        <f>IF(L60="",0,O60*12*L60*IF(OR(I60&lt;=8,I60="LIOa",I60="LIOb",I60="ID1",I60="ID2",I60="ID3"),1+tab!D$72,1+tab!D$70))</f>
        <v>0</v>
      </c>
      <c r="T60" s="744">
        <f t="shared" si="20"/>
        <v>0</v>
      </c>
      <c r="U60" s="745">
        <f t="shared" si="25"/>
        <v>0</v>
      </c>
      <c r="V60" s="746">
        <f t="shared" si="21"/>
        <v>0</v>
      </c>
      <c r="W60" s="734"/>
      <c r="X60" s="161"/>
      <c r="AA60" s="139"/>
      <c r="AJ60" s="139"/>
      <c r="AT60" s="135"/>
    </row>
    <row r="61" spans="2:46" x14ac:dyDescent="0.2">
      <c r="B61" s="157"/>
      <c r="C61" s="499"/>
      <c r="D61" s="523" t="str">
        <f t="shared" si="10"/>
        <v/>
      </c>
      <c r="E61" s="523" t="str">
        <f t="shared" si="11"/>
        <v/>
      </c>
      <c r="F61" s="523" t="str">
        <f t="shared" si="12"/>
        <v/>
      </c>
      <c r="G61" s="517" t="str">
        <f t="shared" si="13"/>
        <v/>
      </c>
      <c r="H61" s="748" t="str">
        <f t="shared" si="14"/>
        <v/>
      </c>
      <c r="I61" s="517" t="str">
        <f t="shared" si="15"/>
        <v/>
      </c>
      <c r="J61" s="517" t="str">
        <f t="shared" si="16"/>
        <v/>
      </c>
      <c r="K61" s="749" t="str">
        <f t="shared" si="26"/>
        <v/>
      </c>
      <c r="L61" s="518" t="str">
        <f t="shared" si="26"/>
        <v/>
      </c>
      <c r="M61" s="741" t="str">
        <f t="shared" si="22"/>
        <v/>
      </c>
      <c r="N61" s="734"/>
      <c r="O61" s="742" t="str">
        <f t="shared" si="18"/>
        <v/>
      </c>
      <c r="P61" s="743" t="str">
        <f t="shared" si="19"/>
        <v/>
      </c>
      <c r="Q61" s="747">
        <f t="shared" si="23"/>
        <v>0.61</v>
      </c>
      <c r="R61" s="743">
        <f t="shared" si="24"/>
        <v>0</v>
      </c>
      <c r="S61" s="743">
        <f>IF(L61="",0,O61*12*L61*IF(OR(I61&lt;=8,I61="LIOa",I61="LIOb",I61="ID1",I61="ID2",I61="ID3"),1+tab!D$72,1+tab!D$70))</f>
        <v>0</v>
      </c>
      <c r="T61" s="744">
        <f t="shared" si="20"/>
        <v>0</v>
      </c>
      <c r="U61" s="745">
        <f t="shared" si="25"/>
        <v>0</v>
      </c>
      <c r="V61" s="746">
        <f t="shared" si="21"/>
        <v>0</v>
      </c>
      <c r="W61" s="734"/>
      <c r="X61" s="161"/>
      <c r="AA61" s="139"/>
      <c r="AJ61" s="139"/>
      <c r="AT61" s="135"/>
    </row>
    <row r="62" spans="2:46" x14ac:dyDescent="0.2">
      <c r="B62" s="157"/>
      <c r="C62" s="499"/>
      <c r="D62" s="523" t="str">
        <f t="shared" si="10"/>
        <v/>
      </c>
      <c r="E62" s="523" t="str">
        <f t="shared" si="11"/>
        <v/>
      </c>
      <c r="F62" s="523" t="str">
        <f t="shared" si="12"/>
        <v/>
      </c>
      <c r="G62" s="517" t="str">
        <f t="shared" si="13"/>
        <v/>
      </c>
      <c r="H62" s="748" t="str">
        <f t="shared" si="14"/>
        <v/>
      </c>
      <c r="I62" s="517" t="str">
        <f t="shared" si="15"/>
        <v/>
      </c>
      <c r="J62" s="517" t="str">
        <f t="shared" si="16"/>
        <v/>
      </c>
      <c r="K62" s="749" t="str">
        <f t="shared" si="26"/>
        <v/>
      </c>
      <c r="L62" s="518" t="str">
        <f t="shared" si="26"/>
        <v/>
      </c>
      <c r="M62" s="741" t="str">
        <f t="shared" si="22"/>
        <v/>
      </c>
      <c r="N62" s="734"/>
      <c r="O62" s="742" t="str">
        <f t="shared" si="18"/>
        <v/>
      </c>
      <c r="P62" s="743" t="str">
        <f t="shared" si="19"/>
        <v/>
      </c>
      <c r="Q62" s="747">
        <f t="shared" si="23"/>
        <v>0.61</v>
      </c>
      <c r="R62" s="743">
        <f t="shared" si="24"/>
        <v>0</v>
      </c>
      <c r="S62" s="743">
        <f>IF(L62="",0,O62*12*L62*IF(OR(I62&lt;=8,I62="LIOa",I62="LIOb",I62="ID1",I62="ID2",I62="ID3"),1+tab!D$72,1+tab!D$70))</f>
        <v>0</v>
      </c>
      <c r="T62" s="744">
        <f t="shared" si="20"/>
        <v>0</v>
      </c>
      <c r="U62" s="745">
        <f t="shared" si="25"/>
        <v>0</v>
      </c>
      <c r="V62" s="746">
        <f t="shared" si="21"/>
        <v>0</v>
      </c>
      <c r="W62" s="734"/>
      <c r="X62" s="161"/>
      <c r="AA62" s="139"/>
      <c r="AJ62" s="139"/>
      <c r="AT62" s="135"/>
    </row>
    <row r="63" spans="2:46" x14ac:dyDescent="0.2">
      <c r="B63" s="157"/>
      <c r="C63" s="499"/>
      <c r="D63" s="523" t="str">
        <f t="shared" si="10"/>
        <v/>
      </c>
      <c r="E63" s="523" t="str">
        <f t="shared" si="11"/>
        <v/>
      </c>
      <c r="F63" s="523" t="str">
        <f t="shared" si="12"/>
        <v/>
      </c>
      <c r="G63" s="517" t="str">
        <f t="shared" si="13"/>
        <v/>
      </c>
      <c r="H63" s="748" t="str">
        <f t="shared" si="14"/>
        <v/>
      </c>
      <c r="I63" s="517" t="str">
        <f t="shared" si="15"/>
        <v/>
      </c>
      <c r="J63" s="517" t="str">
        <f t="shared" si="16"/>
        <v/>
      </c>
      <c r="K63" s="749" t="str">
        <f t="shared" ref="K63:L67" si="27">IF(K31="","",K31)</f>
        <v/>
      </c>
      <c r="L63" s="518" t="str">
        <f t="shared" si="27"/>
        <v/>
      </c>
      <c r="M63" s="741" t="str">
        <f t="shared" si="22"/>
        <v/>
      </c>
      <c r="N63" s="734"/>
      <c r="O63" s="742" t="str">
        <f t="shared" si="18"/>
        <v/>
      </c>
      <c r="P63" s="743" t="str">
        <f t="shared" si="19"/>
        <v/>
      </c>
      <c r="Q63" s="747">
        <f t="shared" si="23"/>
        <v>0.61</v>
      </c>
      <c r="R63" s="743">
        <f t="shared" si="24"/>
        <v>0</v>
      </c>
      <c r="S63" s="743">
        <f>IF(L63="",0,O63*12*L63*IF(OR(I63&lt;=8,I63="LIOa",I63="LIOb",I63="ID1",I63="ID2",I63="ID3"),1+tab!D$72,1+tab!D$70))</f>
        <v>0</v>
      </c>
      <c r="T63" s="744">
        <f t="shared" si="20"/>
        <v>0</v>
      </c>
      <c r="U63" s="745">
        <f t="shared" si="25"/>
        <v>0</v>
      </c>
      <c r="V63" s="746">
        <f t="shared" si="21"/>
        <v>0</v>
      </c>
      <c r="W63" s="734"/>
      <c r="X63" s="161"/>
      <c r="AA63" s="139"/>
      <c r="AJ63" s="139"/>
      <c r="AT63" s="135"/>
    </row>
    <row r="64" spans="2:46" x14ac:dyDescent="0.2">
      <c r="B64" s="157"/>
      <c r="C64" s="499"/>
      <c r="D64" s="523" t="str">
        <f t="shared" si="10"/>
        <v/>
      </c>
      <c r="E64" s="523" t="str">
        <f t="shared" si="11"/>
        <v/>
      </c>
      <c r="F64" s="523" t="str">
        <f t="shared" si="12"/>
        <v/>
      </c>
      <c r="G64" s="517" t="str">
        <f t="shared" si="13"/>
        <v/>
      </c>
      <c r="H64" s="748" t="str">
        <f t="shared" si="14"/>
        <v/>
      </c>
      <c r="I64" s="517" t="str">
        <f t="shared" si="15"/>
        <v/>
      </c>
      <c r="J64" s="517" t="str">
        <f t="shared" si="16"/>
        <v/>
      </c>
      <c r="K64" s="749" t="str">
        <f t="shared" si="27"/>
        <v/>
      </c>
      <c r="L64" s="518" t="str">
        <f t="shared" si="27"/>
        <v/>
      </c>
      <c r="M64" s="741" t="str">
        <f t="shared" si="22"/>
        <v/>
      </c>
      <c r="N64" s="734"/>
      <c r="O64" s="742" t="str">
        <f t="shared" si="18"/>
        <v/>
      </c>
      <c r="P64" s="743" t="str">
        <f t="shared" si="19"/>
        <v/>
      </c>
      <c r="Q64" s="747">
        <f t="shared" si="23"/>
        <v>0.61</v>
      </c>
      <c r="R64" s="743">
        <f t="shared" si="24"/>
        <v>0</v>
      </c>
      <c r="S64" s="743">
        <f>IF(L64="",0,O64*12*L64*IF(OR(I64&lt;=8,I64="LIOa",I64="LIOb",I64="ID1",I64="ID2",I64="ID3"),1+tab!D$72,1+tab!D$70))</f>
        <v>0</v>
      </c>
      <c r="T64" s="744">
        <f t="shared" si="20"/>
        <v>0</v>
      </c>
      <c r="U64" s="745">
        <f t="shared" si="25"/>
        <v>0</v>
      </c>
      <c r="V64" s="746">
        <f t="shared" si="21"/>
        <v>0</v>
      </c>
      <c r="W64" s="734"/>
      <c r="X64" s="161"/>
      <c r="AA64" s="139"/>
      <c r="AJ64" s="139"/>
      <c r="AT64" s="135"/>
    </row>
    <row r="65" spans="2:46" x14ac:dyDescent="0.2">
      <c r="B65" s="157"/>
      <c r="C65" s="499"/>
      <c r="D65" s="523" t="str">
        <f t="shared" si="10"/>
        <v/>
      </c>
      <c r="E65" s="523" t="str">
        <f t="shared" si="11"/>
        <v/>
      </c>
      <c r="F65" s="523" t="str">
        <f t="shared" si="12"/>
        <v/>
      </c>
      <c r="G65" s="517" t="str">
        <f t="shared" si="13"/>
        <v/>
      </c>
      <c r="H65" s="748" t="str">
        <f t="shared" si="14"/>
        <v/>
      </c>
      <c r="I65" s="517" t="str">
        <f t="shared" si="15"/>
        <v/>
      </c>
      <c r="J65" s="517" t="str">
        <f t="shared" si="16"/>
        <v/>
      </c>
      <c r="K65" s="749" t="str">
        <f t="shared" si="27"/>
        <v/>
      </c>
      <c r="L65" s="518" t="str">
        <f t="shared" si="27"/>
        <v/>
      </c>
      <c r="M65" s="741" t="str">
        <f t="shared" si="22"/>
        <v/>
      </c>
      <c r="N65" s="734"/>
      <c r="O65" s="742" t="str">
        <f t="shared" si="18"/>
        <v/>
      </c>
      <c r="P65" s="743" t="str">
        <f t="shared" si="19"/>
        <v/>
      </c>
      <c r="Q65" s="747">
        <f t="shared" si="23"/>
        <v>0.61</v>
      </c>
      <c r="R65" s="743">
        <f t="shared" si="24"/>
        <v>0</v>
      </c>
      <c r="S65" s="743">
        <f>IF(L65="",0,O65*12*L65*IF(OR(I65&lt;=8,I65="LIOa",I65="LIOb",I65="ID1",I65="ID2",I65="ID3"),1+tab!D$72,1+tab!D$70))</f>
        <v>0</v>
      </c>
      <c r="T65" s="744">
        <f t="shared" si="20"/>
        <v>0</v>
      </c>
      <c r="U65" s="745">
        <f t="shared" si="25"/>
        <v>0</v>
      </c>
      <c r="V65" s="746">
        <f t="shared" si="21"/>
        <v>0</v>
      </c>
      <c r="W65" s="734"/>
      <c r="X65" s="161"/>
      <c r="AA65" s="139"/>
      <c r="AJ65" s="139"/>
      <c r="AT65" s="135"/>
    </row>
    <row r="66" spans="2:46" x14ac:dyDescent="0.2">
      <c r="B66" s="157"/>
      <c r="C66" s="499"/>
      <c r="D66" s="523" t="str">
        <f t="shared" si="10"/>
        <v/>
      </c>
      <c r="E66" s="523" t="str">
        <f t="shared" si="11"/>
        <v/>
      </c>
      <c r="F66" s="523" t="str">
        <f t="shared" si="12"/>
        <v/>
      </c>
      <c r="G66" s="517" t="str">
        <f t="shared" si="13"/>
        <v/>
      </c>
      <c r="H66" s="748" t="str">
        <f t="shared" si="14"/>
        <v/>
      </c>
      <c r="I66" s="517" t="str">
        <f t="shared" si="15"/>
        <v/>
      </c>
      <c r="J66" s="517" t="str">
        <f t="shared" si="16"/>
        <v/>
      </c>
      <c r="K66" s="749" t="str">
        <f t="shared" si="27"/>
        <v/>
      </c>
      <c r="L66" s="518" t="str">
        <f t="shared" si="27"/>
        <v/>
      </c>
      <c r="M66" s="741" t="str">
        <f t="shared" si="22"/>
        <v/>
      </c>
      <c r="N66" s="734"/>
      <c r="O66" s="742" t="str">
        <f t="shared" si="18"/>
        <v/>
      </c>
      <c r="P66" s="743" t="str">
        <f t="shared" si="19"/>
        <v/>
      </c>
      <c r="Q66" s="747">
        <f t="shared" si="23"/>
        <v>0.61</v>
      </c>
      <c r="R66" s="743">
        <f t="shared" si="24"/>
        <v>0</v>
      </c>
      <c r="S66" s="743">
        <f>IF(L66="",0,O66*12*L66*IF(OR(I66&lt;=8,I66="LIOa",I66="LIOb",I66="ID1",I66="ID2",I66="ID3"),1+tab!D$72,1+tab!D$70))</f>
        <v>0</v>
      </c>
      <c r="T66" s="744">
        <f t="shared" si="20"/>
        <v>0</v>
      </c>
      <c r="U66" s="745">
        <f t="shared" si="25"/>
        <v>0</v>
      </c>
      <c r="V66" s="746">
        <f t="shared" si="21"/>
        <v>0</v>
      </c>
      <c r="W66" s="734"/>
      <c r="X66" s="161"/>
      <c r="AA66" s="139"/>
      <c r="AJ66" s="139"/>
      <c r="AT66" s="135"/>
    </row>
    <row r="67" spans="2:46" x14ac:dyDescent="0.2">
      <c r="B67" s="157"/>
      <c r="C67" s="499"/>
      <c r="D67" s="523" t="str">
        <f t="shared" si="10"/>
        <v/>
      </c>
      <c r="E67" s="523" t="str">
        <f t="shared" si="11"/>
        <v/>
      </c>
      <c r="F67" s="523" t="str">
        <f t="shared" si="12"/>
        <v/>
      </c>
      <c r="G67" s="517" t="str">
        <f t="shared" si="13"/>
        <v/>
      </c>
      <c r="H67" s="748" t="str">
        <f t="shared" si="14"/>
        <v/>
      </c>
      <c r="I67" s="517" t="str">
        <f t="shared" si="15"/>
        <v/>
      </c>
      <c r="J67" s="517" t="str">
        <f t="shared" si="16"/>
        <v/>
      </c>
      <c r="K67" s="749" t="str">
        <f t="shared" si="27"/>
        <v/>
      </c>
      <c r="L67" s="518" t="str">
        <f t="shared" si="27"/>
        <v/>
      </c>
      <c r="M67" s="741" t="str">
        <f t="shared" si="22"/>
        <v/>
      </c>
      <c r="N67" s="734"/>
      <c r="O67" s="742" t="str">
        <f t="shared" si="18"/>
        <v/>
      </c>
      <c r="P67" s="743" t="str">
        <f t="shared" si="19"/>
        <v/>
      </c>
      <c r="Q67" s="747">
        <f t="shared" si="23"/>
        <v>0.61</v>
      </c>
      <c r="R67" s="743">
        <f t="shared" si="24"/>
        <v>0</v>
      </c>
      <c r="S67" s="743">
        <f>IF(L67="",0,O67*12*L67*IF(OR(I67&lt;=8,I67="LIOa",I67="LIOb",I67="ID1",I67="ID2",I67="ID3"),1+tab!D$72,1+tab!D$70))</f>
        <v>0</v>
      </c>
      <c r="T67" s="744">
        <f t="shared" si="20"/>
        <v>0</v>
      </c>
      <c r="U67" s="745">
        <f t="shared" si="25"/>
        <v>0</v>
      </c>
      <c r="V67" s="746">
        <f t="shared" si="21"/>
        <v>0</v>
      </c>
      <c r="W67" s="734"/>
      <c r="X67" s="161"/>
      <c r="AA67" s="139"/>
      <c r="AJ67" s="139"/>
      <c r="AT67" s="135"/>
    </row>
    <row r="68" spans="2:46" x14ac:dyDescent="0.2">
      <c r="B68" s="157"/>
      <c r="C68" s="499"/>
      <c r="D68" s="735"/>
      <c r="E68" s="735"/>
      <c r="F68" s="735"/>
      <c r="G68" s="691"/>
      <c r="H68" s="736"/>
      <c r="I68" s="691"/>
      <c r="J68" s="737"/>
      <c r="K68" s="750">
        <f>SUM(K48:K67)</f>
        <v>0</v>
      </c>
      <c r="L68" s="750">
        <f>SUM(L48:L67)</f>
        <v>0</v>
      </c>
      <c r="M68" s="750">
        <f>SUM(M48:M67)</f>
        <v>0</v>
      </c>
      <c r="N68" s="738"/>
      <c r="O68" s="751">
        <f t="shared" ref="O68:V68" si="28">SUM(O48:O67)</f>
        <v>0</v>
      </c>
      <c r="P68" s="751">
        <f t="shared" si="28"/>
        <v>0</v>
      </c>
      <c r="Q68" s="739"/>
      <c r="R68" s="751">
        <f t="shared" si="28"/>
        <v>0</v>
      </c>
      <c r="S68" s="751">
        <f t="shared" si="28"/>
        <v>0</v>
      </c>
      <c r="T68" s="751">
        <f t="shared" si="28"/>
        <v>0</v>
      </c>
      <c r="U68" s="752">
        <f t="shared" si="28"/>
        <v>0</v>
      </c>
      <c r="V68" s="753">
        <f t="shared" si="28"/>
        <v>0</v>
      </c>
      <c r="W68" s="699"/>
      <c r="X68" s="161"/>
      <c r="AT68" s="135"/>
    </row>
    <row r="69" spans="2:46" x14ac:dyDescent="0.2">
      <c r="B69" s="157"/>
      <c r="C69" s="499"/>
      <c r="D69" s="695"/>
      <c r="E69" s="695"/>
      <c r="F69" s="695"/>
      <c r="G69" s="681"/>
      <c r="H69" s="686"/>
      <c r="I69" s="681"/>
      <c r="J69" s="699"/>
      <c r="K69" s="700"/>
      <c r="L69" s="699"/>
      <c r="M69" s="700"/>
      <c r="N69" s="699"/>
      <c r="O69" s="699"/>
      <c r="P69" s="739"/>
      <c r="Q69" s="739"/>
      <c r="R69" s="739"/>
      <c r="S69" s="739"/>
      <c r="T69" s="703"/>
      <c r="U69" s="740"/>
      <c r="V69" s="615"/>
      <c r="W69" s="699"/>
      <c r="X69" s="161"/>
    </row>
    <row r="70" spans="2:46" ht="12.75" customHeight="1" x14ac:dyDescent="0.2">
      <c r="B70" s="172"/>
      <c r="C70" s="173"/>
      <c r="D70" s="252"/>
      <c r="E70" s="252"/>
      <c r="F70" s="252"/>
      <c r="G70" s="174"/>
      <c r="H70" s="253"/>
      <c r="I70" s="174"/>
      <c r="J70" s="254"/>
      <c r="K70" s="255"/>
      <c r="L70" s="256"/>
      <c r="M70" s="256"/>
      <c r="N70" s="173"/>
      <c r="O70" s="257"/>
      <c r="P70" s="258"/>
      <c r="Q70" s="258"/>
      <c r="R70" s="258"/>
      <c r="S70" s="258"/>
      <c r="T70" s="439"/>
      <c r="U70" s="259"/>
      <c r="V70" s="451"/>
      <c r="W70" s="173"/>
      <c r="X70" s="176"/>
      <c r="AT70" s="35"/>
    </row>
    <row r="71" spans="2:46" ht="12.75" customHeight="1" x14ac:dyDescent="0.2">
      <c r="I71" s="36"/>
      <c r="K71" s="136"/>
      <c r="L71" s="93"/>
      <c r="M71" s="93"/>
      <c r="O71" s="137"/>
      <c r="P71" s="133"/>
      <c r="Q71" s="133"/>
      <c r="R71" s="133"/>
      <c r="S71" s="133"/>
      <c r="T71" s="440"/>
      <c r="U71" s="138"/>
      <c r="V71" s="132"/>
    </row>
    <row r="72" spans="2:46" ht="12.75" hidden="1" customHeight="1" x14ac:dyDescent="0.2">
      <c r="I72" s="36"/>
      <c r="K72" s="136"/>
      <c r="L72" s="93"/>
      <c r="M72" s="93"/>
      <c r="O72" s="137"/>
      <c r="P72" s="133"/>
      <c r="Q72" s="133"/>
      <c r="R72" s="133"/>
      <c r="S72" s="133"/>
      <c r="T72" s="440"/>
      <c r="U72" s="138"/>
      <c r="V72" s="132"/>
    </row>
    <row r="73" spans="2:46" ht="12.75" hidden="1" customHeight="1" x14ac:dyDescent="0.2">
      <c r="C73" s="34" t="s">
        <v>153</v>
      </c>
      <c r="E73" s="112" t="str">
        <f>tab!E2</f>
        <v>2014/15</v>
      </c>
      <c r="I73" s="36"/>
      <c r="K73" s="136"/>
      <c r="L73" s="93"/>
      <c r="M73" s="93"/>
      <c r="O73" s="137"/>
      <c r="P73" s="133"/>
      <c r="Q73" s="133"/>
      <c r="R73" s="133"/>
      <c r="S73" s="133"/>
      <c r="T73" s="440"/>
      <c r="U73" s="138"/>
      <c r="V73" s="132"/>
    </row>
    <row r="74" spans="2:46" ht="12.75" hidden="1" customHeight="1" x14ac:dyDescent="0.2">
      <c r="C74" s="34" t="s">
        <v>154</v>
      </c>
      <c r="E74" s="112">
        <f>tab!F3</f>
        <v>41913</v>
      </c>
      <c r="I74" s="36"/>
      <c r="K74" s="136"/>
      <c r="L74" s="93"/>
      <c r="M74" s="93"/>
      <c r="O74" s="137"/>
      <c r="P74" s="133"/>
      <c r="Q74" s="133"/>
      <c r="R74" s="133"/>
      <c r="S74" s="133"/>
      <c r="T74" s="440"/>
      <c r="U74" s="138"/>
      <c r="V74" s="132"/>
    </row>
    <row r="75" spans="2:46" ht="12.75" hidden="1" customHeight="1" x14ac:dyDescent="0.2">
      <c r="I75" s="36"/>
      <c r="K75" s="136"/>
      <c r="L75" s="93"/>
      <c r="M75" s="93"/>
      <c r="O75" s="137"/>
      <c r="P75" s="133"/>
      <c r="Q75" s="133"/>
      <c r="R75" s="133"/>
      <c r="S75" s="133"/>
      <c r="T75" s="440"/>
      <c r="U75" s="138"/>
      <c r="V75" s="132"/>
    </row>
    <row r="76" spans="2:46" ht="12.75" hidden="1" customHeight="1" x14ac:dyDescent="0.2">
      <c r="E76" s="69"/>
      <c r="AC76" s="113"/>
      <c r="AD76" s="114"/>
      <c r="AE76" s="113"/>
      <c r="AF76" s="113"/>
      <c r="AG76" s="113"/>
      <c r="AH76" s="104"/>
      <c r="AI76" s="115"/>
      <c r="AJ76" s="116"/>
      <c r="AK76" s="117"/>
      <c r="AL76" s="118"/>
      <c r="AM76" s="115"/>
    </row>
    <row r="77" spans="2:46" ht="12.75" hidden="1" customHeight="1" x14ac:dyDescent="0.2">
      <c r="C77" s="48"/>
      <c r="D77" s="870" t="s">
        <v>155</v>
      </c>
      <c r="E77" s="870"/>
      <c r="F77" s="870"/>
      <c r="G77" s="870"/>
      <c r="H77" s="870"/>
      <c r="I77" s="870"/>
      <c r="J77" s="870"/>
      <c r="K77" s="870"/>
      <c r="L77" s="870"/>
      <c r="M77" s="870"/>
      <c r="N77" s="277"/>
      <c r="O77" s="867" t="s">
        <v>428</v>
      </c>
      <c r="P77" s="868"/>
      <c r="Q77" s="868"/>
      <c r="R77" s="868"/>
      <c r="S77" s="868"/>
      <c r="T77" s="869"/>
      <c r="U77" s="278"/>
      <c r="V77" s="445"/>
      <c r="W77" s="119"/>
      <c r="X77" s="130"/>
      <c r="Y77" s="130"/>
      <c r="Z77" s="93"/>
      <c r="AA77" s="140"/>
      <c r="AB77" s="93"/>
      <c r="AC77" s="34"/>
      <c r="AD77" s="34"/>
      <c r="AL77" s="34"/>
      <c r="AM77" s="34"/>
      <c r="AN77" s="130"/>
      <c r="AO77" s="130"/>
    </row>
    <row r="78" spans="2:46" ht="12.75" hidden="1" customHeight="1" x14ac:dyDescent="0.2">
      <c r="C78" s="48"/>
      <c r="D78" s="279" t="s">
        <v>156</v>
      </c>
      <c r="E78" s="279" t="s">
        <v>157</v>
      </c>
      <c r="F78" s="279" t="s">
        <v>158</v>
      </c>
      <c r="G78" s="280" t="s">
        <v>159</v>
      </c>
      <c r="H78" s="281" t="s">
        <v>160</v>
      </c>
      <c r="I78" s="280" t="s">
        <v>111</v>
      </c>
      <c r="J78" s="280" t="s">
        <v>161</v>
      </c>
      <c r="K78" s="282" t="s">
        <v>163</v>
      </c>
      <c r="L78" s="283" t="s">
        <v>164</v>
      </c>
      <c r="M78" s="282" t="s">
        <v>163</v>
      </c>
      <c r="N78" s="284"/>
      <c r="O78" s="294" t="s">
        <v>162</v>
      </c>
      <c r="P78" s="294" t="s">
        <v>429</v>
      </c>
      <c r="Q78" s="294" t="s">
        <v>165</v>
      </c>
      <c r="R78" s="284"/>
      <c r="S78" s="295" t="s">
        <v>164</v>
      </c>
      <c r="T78" s="427" t="s">
        <v>166</v>
      </c>
      <c r="U78" s="428" t="s">
        <v>168</v>
      </c>
      <c r="V78" s="358" t="s">
        <v>445</v>
      </c>
      <c r="W78" s="72"/>
      <c r="X78" s="128"/>
      <c r="Y78" s="128"/>
      <c r="Z78" s="126"/>
      <c r="AA78" s="127"/>
      <c r="AB78" s="126"/>
      <c r="AC78" s="34"/>
      <c r="AD78" s="34"/>
      <c r="AL78" s="34"/>
      <c r="AM78" s="34"/>
      <c r="AN78" s="130"/>
      <c r="AO78" s="128"/>
    </row>
    <row r="79" spans="2:46" ht="12.75" hidden="1" customHeight="1" x14ac:dyDescent="0.2">
      <c r="C79" s="48"/>
      <c r="D79" s="285"/>
      <c r="E79" s="279"/>
      <c r="F79" s="286"/>
      <c r="G79" s="280" t="s">
        <v>170</v>
      </c>
      <c r="H79" s="281" t="s">
        <v>171</v>
      </c>
      <c r="I79" s="280"/>
      <c r="J79" s="280"/>
      <c r="K79" s="282" t="s">
        <v>173</v>
      </c>
      <c r="L79" s="283"/>
      <c r="M79" s="282" t="s">
        <v>174</v>
      </c>
      <c r="N79" s="284"/>
      <c r="O79" s="294" t="s">
        <v>172</v>
      </c>
      <c r="P79" s="294" t="s">
        <v>430</v>
      </c>
      <c r="Q79" s="454">
        <f>tab!D68</f>
        <v>0.61</v>
      </c>
      <c r="R79" s="284" t="s">
        <v>446</v>
      </c>
      <c r="S79" s="295" t="s">
        <v>167</v>
      </c>
      <c r="T79" s="427" t="s">
        <v>54</v>
      </c>
      <c r="U79" s="428"/>
      <c r="V79" s="295" t="s">
        <v>167</v>
      </c>
      <c r="W79" s="48"/>
      <c r="AC79" s="34"/>
      <c r="AD79" s="34"/>
      <c r="AL79" s="34"/>
      <c r="AM79" s="34"/>
      <c r="AO79" s="133"/>
    </row>
    <row r="80" spans="2:46" ht="12.75" hidden="1" customHeight="1" x14ac:dyDescent="0.2">
      <c r="I80" s="74"/>
      <c r="J80" s="74"/>
      <c r="K80" s="126"/>
      <c r="L80" s="127"/>
      <c r="M80" s="126"/>
      <c r="N80" s="128"/>
      <c r="O80" s="129"/>
      <c r="P80" s="130"/>
      <c r="Q80" s="456"/>
      <c r="R80" s="130"/>
      <c r="S80" s="130"/>
      <c r="T80" s="434"/>
      <c r="U80" s="131"/>
      <c r="V80" s="132"/>
      <c r="W80" s="128"/>
      <c r="AC80" s="34"/>
      <c r="AD80" s="34"/>
      <c r="AL80" s="34"/>
      <c r="AM80" s="34"/>
      <c r="AO80" s="133"/>
    </row>
    <row r="81" spans="3:36" ht="12.75" hidden="1" customHeight="1" x14ac:dyDescent="0.2">
      <c r="C81" s="177"/>
      <c r="D81" s="287" t="str">
        <f t="shared" ref="D81:F92" si="29">IF(D48=0,"",D48)</f>
        <v/>
      </c>
      <c r="E81" s="287" t="str">
        <f t="shared" si="29"/>
        <v/>
      </c>
      <c r="F81" s="287" t="str">
        <f t="shared" si="29"/>
        <v/>
      </c>
      <c r="G81" s="288" t="str">
        <f t="shared" ref="G81:G100" si="30">IF(G48="","",G48+1)</f>
        <v/>
      </c>
      <c r="H81" s="289" t="str">
        <f t="shared" ref="H81:H100" si="31">IF(H48=0,"",H48)</f>
        <v/>
      </c>
      <c r="I81" s="288" t="str">
        <f>IF(I48=0,"",I48)</f>
        <v/>
      </c>
      <c r="J81" s="288" t="str">
        <f t="shared" ref="J81:J100" si="32">IF(E81="","",(IF((J48+1)&gt;VLOOKUP(I81,tabelsalaris,23,FALSE),J48,J48+1)))</f>
        <v/>
      </c>
      <c r="K81" s="290" t="str">
        <f t="shared" ref="K81:L92" si="33">IF(K48="","",K48)</f>
        <v/>
      </c>
      <c r="L81" s="291" t="str">
        <f t="shared" si="33"/>
        <v/>
      </c>
      <c r="M81" s="292" t="str">
        <f>IF(L81="",K81,K81-L81)</f>
        <v/>
      </c>
      <c r="N81" s="260"/>
      <c r="O81" s="296" t="str">
        <f t="shared" ref="O81:O100" si="34">IF(I81="","",VLOOKUP(I81,tabelsalaris,J81+2,FALSE))</f>
        <v/>
      </c>
      <c r="P81" s="297" t="str">
        <f t="shared" ref="P81:P100" si="35">IF(E81="","",(O81*M81*12))</f>
        <v/>
      </c>
      <c r="Q81" s="455">
        <f>$Q$79</f>
        <v>0.61</v>
      </c>
      <c r="R81" s="297" t="e">
        <f t="shared" ref="R81:R100" si="36">IF(E81=0,"",+P81*Q81)</f>
        <v>#VALUE!</v>
      </c>
      <c r="S81" s="297">
        <f>IF(L81="",0,O81*12*L81*IF(OR(I81&lt;=8,I81="LIOa",I81="LIOb",I81="ID1",I81="ID2",I81="ID3"),1+tab!D$72,1+tab!D$70))</f>
        <v>0</v>
      </c>
      <c r="T81" s="435">
        <f t="shared" ref="T81:T100" si="37">IF(E81="",0,(P81+R81+S81))</f>
        <v>0</v>
      </c>
      <c r="U81" s="300">
        <f>IF(G81&lt;25,0,IF(G81=25,25,IF(G81&lt;40,0,IF(G81=40,40,IF(G81&gt;=40,0)))))</f>
        <v>0</v>
      </c>
      <c r="V81" s="446">
        <f t="shared" ref="V81:V100" si="38">IF(E81="",0,IF(U81=25,(O81*1.08*(K81)/2),IF(U81=40,(O81*1.08*(K81)),IF(U81=0,0))))</f>
        <v>0</v>
      </c>
      <c r="W81" s="261"/>
      <c r="AA81" s="139"/>
      <c r="AJ81" s="139"/>
    </row>
    <row r="82" spans="3:36" ht="12.75" hidden="1" customHeight="1" x14ac:dyDescent="0.2">
      <c r="C82" s="178"/>
      <c r="D82" s="287" t="str">
        <f t="shared" si="29"/>
        <v/>
      </c>
      <c r="E82" s="287" t="str">
        <f t="shared" si="29"/>
        <v/>
      </c>
      <c r="F82" s="287" t="str">
        <f t="shared" si="29"/>
        <v/>
      </c>
      <c r="G82" s="288" t="str">
        <f t="shared" si="30"/>
        <v/>
      </c>
      <c r="H82" s="289" t="str">
        <f t="shared" si="31"/>
        <v/>
      </c>
      <c r="I82" s="288" t="str">
        <f t="shared" ref="I82:I100" si="39">IF(I49=0,"",I49)</f>
        <v/>
      </c>
      <c r="J82" s="288" t="str">
        <f t="shared" si="32"/>
        <v/>
      </c>
      <c r="K82" s="290" t="str">
        <f t="shared" si="33"/>
        <v/>
      </c>
      <c r="L82" s="291" t="str">
        <f t="shared" si="33"/>
        <v/>
      </c>
      <c r="M82" s="293" t="str">
        <f t="shared" ref="M82:M100" si="40">IF(L82="",K82,K82-L82)</f>
        <v/>
      </c>
      <c r="N82" s="262"/>
      <c r="O82" s="298" t="str">
        <f t="shared" si="34"/>
        <v/>
      </c>
      <c r="P82" s="299" t="str">
        <f t="shared" si="35"/>
        <v/>
      </c>
      <c r="Q82" s="455">
        <f t="shared" ref="Q82:Q100" si="41">$Q$79</f>
        <v>0.61</v>
      </c>
      <c r="R82" s="297" t="e">
        <f t="shared" si="36"/>
        <v>#VALUE!</v>
      </c>
      <c r="S82" s="299">
        <f>IF(L82="",0,O82*12*L82*IF(OR(I82&lt;=8,I82="LIOa",I82="LIOb",I82="ID1",I82="ID2",I82="ID3"),1+tab!D$72,1+tab!D$70))</f>
        <v>0</v>
      </c>
      <c r="T82" s="436">
        <f t="shared" si="37"/>
        <v>0</v>
      </c>
      <c r="U82" s="301">
        <f t="shared" ref="U82:U100" si="42">IF(G82&lt;25,0,IF(G82=25,25,IF(G82&lt;40,0,IF(G82=40,40,IF(G82&gt;=40,0)))))</f>
        <v>0</v>
      </c>
      <c r="V82" s="447">
        <f t="shared" si="38"/>
        <v>0</v>
      </c>
      <c r="W82" s="263"/>
      <c r="AA82" s="139"/>
      <c r="AJ82" s="139"/>
    </row>
    <row r="83" spans="3:36" ht="12.75" hidden="1" customHeight="1" x14ac:dyDescent="0.2">
      <c r="C83" s="178"/>
      <c r="D83" s="287" t="str">
        <f t="shared" si="29"/>
        <v/>
      </c>
      <c r="E83" s="287" t="str">
        <f t="shared" si="29"/>
        <v/>
      </c>
      <c r="F83" s="287" t="str">
        <f t="shared" si="29"/>
        <v/>
      </c>
      <c r="G83" s="288" t="str">
        <f t="shared" si="30"/>
        <v/>
      </c>
      <c r="H83" s="289" t="str">
        <f t="shared" si="31"/>
        <v/>
      </c>
      <c r="I83" s="288" t="str">
        <f t="shared" si="39"/>
        <v/>
      </c>
      <c r="J83" s="288" t="str">
        <f t="shared" si="32"/>
        <v/>
      </c>
      <c r="K83" s="290" t="str">
        <f t="shared" si="33"/>
        <v/>
      </c>
      <c r="L83" s="291" t="str">
        <f t="shared" si="33"/>
        <v/>
      </c>
      <c r="M83" s="293" t="str">
        <f t="shared" si="40"/>
        <v/>
      </c>
      <c r="N83" s="262"/>
      <c r="O83" s="298" t="str">
        <f t="shared" si="34"/>
        <v/>
      </c>
      <c r="P83" s="299" t="str">
        <f t="shared" si="35"/>
        <v/>
      </c>
      <c r="Q83" s="455">
        <f t="shared" si="41"/>
        <v>0.61</v>
      </c>
      <c r="R83" s="297" t="e">
        <f t="shared" si="36"/>
        <v>#VALUE!</v>
      </c>
      <c r="S83" s="299">
        <f>IF(L83="",0,O83*12*L83*IF(OR(I83&lt;=8,I83="LIOa",I83="LIOb",I83="ID1",I83="ID2",I83="ID3"),1+tab!D$72,1+tab!D$70))</f>
        <v>0</v>
      </c>
      <c r="T83" s="436">
        <f t="shared" si="37"/>
        <v>0</v>
      </c>
      <c r="U83" s="301">
        <f t="shared" si="42"/>
        <v>0</v>
      </c>
      <c r="V83" s="447">
        <f t="shared" si="38"/>
        <v>0</v>
      </c>
      <c r="W83" s="263"/>
      <c r="AA83" s="139"/>
      <c r="AJ83" s="139"/>
    </row>
    <row r="84" spans="3:36" ht="12.75" hidden="1" customHeight="1" x14ac:dyDescent="0.2">
      <c r="C84" s="178"/>
      <c r="D84" s="287" t="str">
        <f t="shared" si="29"/>
        <v/>
      </c>
      <c r="E84" s="287" t="str">
        <f t="shared" si="29"/>
        <v/>
      </c>
      <c r="F84" s="287" t="str">
        <f t="shared" si="29"/>
        <v/>
      </c>
      <c r="G84" s="288" t="str">
        <f t="shared" si="30"/>
        <v/>
      </c>
      <c r="H84" s="289" t="str">
        <f t="shared" si="31"/>
        <v/>
      </c>
      <c r="I84" s="288" t="str">
        <f t="shared" si="39"/>
        <v/>
      </c>
      <c r="J84" s="288" t="str">
        <f t="shared" si="32"/>
        <v/>
      </c>
      <c r="K84" s="290" t="str">
        <f t="shared" si="33"/>
        <v/>
      </c>
      <c r="L84" s="291" t="str">
        <f t="shared" si="33"/>
        <v/>
      </c>
      <c r="M84" s="293" t="str">
        <f t="shared" si="40"/>
        <v/>
      </c>
      <c r="N84" s="262"/>
      <c r="O84" s="298" t="str">
        <f t="shared" si="34"/>
        <v/>
      </c>
      <c r="P84" s="299" t="str">
        <f t="shared" si="35"/>
        <v/>
      </c>
      <c r="Q84" s="455">
        <f t="shared" si="41"/>
        <v>0.61</v>
      </c>
      <c r="R84" s="297" t="e">
        <f t="shared" si="36"/>
        <v>#VALUE!</v>
      </c>
      <c r="S84" s="299">
        <f>IF(L84="",0,O84*12*L84*IF(OR(I84&lt;=8,I84="LIOa",I84="LIOb",I84="ID1",I84="ID2",I84="ID3"),1+tab!D$72,1+tab!D$70))</f>
        <v>0</v>
      </c>
      <c r="T84" s="436">
        <f t="shared" si="37"/>
        <v>0</v>
      </c>
      <c r="U84" s="301">
        <f t="shared" si="42"/>
        <v>0</v>
      </c>
      <c r="V84" s="447">
        <f t="shared" si="38"/>
        <v>0</v>
      </c>
      <c r="W84" s="263"/>
      <c r="AA84" s="139"/>
      <c r="AJ84" s="139"/>
    </row>
    <row r="85" spans="3:36" ht="12.75" hidden="1" customHeight="1" x14ac:dyDescent="0.2">
      <c r="C85" s="178"/>
      <c r="D85" s="287" t="str">
        <f t="shared" si="29"/>
        <v/>
      </c>
      <c r="E85" s="287" t="str">
        <f t="shared" si="29"/>
        <v/>
      </c>
      <c r="F85" s="287" t="str">
        <f t="shared" si="29"/>
        <v/>
      </c>
      <c r="G85" s="288" t="str">
        <f t="shared" si="30"/>
        <v/>
      </c>
      <c r="H85" s="289" t="str">
        <f t="shared" si="31"/>
        <v/>
      </c>
      <c r="I85" s="288" t="str">
        <f t="shared" si="39"/>
        <v/>
      </c>
      <c r="J85" s="288" t="str">
        <f t="shared" si="32"/>
        <v/>
      </c>
      <c r="K85" s="290" t="str">
        <f t="shared" si="33"/>
        <v/>
      </c>
      <c r="L85" s="291" t="str">
        <f t="shared" si="33"/>
        <v/>
      </c>
      <c r="M85" s="293" t="str">
        <f t="shared" si="40"/>
        <v/>
      </c>
      <c r="N85" s="262"/>
      <c r="O85" s="298" t="str">
        <f t="shared" si="34"/>
        <v/>
      </c>
      <c r="P85" s="299" t="str">
        <f t="shared" si="35"/>
        <v/>
      </c>
      <c r="Q85" s="455">
        <f t="shared" si="41"/>
        <v>0.61</v>
      </c>
      <c r="R85" s="297" t="e">
        <f t="shared" si="36"/>
        <v>#VALUE!</v>
      </c>
      <c r="S85" s="299">
        <f>IF(L85="",0,O85*12*L85*IF(OR(I85&lt;=8,I85="LIOa",I85="LIOb",I85="ID1",I85="ID2",I85="ID3"),1+tab!D$72,1+tab!D$70))</f>
        <v>0</v>
      </c>
      <c r="T85" s="436">
        <f t="shared" si="37"/>
        <v>0</v>
      </c>
      <c r="U85" s="301">
        <f t="shared" si="42"/>
        <v>0</v>
      </c>
      <c r="V85" s="447">
        <f t="shared" si="38"/>
        <v>0</v>
      </c>
      <c r="W85" s="263"/>
      <c r="AA85" s="139"/>
      <c r="AJ85" s="139"/>
    </row>
    <row r="86" spans="3:36" ht="12.75" hidden="1" customHeight="1" x14ac:dyDescent="0.2">
      <c r="C86" s="178"/>
      <c r="D86" s="287" t="str">
        <f t="shared" si="29"/>
        <v/>
      </c>
      <c r="E86" s="287" t="str">
        <f t="shared" si="29"/>
        <v/>
      </c>
      <c r="F86" s="287" t="str">
        <f t="shared" si="29"/>
        <v/>
      </c>
      <c r="G86" s="288" t="str">
        <f t="shared" si="30"/>
        <v/>
      </c>
      <c r="H86" s="289" t="str">
        <f t="shared" si="31"/>
        <v/>
      </c>
      <c r="I86" s="288" t="str">
        <f t="shared" si="39"/>
        <v/>
      </c>
      <c r="J86" s="288" t="str">
        <f t="shared" si="32"/>
        <v/>
      </c>
      <c r="K86" s="290" t="str">
        <f t="shared" si="33"/>
        <v/>
      </c>
      <c r="L86" s="291" t="str">
        <f t="shared" si="33"/>
        <v/>
      </c>
      <c r="M86" s="293" t="str">
        <f t="shared" si="40"/>
        <v/>
      </c>
      <c r="N86" s="262"/>
      <c r="O86" s="298" t="str">
        <f t="shared" si="34"/>
        <v/>
      </c>
      <c r="P86" s="299" t="str">
        <f t="shared" si="35"/>
        <v/>
      </c>
      <c r="Q86" s="455">
        <f t="shared" si="41"/>
        <v>0.61</v>
      </c>
      <c r="R86" s="297" t="e">
        <f t="shared" si="36"/>
        <v>#VALUE!</v>
      </c>
      <c r="S86" s="299">
        <f>IF(L86="",0,O86*12*L86*IF(OR(I86&lt;=8,I86="LIOa",I86="LIOb",I86="ID1",I86="ID2",I86="ID3"),1+tab!D$72,1+tab!D$70))</f>
        <v>0</v>
      </c>
      <c r="T86" s="436">
        <f t="shared" si="37"/>
        <v>0</v>
      </c>
      <c r="U86" s="301">
        <f t="shared" si="42"/>
        <v>0</v>
      </c>
      <c r="V86" s="447">
        <f t="shared" si="38"/>
        <v>0</v>
      </c>
      <c r="W86" s="263"/>
      <c r="AA86" s="139"/>
      <c r="AJ86" s="139"/>
    </row>
    <row r="87" spans="3:36" ht="12.75" hidden="1" customHeight="1" x14ac:dyDescent="0.2">
      <c r="C87" s="178"/>
      <c r="D87" s="287" t="str">
        <f t="shared" si="29"/>
        <v/>
      </c>
      <c r="E87" s="287" t="str">
        <f t="shared" si="29"/>
        <v/>
      </c>
      <c r="F87" s="287" t="str">
        <f t="shared" si="29"/>
        <v/>
      </c>
      <c r="G87" s="288" t="str">
        <f t="shared" si="30"/>
        <v/>
      </c>
      <c r="H87" s="289" t="str">
        <f t="shared" si="31"/>
        <v/>
      </c>
      <c r="I87" s="288" t="str">
        <f t="shared" si="39"/>
        <v/>
      </c>
      <c r="J87" s="288" t="str">
        <f t="shared" si="32"/>
        <v/>
      </c>
      <c r="K87" s="290" t="str">
        <f t="shared" si="33"/>
        <v/>
      </c>
      <c r="L87" s="291" t="str">
        <f t="shared" si="33"/>
        <v/>
      </c>
      <c r="M87" s="293" t="str">
        <f t="shared" si="40"/>
        <v/>
      </c>
      <c r="N87" s="262"/>
      <c r="O87" s="298" t="str">
        <f t="shared" si="34"/>
        <v/>
      </c>
      <c r="P87" s="299" t="str">
        <f t="shared" si="35"/>
        <v/>
      </c>
      <c r="Q87" s="455">
        <f t="shared" si="41"/>
        <v>0.61</v>
      </c>
      <c r="R87" s="297" t="e">
        <f t="shared" si="36"/>
        <v>#VALUE!</v>
      </c>
      <c r="S87" s="299">
        <f>IF(L87="",0,O87*12*L87*IF(OR(I87&lt;=8,I87="LIOa",I87="LIOb",I87="ID1",I87="ID2",I87="ID3"),1+tab!D$72,1+tab!D$70))</f>
        <v>0</v>
      </c>
      <c r="T87" s="436">
        <f t="shared" si="37"/>
        <v>0</v>
      </c>
      <c r="U87" s="301">
        <f t="shared" si="42"/>
        <v>0</v>
      </c>
      <c r="V87" s="447">
        <f t="shared" si="38"/>
        <v>0</v>
      </c>
      <c r="W87" s="263"/>
      <c r="AA87" s="139"/>
      <c r="AJ87" s="139"/>
    </row>
    <row r="88" spans="3:36" ht="12.75" hidden="1" customHeight="1" x14ac:dyDescent="0.2">
      <c r="C88" s="178"/>
      <c r="D88" s="287" t="str">
        <f t="shared" si="29"/>
        <v/>
      </c>
      <c r="E88" s="287" t="str">
        <f t="shared" si="29"/>
        <v/>
      </c>
      <c r="F88" s="287" t="str">
        <f t="shared" si="29"/>
        <v/>
      </c>
      <c r="G88" s="288" t="str">
        <f t="shared" si="30"/>
        <v/>
      </c>
      <c r="H88" s="289" t="str">
        <f t="shared" si="31"/>
        <v/>
      </c>
      <c r="I88" s="288" t="str">
        <f t="shared" si="39"/>
        <v/>
      </c>
      <c r="J88" s="288" t="str">
        <f t="shared" si="32"/>
        <v/>
      </c>
      <c r="K88" s="290" t="str">
        <f t="shared" si="33"/>
        <v/>
      </c>
      <c r="L88" s="291" t="str">
        <f t="shared" si="33"/>
        <v/>
      </c>
      <c r="M88" s="293" t="str">
        <f t="shared" si="40"/>
        <v/>
      </c>
      <c r="N88" s="262"/>
      <c r="O88" s="298" t="str">
        <f t="shared" si="34"/>
        <v/>
      </c>
      <c r="P88" s="299" t="str">
        <f t="shared" si="35"/>
        <v/>
      </c>
      <c r="Q88" s="455">
        <f t="shared" si="41"/>
        <v>0.61</v>
      </c>
      <c r="R88" s="297" t="e">
        <f t="shared" si="36"/>
        <v>#VALUE!</v>
      </c>
      <c r="S88" s="299">
        <f>IF(L88="",0,O88*12*L88*IF(OR(I88&lt;=8,I88="LIOa",I88="LIOb",I88="ID1",I88="ID2",I88="ID3"),1+tab!D$72,1+tab!D$70))</f>
        <v>0</v>
      </c>
      <c r="T88" s="436">
        <f t="shared" si="37"/>
        <v>0</v>
      </c>
      <c r="U88" s="301">
        <f t="shared" si="42"/>
        <v>0</v>
      </c>
      <c r="V88" s="447">
        <f t="shared" si="38"/>
        <v>0</v>
      </c>
      <c r="W88" s="263"/>
      <c r="AA88" s="139"/>
      <c r="AJ88" s="139"/>
    </row>
    <row r="89" spans="3:36" ht="12.75" hidden="1" customHeight="1" x14ac:dyDescent="0.2">
      <c r="C89" s="178"/>
      <c r="D89" s="287" t="str">
        <f t="shared" si="29"/>
        <v/>
      </c>
      <c r="E89" s="287" t="str">
        <f t="shared" si="29"/>
        <v/>
      </c>
      <c r="F89" s="287" t="str">
        <f t="shared" si="29"/>
        <v/>
      </c>
      <c r="G89" s="288" t="str">
        <f t="shared" si="30"/>
        <v/>
      </c>
      <c r="H89" s="289" t="str">
        <f t="shared" si="31"/>
        <v/>
      </c>
      <c r="I89" s="288" t="str">
        <f t="shared" si="39"/>
        <v/>
      </c>
      <c r="J89" s="288" t="str">
        <f t="shared" si="32"/>
        <v/>
      </c>
      <c r="K89" s="290" t="str">
        <f t="shared" si="33"/>
        <v/>
      </c>
      <c r="L89" s="291" t="str">
        <f t="shared" si="33"/>
        <v/>
      </c>
      <c r="M89" s="293" t="str">
        <f t="shared" si="40"/>
        <v/>
      </c>
      <c r="N89" s="262"/>
      <c r="O89" s="298" t="str">
        <f t="shared" si="34"/>
        <v/>
      </c>
      <c r="P89" s="299" t="str">
        <f t="shared" si="35"/>
        <v/>
      </c>
      <c r="Q89" s="455">
        <f t="shared" si="41"/>
        <v>0.61</v>
      </c>
      <c r="R89" s="297" t="e">
        <f t="shared" si="36"/>
        <v>#VALUE!</v>
      </c>
      <c r="S89" s="299">
        <f>IF(L89="",0,O89*12*L89*IF(OR(I89&lt;=8,I89="LIOa",I89="LIOb",I89="ID1",I89="ID2",I89="ID3"),1+tab!D$72,1+tab!D$70))</f>
        <v>0</v>
      </c>
      <c r="T89" s="436">
        <f t="shared" si="37"/>
        <v>0</v>
      </c>
      <c r="U89" s="301">
        <f t="shared" si="42"/>
        <v>0</v>
      </c>
      <c r="V89" s="447">
        <f t="shared" si="38"/>
        <v>0</v>
      </c>
      <c r="W89" s="263"/>
      <c r="AA89" s="139"/>
      <c r="AJ89" s="139"/>
    </row>
    <row r="90" spans="3:36" ht="12.75" hidden="1" customHeight="1" x14ac:dyDescent="0.2">
      <c r="C90" s="178"/>
      <c r="D90" s="287" t="str">
        <f t="shared" si="29"/>
        <v/>
      </c>
      <c r="E90" s="287" t="str">
        <f t="shared" si="29"/>
        <v/>
      </c>
      <c r="F90" s="287" t="str">
        <f t="shared" si="29"/>
        <v/>
      </c>
      <c r="G90" s="288" t="str">
        <f t="shared" si="30"/>
        <v/>
      </c>
      <c r="H90" s="289" t="str">
        <f t="shared" si="31"/>
        <v/>
      </c>
      <c r="I90" s="288" t="str">
        <f t="shared" si="39"/>
        <v/>
      </c>
      <c r="J90" s="288" t="str">
        <f t="shared" si="32"/>
        <v/>
      </c>
      <c r="K90" s="290" t="str">
        <f t="shared" si="33"/>
        <v/>
      </c>
      <c r="L90" s="291" t="str">
        <f t="shared" si="33"/>
        <v/>
      </c>
      <c r="M90" s="293" t="str">
        <f t="shared" si="40"/>
        <v/>
      </c>
      <c r="N90" s="262"/>
      <c r="O90" s="298" t="str">
        <f t="shared" si="34"/>
        <v/>
      </c>
      <c r="P90" s="299" t="str">
        <f t="shared" si="35"/>
        <v/>
      </c>
      <c r="Q90" s="455">
        <f t="shared" si="41"/>
        <v>0.61</v>
      </c>
      <c r="R90" s="297" t="e">
        <f t="shared" si="36"/>
        <v>#VALUE!</v>
      </c>
      <c r="S90" s="299">
        <f>IF(L90="",0,O90*12*L90*IF(OR(I90&lt;=8,I90="LIOa",I90="LIOb",I90="ID1",I90="ID2",I90="ID3"),1+tab!D$72,1+tab!D$70))</f>
        <v>0</v>
      </c>
      <c r="T90" s="436">
        <f t="shared" si="37"/>
        <v>0</v>
      </c>
      <c r="U90" s="301">
        <f t="shared" si="42"/>
        <v>0</v>
      </c>
      <c r="V90" s="447">
        <f t="shared" si="38"/>
        <v>0</v>
      </c>
      <c r="W90" s="263"/>
      <c r="AA90" s="139"/>
      <c r="AJ90" s="139"/>
    </row>
    <row r="91" spans="3:36" ht="12.75" hidden="1" customHeight="1" x14ac:dyDescent="0.2">
      <c r="C91" s="178"/>
      <c r="D91" s="287" t="str">
        <f t="shared" si="29"/>
        <v/>
      </c>
      <c r="E91" s="287" t="str">
        <f t="shared" si="29"/>
        <v/>
      </c>
      <c r="F91" s="287" t="str">
        <f t="shared" si="29"/>
        <v/>
      </c>
      <c r="G91" s="288" t="str">
        <f t="shared" si="30"/>
        <v/>
      </c>
      <c r="H91" s="289" t="str">
        <f t="shared" si="31"/>
        <v/>
      </c>
      <c r="I91" s="288" t="str">
        <f t="shared" si="39"/>
        <v/>
      </c>
      <c r="J91" s="288" t="str">
        <f t="shared" si="32"/>
        <v/>
      </c>
      <c r="K91" s="290" t="str">
        <f t="shared" si="33"/>
        <v/>
      </c>
      <c r="L91" s="291" t="str">
        <f t="shared" si="33"/>
        <v/>
      </c>
      <c r="M91" s="293" t="str">
        <f t="shared" si="40"/>
        <v/>
      </c>
      <c r="N91" s="262"/>
      <c r="O91" s="298" t="str">
        <f t="shared" si="34"/>
        <v/>
      </c>
      <c r="P91" s="299" t="str">
        <f t="shared" si="35"/>
        <v/>
      </c>
      <c r="Q91" s="455">
        <f t="shared" si="41"/>
        <v>0.61</v>
      </c>
      <c r="R91" s="297" t="e">
        <f t="shared" si="36"/>
        <v>#VALUE!</v>
      </c>
      <c r="S91" s="299">
        <f>IF(L91="",0,O91*12*L91*IF(OR(I91&lt;=8,I91="LIOa",I91="LIOb",I91="ID1",I91="ID2",I91="ID3"),1+tab!D$72,1+tab!D$70))</f>
        <v>0</v>
      </c>
      <c r="T91" s="436">
        <f t="shared" si="37"/>
        <v>0</v>
      </c>
      <c r="U91" s="301">
        <f t="shared" si="42"/>
        <v>0</v>
      </c>
      <c r="V91" s="447">
        <f t="shared" si="38"/>
        <v>0</v>
      </c>
      <c r="W91" s="263"/>
      <c r="AA91" s="139"/>
      <c r="AJ91" s="139"/>
    </row>
    <row r="92" spans="3:36" ht="12.75" hidden="1" customHeight="1" x14ac:dyDescent="0.2">
      <c r="C92" s="178"/>
      <c r="D92" s="287" t="str">
        <f t="shared" si="29"/>
        <v/>
      </c>
      <c r="E92" s="287" t="str">
        <f t="shared" si="29"/>
        <v/>
      </c>
      <c r="F92" s="287" t="str">
        <f t="shared" si="29"/>
        <v/>
      </c>
      <c r="G92" s="288" t="str">
        <f t="shared" si="30"/>
        <v/>
      </c>
      <c r="H92" s="289" t="str">
        <f t="shared" si="31"/>
        <v/>
      </c>
      <c r="I92" s="288" t="str">
        <f t="shared" si="39"/>
        <v/>
      </c>
      <c r="J92" s="288" t="str">
        <f t="shared" si="32"/>
        <v/>
      </c>
      <c r="K92" s="290" t="str">
        <f t="shared" si="33"/>
        <v/>
      </c>
      <c r="L92" s="291" t="str">
        <f t="shared" si="33"/>
        <v/>
      </c>
      <c r="M92" s="293" t="str">
        <f t="shared" si="40"/>
        <v/>
      </c>
      <c r="N92" s="262"/>
      <c r="O92" s="298" t="str">
        <f t="shared" si="34"/>
        <v/>
      </c>
      <c r="P92" s="299" t="str">
        <f t="shared" si="35"/>
        <v/>
      </c>
      <c r="Q92" s="455">
        <f t="shared" si="41"/>
        <v>0.61</v>
      </c>
      <c r="R92" s="297" t="e">
        <f t="shared" si="36"/>
        <v>#VALUE!</v>
      </c>
      <c r="S92" s="299">
        <f>IF(L92="",0,O92*12*L92*IF(OR(I92&lt;=8,I92="LIOa",I92="LIOb",I92="ID1",I92="ID2",I92="ID3"),1+tab!D$72,1+tab!D$70))</f>
        <v>0</v>
      </c>
      <c r="T92" s="436">
        <f t="shared" si="37"/>
        <v>0</v>
      </c>
      <c r="U92" s="301">
        <f t="shared" si="42"/>
        <v>0</v>
      </c>
      <c r="V92" s="447">
        <f t="shared" si="38"/>
        <v>0</v>
      </c>
      <c r="W92" s="263"/>
      <c r="AA92" s="139"/>
      <c r="AJ92" s="139"/>
    </row>
    <row r="93" spans="3:36" ht="12.75" hidden="1" customHeight="1" x14ac:dyDescent="0.2">
      <c r="C93" s="178"/>
      <c r="D93" s="287" t="str">
        <f t="shared" ref="D93:F95" si="43">IF(D60=0,"",D60)</f>
        <v/>
      </c>
      <c r="E93" s="287" t="str">
        <f t="shared" si="43"/>
        <v/>
      </c>
      <c r="F93" s="287" t="str">
        <f t="shared" si="43"/>
        <v/>
      </c>
      <c r="G93" s="288" t="str">
        <f t="shared" si="30"/>
        <v/>
      </c>
      <c r="H93" s="289" t="str">
        <f t="shared" si="31"/>
        <v/>
      </c>
      <c r="I93" s="288" t="str">
        <f t="shared" si="39"/>
        <v/>
      </c>
      <c r="J93" s="288" t="str">
        <f t="shared" si="32"/>
        <v/>
      </c>
      <c r="K93" s="290" t="str">
        <f t="shared" ref="K93:L95" si="44">IF(K60="","",K60)</f>
        <v/>
      </c>
      <c r="L93" s="291" t="str">
        <f t="shared" si="44"/>
        <v/>
      </c>
      <c r="M93" s="293" t="str">
        <f t="shared" si="40"/>
        <v/>
      </c>
      <c r="N93" s="262"/>
      <c r="O93" s="298" t="str">
        <f t="shared" si="34"/>
        <v/>
      </c>
      <c r="P93" s="299" t="str">
        <f t="shared" si="35"/>
        <v/>
      </c>
      <c r="Q93" s="455">
        <f t="shared" si="41"/>
        <v>0.61</v>
      </c>
      <c r="R93" s="297" t="e">
        <f t="shared" si="36"/>
        <v>#VALUE!</v>
      </c>
      <c r="S93" s="299">
        <f>IF(L93="",0,O93*12*L93*IF(OR(I93&lt;=8,I93="LIOa",I93="LIOb",I93="ID1",I93="ID2",I93="ID3"),1+tab!D$72,1+tab!D$70))</f>
        <v>0</v>
      </c>
      <c r="T93" s="436">
        <f t="shared" si="37"/>
        <v>0</v>
      </c>
      <c r="U93" s="301">
        <f t="shared" si="42"/>
        <v>0</v>
      </c>
      <c r="V93" s="447">
        <f t="shared" si="38"/>
        <v>0</v>
      </c>
      <c r="W93" s="263"/>
      <c r="AA93" s="139"/>
      <c r="AJ93" s="139"/>
    </row>
    <row r="94" spans="3:36" ht="12.75" hidden="1" customHeight="1" x14ac:dyDescent="0.2">
      <c r="C94" s="178"/>
      <c r="D94" s="287" t="str">
        <f t="shared" si="43"/>
        <v/>
      </c>
      <c r="E94" s="287" t="str">
        <f t="shared" si="43"/>
        <v/>
      </c>
      <c r="F94" s="287" t="str">
        <f t="shared" si="43"/>
        <v/>
      </c>
      <c r="G94" s="288" t="str">
        <f t="shared" si="30"/>
        <v/>
      </c>
      <c r="H94" s="289" t="str">
        <f t="shared" si="31"/>
        <v/>
      </c>
      <c r="I94" s="288" t="str">
        <f t="shared" si="39"/>
        <v/>
      </c>
      <c r="J94" s="288" t="str">
        <f t="shared" si="32"/>
        <v/>
      </c>
      <c r="K94" s="290" t="str">
        <f t="shared" si="44"/>
        <v/>
      </c>
      <c r="L94" s="291" t="str">
        <f t="shared" si="44"/>
        <v/>
      </c>
      <c r="M94" s="293" t="str">
        <f t="shared" si="40"/>
        <v/>
      </c>
      <c r="N94" s="262"/>
      <c r="O94" s="298" t="str">
        <f t="shared" si="34"/>
        <v/>
      </c>
      <c r="P94" s="299" t="str">
        <f t="shared" si="35"/>
        <v/>
      </c>
      <c r="Q94" s="455">
        <f t="shared" si="41"/>
        <v>0.61</v>
      </c>
      <c r="R94" s="297" t="e">
        <f t="shared" si="36"/>
        <v>#VALUE!</v>
      </c>
      <c r="S94" s="299">
        <f>IF(L94="",0,O94*12*L94*IF(OR(I94&lt;=8,I94="LIOa",I94="LIOb",I94="ID1",I94="ID2",I94="ID3"),1+tab!D$72,1+tab!D$70))</f>
        <v>0</v>
      </c>
      <c r="T94" s="436">
        <f t="shared" si="37"/>
        <v>0</v>
      </c>
      <c r="U94" s="301">
        <f t="shared" si="42"/>
        <v>0</v>
      </c>
      <c r="V94" s="447">
        <f t="shared" si="38"/>
        <v>0</v>
      </c>
      <c r="W94" s="263"/>
      <c r="AA94" s="139"/>
      <c r="AJ94" s="139"/>
    </row>
    <row r="95" spans="3:36" ht="12.75" hidden="1" customHeight="1" x14ac:dyDescent="0.2">
      <c r="C95" s="178"/>
      <c r="D95" s="287" t="str">
        <f t="shared" si="43"/>
        <v/>
      </c>
      <c r="E95" s="287" t="str">
        <f t="shared" si="43"/>
        <v/>
      </c>
      <c r="F95" s="287" t="str">
        <f t="shared" si="43"/>
        <v/>
      </c>
      <c r="G95" s="288" t="str">
        <f t="shared" si="30"/>
        <v/>
      </c>
      <c r="H95" s="289" t="str">
        <f t="shared" si="31"/>
        <v/>
      </c>
      <c r="I95" s="288" t="str">
        <f t="shared" si="39"/>
        <v/>
      </c>
      <c r="J95" s="288" t="str">
        <f t="shared" si="32"/>
        <v/>
      </c>
      <c r="K95" s="290" t="str">
        <f t="shared" si="44"/>
        <v/>
      </c>
      <c r="L95" s="291" t="str">
        <f t="shared" si="44"/>
        <v/>
      </c>
      <c r="M95" s="293" t="str">
        <f t="shared" si="40"/>
        <v/>
      </c>
      <c r="N95" s="262"/>
      <c r="O95" s="298" t="str">
        <f t="shared" si="34"/>
        <v/>
      </c>
      <c r="P95" s="299" t="str">
        <f t="shared" si="35"/>
        <v/>
      </c>
      <c r="Q95" s="455">
        <f t="shared" si="41"/>
        <v>0.61</v>
      </c>
      <c r="R95" s="297" t="e">
        <f t="shared" si="36"/>
        <v>#VALUE!</v>
      </c>
      <c r="S95" s="299">
        <f>IF(L95="",0,O95*12*L95*IF(OR(I95&lt;=8,I95="LIOa",I95="LIOb",I95="ID1",I95="ID2",I95="ID3"),1+tab!D$72,1+tab!D$70))</f>
        <v>0</v>
      </c>
      <c r="T95" s="436">
        <f t="shared" si="37"/>
        <v>0</v>
      </c>
      <c r="U95" s="301">
        <f t="shared" si="42"/>
        <v>0</v>
      </c>
      <c r="V95" s="447">
        <f t="shared" si="38"/>
        <v>0</v>
      </c>
      <c r="W95" s="263"/>
      <c r="AA95" s="139"/>
      <c r="AJ95" s="139"/>
    </row>
    <row r="96" spans="3:36" ht="12.75" hidden="1" customHeight="1" x14ac:dyDescent="0.2">
      <c r="C96" s="178"/>
      <c r="D96" s="287" t="str">
        <f t="shared" ref="D96:F100" si="45">IF(D63=0,"",D63)</f>
        <v/>
      </c>
      <c r="E96" s="287" t="str">
        <f t="shared" si="45"/>
        <v/>
      </c>
      <c r="F96" s="287" t="str">
        <f t="shared" si="45"/>
        <v/>
      </c>
      <c r="G96" s="288" t="str">
        <f t="shared" si="30"/>
        <v/>
      </c>
      <c r="H96" s="289" t="str">
        <f t="shared" si="31"/>
        <v/>
      </c>
      <c r="I96" s="288" t="str">
        <f t="shared" si="39"/>
        <v/>
      </c>
      <c r="J96" s="288" t="str">
        <f t="shared" si="32"/>
        <v/>
      </c>
      <c r="K96" s="290" t="str">
        <f t="shared" ref="K96:L100" si="46">IF(K63="","",K63)</f>
        <v/>
      </c>
      <c r="L96" s="291" t="str">
        <f t="shared" si="46"/>
        <v/>
      </c>
      <c r="M96" s="293" t="str">
        <f t="shared" si="40"/>
        <v/>
      </c>
      <c r="N96" s="262"/>
      <c r="O96" s="298" t="str">
        <f t="shared" si="34"/>
        <v/>
      </c>
      <c r="P96" s="299" t="str">
        <f t="shared" si="35"/>
        <v/>
      </c>
      <c r="Q96" s="455">
        <f t="shared" si="41"/>
        <v>0.61</v>
      </c>
      <c r="R96" s="297" t="e">
        <f t="shared" si="36"/>
        <v>#VALUE!</v>
      </c>
      <c r="S96" s="299">
        <f>IF(L96="",0,O96*12*L96*IF(OR(I96&lt;=8,I96="LIOa",I96="LIOb",I96="ID1",I96="ID2",I96="ID3"),1+tab!D$72,1+tab!D$70))</f>
        <v>0</v>
      </c>
      <c r="T96" s="436">
        <f t="shared" si="37"/>
        <v>0</v>
      </c>
      <c r="U96" s="301">
        <f t="shared" si="42"/>
        <v>0</v>
      </c>
      <c r="V96" s="447">
        <f t="shared" si="38"/>
        <v>0</v>
      </c>
      <c r="W96" s="263"/>
      <c r="AA96" s="139"/>
      <c r="AJ96" s="139"/>
    </row>
    <row r="97" spans="3:46" ht="12.75" hidden="1" customHeight="1" x14ac:dyDescent="0.2">
      <c r="C97" s="178"/>
      <c r="D97" s="287" t="str">
        <f t="shared" si="45"/>
        <v/>
      </c>
      <c r="E97" s="287" t="str">
        <f t="shared" si="45"/>
        <v/>
      </c>
      <c r="F97" s="287" t="str">
        <f t="shared" si="45"/>
        <v/>
      </c>
      <c r="G97" s="288" t="str">
        <f t="shared" si="30"/>
        <v/>
      </c>
      <c r="H97" s="289" t="str">
        <f t="shared" si="31"/>
        <v/>
      </c>
      <c r="I97" s="288" t="str">
        <f t="shared" si="39"/>
        <v/>
      </c>
      <c r="J97" s="288" t="str">
        <f t="shared" si="32"/>
        <v/>
      </c>
      <c r="K97" s="290" t="str">
        <f t="shared" si="46"/>
        <v/>
      </c>
      <c r="L97" s="291" t="str">
        <f t="shared" si="46"/>
        <v/>
      </c>
      <c r="M97" s="293" t="str">
        <f t="shared" si="40"/>
        <v/>
      </c>
      <c r="N97" s="262"/>
      <c r="O97" s="298" t="str">
        <f t="shared" si="34"/>
        <v/>
      </c>
      <c r="P97" s="299" t="str">
        <f t="shared" si="35"/>
        <v/>
      </c>
      <c r="Q97" s="455">
        <f t="shared" si="41"/>
        <v>0.61</v>
      </c>
      <c r="R97" s="297" t="e">
        <f t="shared" si="36"/>
        <v>#VALUE!</v>
      </c>
      <c r="S97" s="299">
        <f>IF(L97="",0,O97*12*L97*IF(OR(I97&lt;=8,I97="LIOa",I97="LIOb",I97="ID1",I97="ID2",I97="ID3"),1+tab!D$72,1+tab!D$70))</f>
        <v>0</v>
      </c>
      <c r="T97" s="436">
        <f t="shared" si="37"/>
        <v>0</v>
      </c>
      <c r="U97" s="301">
        <f t="shared" si="42"/>
        <v>0</v>
      </c>
      <c r="V97" s="447">
        <f t="shared" si="38"/>
        <v>0</v>
      </c>
      <c r="W97" s="263"/>
      <c r="AA97" s="139"/>
      <c r="AJ97" s="139"/>
    </row>
    <row r="98" spans="3:46" ht="12.75" hidden="1" customHeight="1" x14ac:dyDescent="0.2">
      <c r="C98" s="178"/>
      <c r="D98" s="287" t="str">
        <f t="shared" si="45"/>
        <v/>
      </c>
      <c r="E98" s="287" t="str">
        <f t="shared" si="45"/>
        <v/>
      </c>
      <c r="F98" s="287" t="str">
        <f t="shared" si="45"/>
        <v/>
      </c>
      <c r="G98" s="288" t="str">
        <f t="shared" si="30"/>
        <v/>
      </c>
      <c r="H98" s="289" t="str">
        <f t="shared" si="31"/>
        <v/>
      </c>
      <c r="I98" s="288" t="str">
        <f t="shared" si="39"/>
        <v/>
      </c>
      <c r="J98" s="288" t="str">
        <f t="shared" si="32"/>
        <v/>
      </c>
      <c r="K98" s="290" t="str">
        <f t="shared" si="46"/>
        <v/>
      </c>
      <c r="L98" s="291" t="str">
        <f t="shared" si="46"/>
        <v/>
      </c>
      <c r="M98" s="293" t="str">
        <f t="shared" si="40"/>
        <v/>
      </c>
      <c r="N98" s="262"/>
      <c r="O98" s="298" t="str">
        <f t="shared" si="34"/>
        <v/>
      </c>
      <c r="P98" s="299" t="str">
        <f t="shared" si="35"/>
        <v/>
      </c>
      <c r="Q98" s="455">
        <f t="shared" si="41"/>
        <v>0.61</v>
      </c>
      <c r="R98" s="297" t="e">
        <f t="shared" si="36"/>
        <v>#VALUE!</v>
      </c>
      <c r="S98" s="299">
        <f>IF(L98="",0,O98*12*L98*IF(OR(I98&lt;=8,I98="LIOa",I98="LIOb",I98="ID1",I98="ID2",I98="ID3"),1+tab!D$72,1+tab!D$70))</f>
        <v>0</v>
      </c>
      <c r="T98" s="436">
        <f t="shared" si="37"/>
        <v>0</v>
      </c>
      <c r="U98" s="301">
        <f t="shared" si="42"/>
        <v>0</v>
      </c>
      <c r="V98" s="447">
        <f t="shared" si="38"/>
        <v>0</v>
      </c>
      <c r="W98" s="263"/>
      <c r="AA98" s="139"/>
      <c r="AJ98" s="139"/>
    </row>
    <row r="99" spans="3:46" ht="12.75" hidden="1" customHeight="1" x14ac:dyDescent="0.2">
      <c r="C99" s="178"/>
      <c r="D99" s="287" t="str">
        <f t="shared" si="45"/>
        <v/>
      </c>
      <c r="E99" s="287" t="str">
        <f t="shared" si="45"/>
        <v/>
      </c>
      <c r="F99" s="287" t="str">
        <f t="shared" si="45"/>
        <v/>
      </c>
      <c r="G99" s="288" t="str">
        <f t="shared" si="30"/>
        <v/>
      </c>
      <c r="H99" s="289" t="str">
        <f t="shared" si="31"/>
        <v/>
      </c>
      <c r="I99" s="288" t="str">
        <f t="shared" si="39"/>
        <v/>
      </c>
      <c r="J99" s="288" t="str">
        <f t="shared" si="32"/>
        <v/>
      </c>
      <c r="K99" s="290" t="str">
        <f t="shared" si="46"/>
        <v/>
      </c>
      <c r="L99" s="291" t="str">
        <f t="shared" si="46"/>
        <v/>
      </c>
      <c r="M99" s="293" t="str">
        <f t="shared" si="40"/>
        <v/>
      </c>
      <c r="N99" s="262"/>
      <c r="O99" s="298" t="str">
        <f t="shared" si="34"/>
        <v/>
      </c>
      <c r="P99" s="299" t="str">
        <f t="shared" si="35"/>
        <v/>
      </c>
      <c r="Q99" s="455">
        <f t="shared" si="41"/>
        <v>0.61</v>
      </c>
      <c r="R99" s="297" t="e">
        <f t="shared" si="36"/>
        <v>#VALUE!</v>
      </c>
      <c r="S99" s="299">
        <f>IF(L99="",0,O99*12*L99*IF(OR(I99&lt;=8,I99="LIOa",I99="LIOb",I99="ID1",I99="ID2",I99="ID3"),1+tab!D$72,1+tab!D$70))</f>
        <v>0</v>
      </c>
      <c r="T99" s="436">
        <f t="shared" si="37"/>
        <v>0</v>
      </c>
      <c r="U99" s="301">
        <f t="shared" si="42"/>
        <v>0</v>
      </c>
      <c r="V99" s="447">
        <f t="shared" si="38"/>
        <v>0</v>
      </c>
      <c r="W99" s="263"/>
      <c r="AA99" s="139"/>
      <c r="AJ99" s="139"/>
    </row>
    <row r="100" spans="3:46" ht="12.75" hidden="1" customHeight="1" x14ac:dyDescent="0.2">
      <c r="C100" s="178"/>
      <c r="D100" s="287" t="str">
        <f t="shared" si="45"/>
        <v/>
      </c>
      <c r="E100" s="287" t="str">
        <f t="shared" si="45"/>
        <v/>
      </c>
      <c r="F100" s="287" t="str">
        <f t="shared" si="45"/>
        <v/>
      </c>
      <c r="G100" s="288" t="str">
        <f t="shared" si="30"/>
        <v/>
      </c>
      <c r="H100" s="289" t="str">
        <f t="shared" si="31"/>
        <v/>
      </c>
      <c r="I100" s="288" t="str">
        <f t="shared" si="39"/>
        <v/>
      </c>
      <c r="J100" s="288" t="str">
        <f t="shared" si="32"/>
        <v/>
      </c>
      <c r="K100" s="290" t="str">
        <f t="shared" si="46"/>
        <v/>
      </c>
      <c r="L100" s="291" t="str">
        <f t="shared" si="46"/>
        <v/>
      </c>
      <c r="M100" s="293" t="str">
        <f t="shared" si="40"/>
        <v/>
      </c>
      <c r="N100" s="262"/>
      <c r="O100" s="298" t="str">
        <f t="shared" si="34"/>
        <v/>
      </c>
      <c r="P100" s="299" t="str">
        <f t="shared" si="35"/>
        <v/>
      </c>
      <c r="Q100" s="455">
        <f t="shared" si="41"/>
        <v>0.61</v>
      </c>
      <c r="R100" s="297" t="e">
        <f t="shared" si="36"/>
        <v>#VALUE!</v>
      </c>
      <c r="S100" s="299">
        <f>IF(L100="",0,O100*12*L100*IF(OR(I100&lt;=8,I100="LIOa",I100="LIOb",I100="ID1",I100="ID2",I100="ID3"),1+tab!D$72,1+tab!D$70))</f>
        <v>0</v>
      </c>
      <c r="T100" s="436">
        <f t="shared" si="37"/>
        <v>0</v>
      </c>
      <c r="U100" s="301">
        <f t="shared" si="42"/>
        <v>0</v>
      </c>
      <c r="V100" s="447">
        <f t="shared" si="38"/>
        <v>0</v>
      </c>
      <c r="W100" s="263"/>
      <c r="AA100" s="139"/>
      <c r="AJ100" s="139"/>
    </row>
    <row r="101" spans="3:46" hidden="1" x14ac:dyDescent="0.2">
      <c r="C101" s="178"/>
      <c r="D101" s="264"/>
      <c r="E101" s="264"/>
      <c r="F101" s="264"/>
      <c r="G101" s="179"/>
      <c r="H101" s="265"/>
      <c r="I101" s="179"/>
      <c r="J101" s="266"/>
      <c r="K101" s="304">
        <f>SUM(K81:K100)</f>
        <v>0</v>
      </c>
      <c r="L101" s="304">
        <f>SUM(L81:L100)</f>
        <v>0</v>
      </c>
      <c r="M101" s="304">
        <f>SUM(M81:M100)</f>
        <v>0</v>
      </c>
      <c r="N101" s="305"/>
      <c r="O101" s="302">
        <f t="shared" ref="O101:V101" si="47">SUM(O81:O100)</f>
        <v>0</v>
      </c>
      <c r="P101" s="302">
        <f t="shared" si="47"/>
        <v>0</v>
      </c>
      <c r="Q101" s="267"/>
      <c r="R101" s="302" t="e">
        <f t="shared" si="47"/>
        <v>#VALUE!</v>
      </c>
      <c r="S101" s="302">
        <f t="shared" si="47"/>
        <v>0</v>
      </c>
      <c r="T101" s="302">
        <f t="shared" si="47"/>
        <v>0</v>
      </c>
      <c r="U101" s="303">
        <f t="shared" si="47"/>
        <v>0</v>
      </c>
      <c r="V101" s="448">
        <f t="shared" si="47"/>
        <v>0</v>
      </c>
      <c r="W101" s="268"/>
    </row>
    <row r="102" spans="3:46" hidden="1" x14ac:dyDescent="0.2">
      <c r="C102" s="180"/>
      <c r="D102" s="269"/>
      <c r="E102" s="269"/>
      <c r="F102" s="269"/>
      <c r="G102" s="181"/>
      <c r="H102" s="270"/>
      <c r="I102" s="181"/>
      <c r="J102" s="271"/>
      <c r="K102" s="272"/>
      <c r="L102" s="271"/>
      <c r="M102" s="272"/>
      <c r="N102" s="271"/>
      <c r="O102" s="271"/>
      <c r="P102" s="273"/>
      <c r="Q102" s="273"/>
      <c r="R102" s="273"/>
      <c r="S102" s="273"/>
      <c r="T102" s="437"/>
      <c r="U102" s="274"/>
      <c r="V102" s="449"/>
      <c r="W102" s="275"/>
    </row>
    <row r="103" spans="3:46" s="35" customFormat="1" ht="12.75" hidden="1" customHeight="1" x14ac:dyDescent="0.2">
      <c r="D103" s="55"/>
      <c r="E103" s="55"/>
      <c r="F103" s="55"/>
      <c r="G103" s="51"/>
      <c r="H103" s="141"/>
      <c r="I103" s="51"/>
      <c r="J103" s="142"/>
      <c r="K103" s="143"/>
      <c r="L103" s="142"/>
      <c r="M103" s="144"/>
      <c r="O103" s="145"/>
      <c r="P103" s="146"/>
      <c r="Q103" s="146"/>
      <c r="R103" s="146"/>
      <c r="S103" s="146"/>
      <c r="T103" s="440"/>
      <c r="U103" s="147"/>
      <c r="V103" s="452"/>
      <c r="AC103" s="51"/>
      <c r="AD103" s="148"/>
      <c r="AL103" s="51"/>
      <c r="AM103" s="148"/>
      <c r="AT103" s="34"/>
    </row>
    <row r="104" spans="3:46" ht="12.75" hidden="1" customHeight="1" x14ac:dyDescent="0.2">
      <c r="I104" s="36"/>
      <c r="K104" s="136"/>
      <c r="M104" s="93"/>
      <c r="O104" s="137"/>
      <c r="P104" s="133"/>
      <c r="Q104" s="133"/>
      <c r="R104" s="133"/>
      <c r="S104" s="133"/>
      <c r="T104" s="440"/>
      <c r="U104" s="138"/>
      <c r="V104" s="132"/>
      <c r="AT104" s="35"/>
    </row>
    <row r="105" spans="3:46" ht="12.75" hidden="1" customHeight="1" x14ac:dyDescent="0.2">
      <c r="C105" s="34" t="s">
        <v>153</v>
      </c>
      <c r="E105" s="112" t="str">
        <f>tab!F2</f>
        <v>2015/16</v>
      </c>
      <c r="I105" s="36"/>
      <c r="K105" s="136"/>
      <c r="M105" s="93"/>
      <c r="O105" s="137"/>
      <c r="P105" s="133"/>
      <c r="Q105" s="133"/>
      <c r="R105" s="133"/>
      <c r="S105" s="133"/>
      <c r="T105" s="440"/>
      <c r="U105" s="138"/>
      <c r="V105" s="132"/>
    </row>
    <row r="106" spans="3:46" s="35" customFormat="1" ht="12.75" hidden="1" customHeight="1" x14ac:dyDescent="0.2">
      <c r="C106" s="34" t="s">
        <v>154</v>
      </c>
      <c r="D106" s="55"/>
      <c r="E106" s="112">
        <f>tab!G3</f>
        <v>42278</v>
      </c>
      <c r="F106" s="55"/>
      <c r="G106" s="51"/>
      <c r="H106" s="141"/>
      <c r="I106" s="51"/>
      <c r="J106" s="142"/>
      <c r="K106" s="143"/>
      <c r="L106" s="142"/>
      <c r="M106" s="144"/>
      <c r="O106" s="145"/>
      <c r="P106" s="146"/>
      <c r="Q106" s="146"/>
      <c r="R106" s="146"/>
      <c r="S106" s="146"/>
      <c r="T106" s="440"/>
      <c r="U106" s="147"/>
      <c r="V106" s="452"/>
      <c r="AC106" s="51"/>
      <c r="AD106" s="148"/>
      <c r="AL106" s="51"/>
      <c r="AM106" s="148"/>
      <c r="AT106" s="34"/>
    </row>
    <row r="107" spans="3:46" ht="12.75" hidden="1" customHeight="1" x14ac:dyDescent="0.2">
      <c r="I107" s="36"/>
      <c r="K107" s="136"/>
      <c r="M107" s="93"/>
      <c r="O107" s="137"/>
      <c r="P107" s="133"/>
      <c r="Q107" s="133"/>
      <c r="R107" s="133"/>
      <c r="S107" s="133"/>
      <c r="T107" s="440"/>
      <c r="U107" s="138"/>
      <c r="V107" s="132"/>
      <c r="AT107" s="35"/>
    </row>
    <row r="108" spans="3:46" ht="12.75" hidden="1" customHeight="1" x14ac:dyDescent="0.2">
      <c r="E108" s="69"/>
      <c r="AC108" s="113"/>
      <c r="AD108" s="114"/>
      <c r="AE108" s="113"/>
      <c r="AF108" s="113"/>
      <c r="AG108" s="113"/>
      <c r="AH108" s="104"/>
      <c r="AI108" s="115"/>
      <c r="AJ108" s="116"/>
      <c r="AK108" s="117"/>
      <c r="AL108" s="118"/>
      <c r="AM108" s="115"/>
    </row>
    <row r="109" spans="3:46" ht="12.75" hidden="1" customHeight="1" x14ac:dyDescent="0.2">
      <c r="C109" s="48"/>
      <c r="D109" s="870" t="s">
        <v>155</v>
      </c>
      <c r="E109" s="870"/>
      <c r="F109" s="870"/>
      <c r="G109" s="870"/>
      <c r="H109" s="870"/>
      <c r="I109" s="870"/>
      <c r="J109" s="870"/>
      <c r="K109" s="870"/>
      <c r="L109" s="870"/>
      <c r="M109" s="870"/>
      <c r="N109" s="277"/>
      <c r="O109" s="867" t="s">
        <v>428</v>
      </c>
      <c r="P109" s="868"/>
      <c r="Q109" s="868"/>
      <c r="R109" s="868"/>
      <c r="S109" s="868"/>
      <c r="T109" s="869"/>
      <c r="U109" s="278"/>
      <c r="V109" s="445"/>
      <c r="W109" s="119"/>
      <c r="X109" s="130"/>
      <c r="Y109" s="130"/>
      <c r="Z109" s="93"/>
      <c r="AA109" s="140"/>
      <c r="AB109" s="93"/>
      <c r="AC109" s="34"/>
      <c r="AD109" s="34"/>
      <c r="AL109" s="34"/>
      <c r="AM109" s="34"/>
      <c r="AN109" s="130"/>
      <c r="AO109" s="130"/>
    </row>
    <row r="110" spans="3:46" ht="12.75" hidden="1" customHeight="1" x14ac:dyDescent="0.2">
      <c r="C110" s="48"/>
      <c r="D110" s="279" t="s">
        <v>156</v>
      </c>
      <c r="E110" s="279" t="s">
        <v>157</v>
      </c>
      <c r="F110" s="279" t="s">
        <v>158</v>
      </c>
      <c r="G110" s="280" t="s">
        <v>159</v>
      </c>
      <c r="H110" s="281" t="s">
        <v>160</v>
      </c>
      <c r="I110" s="280" t="s">
        <v>111</v>
      </c>
      <c r="J110" s="280" t="s">
        <v>161</v>
      </c>
      <c r="K110" s="282" t="s">
        <v>163</v>
      </c>
      <c r="L110" s="283" t="s">
        <v>164</v>
      </c>
      <c r="M110" s="282" t="s">
        <v>163</v>
      </c>
      <c r="N110" s="284"/>
      <c r="O110" s="294" t="s">
        <v>162</v>
      </c>
      <c r="P110" s="294" t="s">
        <v>429</v>
      </c>
      <c r="Q110" s="294" t="s">
        <v>165</v>
      </c>
      <c r="R110" s="284"/>
      <c r="S110" s="295" t="s">
        <v>164</v>
      </c>
      <c r="T110" s="427" t="s">
        <v>166</v>
      </c>
      <c r="U110" s="428" t="s">
        <v>168</v>
      </c>
      <c r="V110" s="358" t="s">
        <v>445</v>
      </c>
      <c r="W110" s="72"/>
      <c r="X110" s="128"/>
      <c r="Y110" s="128"/>
      <c r="Z110" s="126"/>
      <c r="AA110" s="127"/>
      <c r="AB110" s="126"/>
      <c r="AC110" s="34"/>
      <c r="AD110" s="34"/>
      <c r="AL110" s="34"/>
      <c r="AM110" s="34"/>
      <c r="AN110" s="130"/>
      <c r="AO110" s="128"/>
    </row>
    <row r="111" spans="3:46" ht="12.75" hidden="1" customHeight="1" x14ac:dyDescent="0.2">
      <c r="C111" s="48"/>
      <c r="D111" s="285"/>
      <c r="E111" s="279"/>
      <c r="F111" s="286"/>
      <c r="G111" s="280" t="s">
        <v>170</v>
      </c>
      <c r="H111" s="281" t="s">
        <v>171</v>
      </c>
      <c r="I111" s="280"/>
      <c r="J111" s="280"/>
      <c r="K111" s="282" t="s">
        <v>173</v>
      </c>
      <c r="L111" s="283"/>
      <c r="M111" s="282" t="s">
        <v>174</v>
      </c>
      <c r="N111" s="284"/>
      <c r="O111" s="294" t="s">
        <v>172</v>
      </c>
      <c r="P111" s="294" t="s">
        <v>430</v>
      </c>
      <c r="Q111" s="315">
        <f>tab!D68</f>
        <v>0.61</v>
      </c>
      <c r="R111" s="284" t="s">
        <v>446</v>
      </c>
      <c r="S111" s="295" t="s">
        <v>167</v>
      </c>
      <c r="T111" s="427" t="s">
        <v>54</v>
      </c>
      <c r="U111" s="428"/>
      <c r="V111" s="295" t="s">
        <v>167</v>
      </c>
      <c r="W111" s="48"/>
      <c r="AC111" s="34"/>
      <c r="AD111" s="34"/>
      <c r="AL111" s="34"/>
      <c r="AM111" s="34"/>
      <c r="AO111" s="133"/>
    </row>
    <row r="112" spans="3:46" ht="12.75" hidden="1" customHeight="1" x14ac:dyDescent="0.2">
      <c r="I112" s="74"/>
      <c r="J112" s="74"/>
      <c r="K112" s="126"/>
      <c r="L112" s="127"/>
      <c r="M112" s="126"/>
      <c r="N112" s="128"/>
      <c r="O112" s="129"/>
      <c r="P112" s="130"/>
      <c r="Q112" s="130"/>
      <c r="R112" s="130"/>
      <c r="S112" s="130"/>
      <c r="T112" s="434"/>
      <c r="U112" s="131"/>
      <c r="V112" s="132"/>
      <c r="W112" s="128"/>
      <c r="AC112" s="34"/>
      <c r="AD112" s="34"/>
      <c r="AL112" s="34"/>
      <c r="AM112" s="34"/>
      <c r="AO112" s="133"/>
    </row>
    <row r="113" spans="3:36" ht="12.75" hidden="1" customHeight="1" x14ac:dyDescent="0.2">
      <c r="C113" s="177"/>
      <c r="D113" s="287" t="str">
        <f t="shared" ref="D113:F124" si="48">IF(D81=0,"",D81)</f>
        <v/>
      </c>
      <c r="E113" s="287" t="str">
        <f t="shared" si="48"/>
        <v/>
      </c>
      <c r="F113" s="287" t="str">
        <f t="shared" si="48"/>
        <v/>
      </c>
      <c r="G113" s="288" t="str">
        <f t="shared" ref="G113:G132" si="49">IF(G81="","",G81+1)</f>
        <v/>
      </c>
      <c r="H113" s="289" t="str">
        <f t="shared" ref="H113:H132" si="50">IF(H81=0,"",H81)</f>
        <v/>
      </c>
      <c r="I113" s="288" t="str">
        <f t="shared" ref="I113:I132" si="51">IF(I81=0,"",I81)</f>
        <v/>
      </c>
      <c r="J113" s="288" t="str">
        <f t="shared" ref="J113:J132" si="52">IF(E113="","",(IF((J81+1)&gt;VLOOKUP(I113,tabelsalaris,23,FALSE),J81,J81+1)))</f>
        <v/>
      </c>
      <c r="K113" s="290" t="str">
        <f t="shared" ref="K113:L124" si="53">IF(K81="","",K81)</f>
        <v/>
      </c>
      <c r="L113" s="291" t="str">
        <f t="shared" si="53"/>
        <v/>
      </c>
      <c r="M113" s="292" t="str">
        <f>IF(L113="",K113,K113-L113)</f>
        <v/>
      </c>
      <c r="N113" s="260"/>
      <c r="O113" s="296" t="str">
        <f t="shared" ref="O113:O132" si="54">IF(I113="","",VLOOKUP(I113,tabelsalaris,J113+2,FALSE))</f>
        <v/>
      </c>
      <c r="P113" s="297" t="str">
        <f t="shared" ref="P113:P132" si="55">IF(E113="","",(O113*M113*12))</f>
        <v/>
      </c>
      <c r="Q113" s="455">
        <f>$Q$111</f>
        <v>0.61</v>
      </c>
      <c r="R113" s="297" t="e">
        <f t="shared" ref="R113:R132" si="56">IF(E113=0,"",+P113*Q113)</f>
        <v>#VALUE!</v>
      </c>
      <c r="S113" s="297">
        <f>IF(L113="",0,O113*12*L113*IF(OR(I113&lt;=8,I113="LIOa",I113="LIOb",I113="ID1",I113="ID2",I113="ID3"),1+tab!D$72,1+tab!D$70))</f>
        <v>0</v>
      </c>
      <c r="T113" s="435">
        <f t="shared" ref="T113:T132" si="57">IF(E113="",0,(P113+R113+S113))</f>
        <v>0</v>
      </c>
      <c r="U113" s="300">
        <f>IF(G113&lt;25,0,IF(G113=25,25,IF(G113&lt;40,0,IF(G113=40,40,IF(G113&gt;=40,0)))))</f>
        <v>0</v>
      </c>
      <c r="V113" s="446">
        <f t="shared" ref="V113:V132" si="58">IF(E113="",0,IF(U113=25,(O113*1.08*(K113)/2),IF(U113=40,(O113*1.08*(K113)),IF(U113=0,0))))</f>
        <v>0</v>
      </c>
      <c r="W113" s="261"/>
      <c r="AA113" s="139"/>
      <c r="AJ113" s="139"/>
    </row>
    <row r="114" spans="3:36" ht="12.75" hidden="1" customHeight="1" x14ac:dyDescent="0.2">
      <c r="C114" s="178"/>
      <c r="D114" s="287" t="str">
        <f t="shared" si="48"/>
        <v/>
      </c>
      <c r="E114" s="287" t="str">
        <f t="shared" si="48"/>
        <v/>
      </c>
      <c r="F114" s="287" t="str">
        <f t="shared" si="48"/>
        <v/>
      </c>
      <c r="G114" s="288" t="str">
        <f t="shared" si="49"/>
        <v/>
      </c>
      <c r="H114" s="289" t="str">
        <f t="shared" si="50"/>
        <v/>
      </c>
      <c r="I114" s="288" t="str">
        <f t="shared" si="51"/>
        <v/>
      </c>
      <c r="J114" s="288" t="str">
        <f t="shared" si="52"/>
        <v/>
      </c>
      <c r="K114" s="290" t="str">
        <f t="shared" si="53"/>
        <v/>
      </c>
      <c r="L114" s="291" t="str">
        <f t="shared" si="53"/>
        <v/>
      </c>
      <c r="M114" s="293" t="str">
        <f t="shared" ref="M114:M132" si="59">IF(L114="",K114,K114-L114)</f>
        <v/>
      </c>
      <c r="N114" s="262"/>
      <c r="O114" s="298" t="str">
        <f t="shared" si="54"/>
        <v/>
      </c>
      <c r="P114" s="299" t="str">
        <f t="shared" si="55"/>
        <v/>
      </c>
      <c r="Q114" s="455">
        <f t="shared" ref="Q114:Q132" si="60">$Q$111</f>
        <v>0.61</v>
      </c>
      <c r="R114" s="297" t="e">
        <f t="shared" si="56"/>
        <v>#VALUE!</v>
      </c>
      <c r="S114" s="299">
        <f>IF(L114="",0,O114*12*L114*IF(OR(I114&lt;=8,I114="LIOa",I114="LIOb",I114="ID1",I114="ID2",I114="ID3"),1+tab!D$72,1+tab!D$70))</f>
        <v>0</v>
      </c>
      <c r="T114" s="436">
        <f t="shared" si="57"/>
        <v>0</v>
      </c>
      <c r="U114" s="301">
        <f t="shared" ref="U114:U132" si="61">IF(G114&lt;25,0,IF(G114=25,25,IF(G114&lt;40,0,IF(G114=40,40,IF(G114&gt;=40,0)))))</f>
        <v>0</v>
      </c>
      <c r="V114" s="447">
        <f t="shared" si="58"/>
        <v>0</v>
      </c>
      <c r="W114" s="263"/>
      <c r="AA114" s="139"/>
      <c r="AJ114" s="139"/>
    </row>
    <row r="115" spans="3:36" ht="12.75" hidden="1" customHeight="1" x14ac:dyDescent="0.2">
      <c r="C115" s="178"/>
      <c r="D115" s="287" t="str">
        <f t="shared" si="48"/>
        <v/>
      </c>
      <c r="E115" s="287" t="str">
        <f t="shared" si="48"/>
        <v/>
      </c>
      <c r="F115" s="287" t="str">
        <f t="shared" si="48"/>
        <v/>
      </c>
      <c r="G115" s="288" t="str">
        <f t="shared" si="49"/>
        <v/>
      </c>
      <c r="H115" s="289" t="str">
        <f t="shared" si="50"/>
        <v/>
      </c>
      <c r="I115" s="288" t="str">
        <f t="shared" si="51"/>
        <v/>
      </c>
      <c r="J115" s="288" t="str">
        <f t="shared" si="52"/>
        <v/>
      </c>
      <c r="K115" s="290" t="str">
        <f t="shared" si="53"/>
        <v/>
      </c>
      <c r="L115" s="291" t="str">
        <f t="shared" si="53"/>
        <v/>
      </c>
      <c r="M115" s="293" t="str">
        <f t="shared" si="59"/>
        <v/>
      </c>
      <c r="N115" s="262"/>
      <c r="O115" s="298" t="str">
        <f t="shared" si="54"/>
        <v/>
      </c>
      <c r="P115" s="299" t="str">
        <f t="shared" si="55"/>
        <v/>
      </c>
      <c r="Q115" s="455">
        <f t="shared" si="60"/>
        <v>0.61</v>
      </c>
      <c r="R115" s="297" t="e">
        <f t="shared" si="56"/>
        <v>#VALUE!</v>
      </c>
      <c r="S115" s="299">
        <f>IF(L115="",0,O115*12*L115*IF(OR(I115&lt;=8,I115="LIOa",I115="LIOb",I115="ID1",I115="ID2",I115="ID3"),1+tab!D$72,1+tab!D$70))</f>
        <v>0</v>
      </c>
      <c r="T115" s="436">
        <f t="shared" si="57"/>
        <v>0</v>
      </c>
      <c r="U115" s="301">
        <f t="shared" si="61"/>
        <v>0</v>
      </c>
      <c r="V115" s="447">
        <f t="shared" si="58"/>
        <v>0</v>
      </c>
      <c r="W115" s="263"/>
      <c r="AA115" s="139"/>
      <c r="AJ115" s="139"/>
    </row>
    <row r="116" spans="3:36" ht="12.75" hidden="1" customHeight="1" x14ac:dyDescent="0.2">
      <c r="C116" s="178"/>
      <c r="D116" s="287" t="str">
        <f t="shared" si="48"/>
        <v/>
      </c>
      <c r="E116" s="287" t="str">
        <f t="shared" si="48"/>
        <v/>
      </c>
      <c r="F116" s="287" t="str">
        <f t="shared" si="48"/>
        <v/>
      </c>
      <c r="G116" s="288" t="str">
        <f t="shared" si="49"/>
        <v/>
      </c>
      <c r="H116" s="289" t="str">
        <f t="shared" si="50"/>
        <v/>
      </c>
      <c r="I116" s="288" t="str">
        <f t="shared" si="51"/>
        <v/>
      </c>
      <c r="J116" s="288" t="str">
        <f t="shared" si="52"/>
        <v/>
      </c>
      <c r="K116" s="290" t="str">
        <f t="shared" si="53"/>
        <v/>
      </c>
      <c r="L116" s="291" t="str">
        <f t="shared" si="53"/>
        <v/>
      </c>
      <c r="M116" s="293" t="str">
        <f t="shared" si="59"/>
        <v/>
      </c>
      <c r="N116" s="262"/>
      <c r="O116" s="298" t="str">
        <f t="shared" si="54"/>
        <v/>
      </c>
      <c r="P116" s="299" t="str">
        <f t="shared" si="55"/>
        <v/>
      </c>
      <c r="Q116" s="455">
        <f t="shared" si="60"/>
        <v>0.61</v>
      </c>
      <c r="R116" s="297" t="e">
        <f t="shared" si="56"/>
        <v>#VALUE!</v>
      </c>
      <c r="S116" s="299">
        <f>IF(L116="",0,O116*12*L116*IF(OR(I116&lt;=8,I116="LIOa",I116="LIOb",I116="ID1",I116="ID2",I116="ID3"),1+tab!D$72,1+tab!D$70))</f>
        <v>0</v>
      </c>
      <c r="T116" s="436">
        <f t="shared" si="57"/>
        <v>0</v>
      </c>
      <c r="U116" s="301">
        <f t="shared" si="61"/>
        <v>0</v>
      </c>
      <c r="V116" s="447">
        <f t="shared" si="58"/>
        <v>0</v>
      </c>
      <c r="W116" s="263"/>
      <c r="AA116" s="139"/>
      <c r="AJ116" s="139"/>
    </row>
    <row r="117" spans="3:36" ht="12.75" hidden="1" customHeight="1" x14ac:dyDescent="0.2">
      <c r="C117" s="178"/>
      <c r="D117" s="287" t="str">
        <f t="shared" si="48"/>
        <v/>
      </c>
      <c r="E117" s="287" t="str">
        <f t="shared" si="48"/>
        <v/>
      </c>
      <c r="F117" s="287" t="str">
        <f t="shared" si="48"/>
        <v/>
      </c>
      <c r="G117" s="288" t="str">
        <f t="shared" si="49"/>
        <v/>
      </c>
      <c r="H117" s="289" t="str">
        <f t="shared" si="50"/>
        <v/>
      </c>
      <c r="I117" s="288" t="str">
        <f t="shared" si="51"/>
        <v/>
      </c>
      <c r="J117" s="288" t="str">
        <f t="shared" si="52"/>
        <v/>
      </c>
      <c r="K117" s="290" t="str">
        <f t="shared" si="53"/>
        <v/>
      </c>
      <c r="L117" s="291" t="str">
        <f t="shared" si="53"/>
        <v/>
      </c>
      <c r="M117" s="293" t="str">
        <f t="shared" si="59"/>
        <v/>
      </c>
      <c r="N117" s="262"/>
      <c r="O117" s="298" t="str">
        <f t="shared" si="54"/>
        <v/>
      </c>
      <c r="P117" s="299" t="str">
        <f t="shared" si="55"/>
        <v/>
      </c>
      <c r="Q117" s="455">
        <f t="shared" si="60"/>
        <v>0.61</v>
      </c>
      <c r="R117" s="297" t="e">
        <f t="shared" si="56"/>
        <v>#VALUE!</v>
      </c>
      <c r="S117" s="299">
        <f>IF(L117="",0,O117*12*L117*IF(OR(I117&lt;=8,I117="LIOa",I117="LIOb",I117="ID1",I117="ID2",I117="ID3"),1+tab!D$72,1+tab!D$70))</f>
        <v>0</v>
      </c>
      <c r="T117" s="436">
        <f t="shared" si="57"/>
        <v>0</v>
      </c>
      <c r="U117" s="301">
        <f t="shared" si="61"/>
        <v>0</v>
      </c>
      <c r="V117" s="447">
        <f t="shared" si="58"/>
        <v>0</v>
      </c>
      <c r="W117" s="263"/>
      <c r="AA117" s="139"/>
      <c r="AJ117" s="139"/>
    </row>
    <row r="118" spans="3:36" ht="12.75" hidden="1" customHeight="1" x14ac:dyDescent="0.2">
      <c r="C118" s="178"/>
      <c r="D118" s="287" t="str">
        <f t="shared" si="48"/>
        <v/>
      </c>
      <c r="E118" s="287" t="str">
        <f t="shared" si="48"/>
        <v/>
      </c>
      <c r="F118" s="287" t="str">
        <f t="shared" si="48"/>
        <v/>
      </c>
      <c r="G118" s="288" t="str">
        <f t="shared" si="49"/>
        <v/>
      </c>
      <c r="H118" s="289" t="str">
        <f t="shared" si="50"/>
        <v/>
      </c>
      <c r="I118" s="288" t="str">
        <f t="shared" si="51"/>
        <v/>
      </c>
      <c r="J118" s="288" t="str">
        <f t="shared" si="52"/>
        <v/>
      </c>
      <c r="K118" s="290" t="str">
        <f t="shared" si="53"/>
        <v/>
      </c>
      <c r="L118" s="291" t="str">
        <f t="shared" si="53"/>
        <v/>
      </c>
      <c r="M118" s="293" t="str">
        <f t="shared" si="59"/>
        <v/>
      </c>
      <c r="N118" s="262"/>
      <c r="O118" s="298" t="str">
        <f t="shared" si="54"/>
        <v/>
      </c>
      <c r="P118" s="299" t="str">
        <f t="shared" si="55"/>
        <v/>
      </c>
      <c r="Q118" s="455">
        <f t="shared" si="60"/>
        <v>0.61</v>
      </c>
      <c r="R118" s="297" t="e">
        <f t="shared" si="56"/>
        <v>#VALUE!</v>
      </c>
      <c r="S118" s="299">
        <f>IF(L118="",0,O118*12*L118*IF(OR(I118&lt;=8,I118="LIOa",I118="LIOb",I118="ID1",I118="ID2",I118="ID3"),1+tab!D$72,1+tab!D$70))</f>
        <v>0</v>
      </c>
      <c r="T118" s="436">
        <f t="shared" si="57"/>
        <v>0</v>
      </c>
      <c r="U118" s="301">
        <f t="shared" si="61"/>
        <v>0</v>
      </c>
      <c r="V118" s="447">
        <f t="shared" si="58"/>
        <v>0</v>
      </c>
      <c r="W118" s="263"/>
      <c r="AA118" s="139"/>
      <c r="AJ118" s="139"/>
    </row>
    <row r="119" spans="3:36" ht="12.75" hidden="1" customHeight="1" x14ac:dyDescent="0.2">
      <c r="C119" s="178"/>
      <c r="D119" s="287" t="str">
        <f t="shared" si="48"/>
        <v/>
      </c>
      <c r="E119" s="287" t="str">
        <f t="shared" si="48"/>
        <v/>
      </c>
      <c r="F119" s="287" t="str">
        <f t="shared" si="48"/>
        <v/>
      </c>
      <c r="G119" s="288" t="str">
        <f t="shared" si="49"/>
        <v/>
      </c>
      <c r="H119" s="289" t="str">
        <f t="shared" si="50"/>
        <v/>
      </c>
      <c r="I119" s="288" t="str">
        <f t="shared" si="51"/>
        <v/>
      </c>
      <c r="J119" s="288" t="str">
        <f t="shared" si="52"/>
        <v/>
      </c>
      <c r="K119" s="290" t="str">
        <f t="shared" si="53"/>
        <v/>
      </c>
      <c r="L119" s="291" t="str">
        <f t="shared" si="53"/>
        <v/>
      </c>
      <c r="M119" s="293" t="str">
        <f t="shared" si="59"/>
        <v/>
      </c>
      <c r="N119" s="262"/>
      <c r="O119" s="298" t="str">
        <f t="shared" si="54"/>
        <v/>
      </c>
      <c r="P119" s="299" t="str">
        <f t="shared" si="55"/>
        <v/>
      </c>
      <c r="Q119" s="455">
        <f t="shared" si="60"/>
        <v>0.61</v>
      </c>
      <c r="R119" s="297" t="e">
        <f t="shared" si="56"/>
        <v>#VALUE!</v>
      </c>
      <c r="S119" s="299">
        <f>IF(L119="",0,O119*12*L119*IF(OR(I119&lt;=8,I119="LIOa",I119="LIOb",I119="ID1",I119="ID2",I119="ID3"),1+tab!D$72,1+tab!D$70))</f>
        <v>0</v>
      </c>
      <c r="T119" s="436">
        <f t="shared" si="57"/>
        <v>0</v>
      </c>
      <c r="U119" s="301">
        <f t="shared" si="61"/>
        <v>0</v>
      </c>
      <c r="V119" s="447">
        <f t="shared" si="58"/>
        <v>0</v>
      </c>
      <c r="W119" s="263"/>
      <c r="AA119" s="139"/>
      <c r="AJ119" s="139"/>
    </row>
    <row r="120" spans="3:36" ht="12.75" hidden="1" customHeight="1" x14ac:dyDescent="0.2">
      <c r="C120" s="178"/>
      <c r="D120" s="287" t="str">
        <f t="shared" si="48"/>
        <v/>
      </c>
      <c r="E120" s="287" t="str">
        <f t="shared" si="48"/>
        <v/>
      </c>
      <c r="F120" s="287" t="str">
        <f t="shared" si="48"/>
        <v/>
      </c>
      <c r="G120" s="288" t="str">
        <f t="shared" si="49"/>
        <v/>
      </c>
      <c r="H120" s="289" t="str">
        <f t="shared" si="50"/>
        <v/>
      </c>
      <c r="I120" s="288" t="str">
        <f t="shared" si="51"/>
        <v/>
      </c>
      <c r="J120" s="288" t="str">
        <f t="shared" si="52"/>
        <v/>
      </c>
      <c r="K120" s="290" t="str">
        <f t="shared" si="53"/>
        <v/>
      </c>
      <c r="L120" s="291" t="str">
        <f t="shared" si="53"/>
        <v/>
      </c>
      <c r="M120" s="293" t="str">
        <f t="shared" si="59"/>
        <v/>
      </c>
      <c r="N120" s="262"/>
      <c r="O120" s="298" t="str">
        <f t="shared" si="54"/>
        <v/>
      </c>
      <c r="P120" s="299" t="str">
        <f t="shared" si="55"/>
        <v/>
      </c>
      <c r="Q120" s="455">
        <f t="shared" si="60"/>
        <v>0.61</v>
      </c>
      <c r="R120" s="297" t="e">
        <f t="shared" si="56"/>
        <v>#VALUE!</v>
      </c>
      <c r="S120" s="299">
        <f>IF(L120="",0,O120*12*L120*IF(OR(I120&lt;=8,I120="LIOa",I120="LIOb",I120="ID1",I120="ID2",I120="ID3"),1+tab!D$72,1+tab!D$70))</f>
        <v>0</v>
      </c>
      <c r="T120" s="436">
        <f t="shared" si="57"/>
        <v>0</v>
      </c>
      <c r="U120" s="301">
        <f t="shared" si="61"/>
        <v>0</v>
      </c>
      <c r="V120" s="447">
        <f t="shared" si="58"/>
        <v>0</v>
      </c>
      <c r="W120" s="263"/>
      <c r="AA120" s="139"/>
      <c r="AJ120" s="139"/>
    </row>
    <row r="121" spans="3:36" ht="12.75" hidden="1" customHeight="1" x14ac:dyDescent="0.2">
      <c r="C121" s="178"/>
      <c r="D121" s="287" t="str">
        <f t="shared" si="48"/>
        <v/>
      </c>
      <c r="E121" s="287" t="str">
        <f t="shared" si="48"/>
        <v/>
      </c>
      <c r="F121" s="287" t="str">
        <f t="shared" si="48"/>
        <v/>
      </c>
      <c r="G121" s="288" t="str">
        <f t="shared" si="49"/>
        <v/>
      </c>
      <c r="H121" s="289" t="str">
        <f t="shared" si="50"/>
        <v/>
      </c>
      <c r="I121" s="288" t="str">
        <f t="shared" si="51"/>
        <v/>
      </c>
      <c r="J121" s="288" t="str">
        <f t="shared" si="52"/>
        <v/>
      </c>
      <c r="K121" s="290" t="str">
        <f t="shared" si="53"/>
        <v/>
      </c>
      <c r="L121" s="291" t="str">
        <f t="shared" si="53"/>
        <v/>
      </c>
      <c r="M121" s="293" t="str">
        <f t="shared" si="59"/>
        <v/>
      </c>
      <c r="N121" s="262"/>
      <c r="O121" s="298" t="str">
        <f t="shared" si="54"/>
        <v/>
      </c>
      <c r="P121" s="299" t="str">
        <f t="shared" si="55"/>
        <v/>
      </c>
      <c r="Q121" s="455">
        <f t="shared" si="60"/>
        <v>0.61</v>
      </c>
      <c r="R121" s="297" t="e">
        <f t="shared" si="56"/>
        <v>#VALUE!</v>
      </c>
      <c r="S121" s="299">
        <f>IF(L121="",0,O121*12*L121*IF(OR(I121&lt;=8,I121="LIOa",I121="LIOb",I121="ID1",I121="ID2",I121="ID3"),1+tab!D$72,1+tab!D$70))</f>
        <v>0</v>
      </c>
      <c r="T121" s="436">
        <f t="shared" si="57"/>
        <v>0</v>
      </c>
      <c r="U121" s="301">
        <f t="shared" si="61"/>
        <v>0</v>
      </c>
      <c r="V121" s="447">
        <f t="shared" si="58"/>
        <v>0</v>
      </c>
      <c r="W121" s="263"/>
      <c r="AA121" s="139"/>
      <c r="AJ121" s="139"/>
    </row>
    <row r="122" spans="3:36" ht="12.75" hidden="1" customHeight="1" x14ac:dyDescent="0.2">
      <c r="C122" s="178"/>
      <c r="D122" s="287" t="str">
        <f t="shared" si="48"/>
        <v/>
      </c>
      <c r="E122" s="287" t="str">
        <f t="shared" si="48"/>
        <v/>
      </c>
      <c r="F122" s="287" t="str">
        <f t="shared" si="48"/>
        <v/>
      </c>
      <c r="G122" s="288" t="str">
        <f t="shared" si="49"/>
        <v/>
      </c>
      <c r="H122" s="289" t="str">
        <f t="shared" si="50"/>
        <v/>
      </c>
      <c r="I122" s="288" t="str">
        <f t="shared" si="51"/>
        <v/>
      </c>
      <c r="J122" s="288" t="str">
        <f t="shared" si="52"/>
        <v/>
      </c>
      <c r="K122" s="290" t="str">
        <f t="shared" si="53"/>
        <v/>
      </c>
      <c r="L122" s="291" t="str">
        <f t="shared" si="53"/>
        <v/>
      </c>
      <c r="M122" s="293" t="str">
        <f t="shared" si="59"/>
        <v/>
      </c>
      <c r="N122" s="262"/>
      <c r="O122" s="298" t="str">
        <f t="shared" si="54"/>
        <v/>
      </c>
      <c r="P122" s="299" t="str">
        <f t="shared" si="55"/>
        <v/>
      </c>
      <c r="Q122" s="455">
        <f t="shared" si="60"/>
        <v>0.61</v>
      </c>
      <c r="R122" s="297" t="e">
        <f t="shared" si="56"/>
        <v>#VALUE!</v>
      </c>
      <c r="S122" s="299">
        <f>IF(L122="",0,O122*12*L122*IF(OR(I122&lt;=8,I122="LIOa",I122="LIOb",I122="ID1",I122="ID2",I122="ID3"),1+tab!D$72,1+tab!D$70))</f>
        <v>0</v>
      </c>
      <c r="T122" s="436">
        <f t="shared" si="57"/>
        <v>0</v>
      </c>
      <c r="U122" s="301">
        <f t="shared" si="61"/>
        <v>0</v>
      </c>
      <c r="V122" s="447">
        <f t="shared" si="58"/>
        <v>0</v>
      </c>
      <c r="W122" s="263"/>
      <c r="AA122" s="139"/>
      <c r="AJ122" s="139"/>
    </row>
    <row r="123" spans="3:36" ht="12.75" hidden="1" customHeight="1" x14ac:dyDescent="0.2">
      <c r="C123" s="178"/>
      <c r="D123" s="287" t="str">
        <f t="shared" si="48"/>
        <v/>
      </c>
      <c r="E123" s="287" t="str">
        <f t="shared" si="48"/>
        <v/>
      </c>
      <c r="F123" s="287" t="str">
        <f t="shared" si="48"/>
        <v/>
      </c>
      <c r="G123" s="288" t="str">
        <f t="shared" si="49"/>
        <v/>
      </c>
      <c r="H123" s="289" t="str">
        <f t="shared" si="50"/>
        <v/>
      </c>
      <c r="I123" s="288" t="str">
        <f t="shared" si="51"/>
        <v/>
      </c>
      <c r="J123" s="288" t="str">
        <f t="shared" si="52"/>
        <v/>
      </c>
      <c r="K123" s="290" t="str">
        <f t="shared" si="53"/>
        <v/>
      </c>
      <c r="L123" s="291" t="str">
        <f t="shared" si="53"/>
        <v/>
      </c>
      <c r="M123" s="293" t="str">
        <f t="shared" si="59"/>
        <v/>
      </c>
      <c r="N123" s="262"/>
      <c r="O123" s="298" t="str">
        <f t="shared" si="54"/>
        <v/>
      </c>
      <c r="P123" s="299" t="str">
        <f t="shared" si="55"/>
        <v/>
      </c>
      <c r="Q123" s="455">
        <f t="shared" si="60"/>
        <v>0.61</v>
      </c>
      <c r="R123" s="297" t="e">
        <f t="shared" si="56"/>
        <v>#VALUE!</v>
      </c>
      <c r="S123" s="299">
        <f>IF(L123="",0,O123*12*L123*IF(OR(I123&lt;=8,I123="LIOa",I123="LIOb",I123="ID1",I123="ID2",I123="ID3"),1+tab!D$72,1+tab!D$70))</f>
        <v>0</v>
      </c>
      <c r="T123" s="436">
        <f t="shared" si="57"/>
        <v>0</v>
      </c>
      <c r="U123" s="301">
        <f t="shared" si="61"/>
        <v>0</v>
      </c>
      <c r="V123" s="447">
        <f t="shared" si="58"/>
        <v>0</v>
      </c>
      <c r="W123" s="263"/>
      <c r="AA123" s="139"/>
      <c r="AJ123" s="139"/>
    </row>
    <row r="124" spans="3:36" ht="12.75" hidden="1" customHeight="1" x14ac:dyDescent="0.2">
      <c r="C124" s="178"/>
      <c r="D124" s="287" t="str">
        <f t="shared" si="48"/>
        <v/>
      </c>
      <c r="E124" s="287" t="str">
        <f t="shared" si="48"/>
        <v/>
      </c>
      <c r="F124" s="287" t="str">
        <f t="shared" si="48"/>
        <v/>
      </c>
      <c r="G124" s="288" t="str">
        <f t="shared" si="49"/>
        <v/>
      </c>
      <c r="H124" s="289" t="str">
        <f t="shared" si="50"/>
        <v/>
      </c>
      <c r="I124" s="288" t="str">
        <f t="shared" si="51"/>
        <v/>
      </c>
      <c r="J124" s="288" t="str">
        <f t="shared" si="52"/>
        <v/>
      </c>
      <c r="K124" s="290" t="str">
        <f t="shared" si="53"/>
        <v/>
      </c>
      <c r="L124" s="291" t="str">
        <f t="shared" si="53"/>
        <v/>
      </c>
      <c r="M124" s="293" t="str">
        <f t="shared" si="59"/>
        <v/>
      </c>
      <c r="N124" s="262"/>
      <c r="O124" s="298" t="str">
        <f t="shared" si="54"/>
        <v/>
      </c>
      <c r="P124" s="299" t="str">
        <f t="shared" si="55"/>
        <v/>
      </c>
      <c r="Q124" s="455">
        <f t="shared" si="60"/>
        <v>0.61</v>
      </c>
      <c r="R124" s="297" t="e">
        <f t="shared" si="56"/>
        <v>#VALUE!</v>
      </c>
      <c r="S124" s="299">
        <f>IF(L124="",0,O124*12*L124*IF(OR(I124&lt;=8,I124="LIOa",I124="LIOb",I124="ID1",I124="ID2",I124="ID3"),1+tab!D$72,1+tab!D$70))</f>
        <v>0</v>
      </c>
      <c r="T124" s="436">
        <f t="shared" si="57"/>
        <v>0</v>
      </c>
      <c r="U124" s="301">
        <f t="shared" si="61"/>
        <v>0</v>
      </c>
      <c r="V124" s="447">
        <f t="shared" si="58"/>
        <v>0</v>
      </c>
      <c r="W124" s="263"/>
      <c r="AA124" s="139"/>
      <c r="AJ124" s="139"/>
    </row>
    <row r="125" spans="3:36" ht="12.75" hidden="1" customHeight="1" x14ac:dyDescent="0.2">
      <c r="C125" s="178"/>
      <c r="D125" s="287" t="str">
        <f t="shared" ref="D125:F127" si="62">IF(D93=0,"",D93)</f>
        <v/>
      </c>
      <c r="E125" s="287" t="str">
        <f t="shared" si="62"/>
        <v/>
      </c>
      <c r="F125" s="287" t="str">
        <f t="shared" si="62"/>
        <v/>
      </c>
      <c r="G125" s="288" t="str">
        <f t="shared" si="49"/>
        <v/>
      </c>
      <c r="H125" s="289" t="str">
        <f t="shared" si="50"/>
        <v/>
      </c>
      <c r="I125" s="288" t="str">
        <f t="shared" si="51"/>
        <v/>
      </c>
      <c r="J125" s="288" t="str">
        <f t="shared" si="52"/>
        <v/>
      </c>
      <c r="K125" s="290" t="str">
        <f t="shared" ref="K125:L127" si="63">IF(K93="","",K93)</f>
        <v/>
      </c>
      <c r="L125" s="291" t="str">
        <f t="shared" si="63"/>
        <v/>
      </c>
      <c r="M125" s="293" t="str">
        <f t="shared" si="59"/>
        <v/>
      </c>
      <c r="N125" s="262"/>
      <c r="O125" s="298" t="str">
        <f t="shared" si="54"/>
        <v/>
      </c>
      <c r="P125" s="299" t="str">
        <f t="shared" si="55"/>
        <v/>
      </c>
      <c r="Q125" s="455">
        <f t="shared" si="60"/>
        <v>0.61</v>
      </c>
      <c r="R125" s="297" t="e">
        <f t="shared" si="56"/>
        <v>#VALUE!</v>
      </c>
      <c r="S125" s="299">
        <f>IF(L125="",0,O125*12*L125*IF(OR(I125&lt;=8,I125="LIOa",I125="LIOb",I125="ID1",I125="ID2",I125="ID3"),1+tab!D$72,1+tab!D$70))</f>
        <v>0</v>
      </c>
      <c r="T125" s="436">
        <f t="shared" si="57"/>
        <v>0</v>
      </c>
      <c r="U125" s="301">
        <f t="shared" si="61"/>
        <v>0</v>
      </c>
      <c r="V125" s="447">
        <f t="shared" si="58"/>
        <v>0</v>
      </c>
      <c r="W125" s="263"/>
      <c r="AA125" s="139"/>
      <c r="AJ125" s="139"/>
    </row>
    <row r="126" spans="3:36" ht="12.75" hidden="1" customHeight="1" x14ac:dyDescent="0.2">
      <c r="C126" s="178"/>
      <c r="D126" s="287" t="str">
        <f t="shared" si="62"/>
        <v/>
      </c>
      <c r="E126" s="287" t="str">
        <f t="shared" si="62"/>
        <v/>
      </c>
      <c r="F126" s="287" t="str">
        <f t="shared" si="62"/>
        <v/>
      </c>
      <c r="G126" s="288" t="str">
        <f t="shared" si="49"/>
        <v/>
      </c>
      <c r="H126" s="289" t="str">
        <f t="shared" si="50"/>
        <v/>
      </c>
      <c r="I126" s="288" t="str">
        <f t="shared" si="51"/>
        <v/>
      </c>
      <c r="J126" s="288" t="str">
        <f t="shared" si="52"/>
        <v/>
      </c>
      <c r="K126" s="290" t="str">
        <f t="shared" si="63"/>
        <v/>
      </c>
      <c r="L126" s="291" t="str">
        <f t="shared" si="63"/>
        <v/>
      </c>
      <c r="M126" s="293" t="str">
        <f t="shared" si="59"/>
        <v/>
      </c>
      <c r="N126" s="262"/>
      <c r="O126" s="298" t="str">
        <f t="shared" si="54"/>
        <v/>
      </c>
      <c r="P126" s="299" t="str">
        <f t="shared" si="55"/>
        <v/>
      </c>
      <c r="Q126" s="455">
        <f t="shared" si="60"/>
        <v>0.61</v>
      </c>
      <c r="R126" s="297" t="e">
        <f t="shared" si="56"/>
        <v>#VALUE!</v>
      </c>
      <c r="S126" s="299">
        <f>IF(L126="",0,O126*12*L126*IF(OR(I126&lt;=8,I126="LIOa",I126="LIOb",I126="ID1",I126="ID2",I126="ID3"),1+tab!D$72,1+tab!D$70))</f>
        <v>0</v>
      </c>
      <c r="T126" s="436">
        <f t="shared" si="57"/>
        <v>0</v>
      </c>
      <c r="U126" s="301">
        <f t="shared" si="61"/>
        <v>0</v>
      </c>
      <c r="V126" s="447">
        <f t="shared" si="58"/>
        <v>0</v>
      </c>
      <c r="W126" s="263"/>
      <c r="AA126" s="139"/>
      <c r="AJ126" s="139"/>
    </row>
    <row r="127" spans="3:36" ht="12.75" hidden="1" customHeight="1" x14ac:dyDescent="0.2">
      <c r="C127" s="178"/>
      <c r="D127" s="287" t="str">
        <f t="shared" si="62"/>
        <v/>
      </c>
      <c r="E127" s="287" t="str">
        <f t="shared" si="62"/>
        <v/>
      </c>
      <c r="F127" s="287" t="str">
        <f t="shared" si="62"/>
        <v/>
      </c>
      <c r="G127" s="288" t="str">
        <f t="shared" si="49"/>
        <v/>
      </c>
      <c r="H127" s="289" t="str">
        <f t="shared" si="50"/>
        <v/>
      </c>
      <c r="I127" s="288" t="str">
        <f t="shared" si="51"/>
        <v/>
      </c>
      <c r="J127" s="288" t="str">
        <f t="shared" si="52"/>
        <v/>
      </c>
      <c r="K127" s="290" t="str">
        <f t="shared" si="63"/>
        <v/>
      </c>
      <c r="L127" s="291" t="str">
        <f t="shared" si="63"/>
        <v/>
      </c>
      <c r="M127" s="293" t="str">
        <f t="shared" si="59"/>
        <v/>
      </c>
      <c r="N127" s="262"/>
      <c r="O127" s="298" t="str">
        <f t="shared" si="54"/>
        <v/>
      </c>
      <c r="P127" s="299" t="str">
        <f t="shared" si="55"/>
        <v/>
      </c>
      <c r="Q127" s="455">
        <f t="shared" si="60"/>
        <v>0.61</v>
      </c>
      <c r="R127" s="297" t="e">
        <f t="shared" si="56"/>
        <v>#VALUE!</v>
      </c>
      <c r="S127" s="299">
        <f>IF(L127="",0,O127*12*L127*IF(OR(I127&lt;=8,I127="LIOa",I127="LIOb",I127="ID1",I127="ID2",I127="ID3"),1+tab!D$72,1+tab!D$70))</f>
        <v>0</v>
      </c>
      <c r="T127" s="436">
        <f t="shared" si="57"/>
        <v>0</v>
      </c>
      <c r="U127" s="301">
        <f t="shared" si="61"/>
        <v>0</v>
      </c>
      <c r="V127" s="447">
        <f t="shared" si="58"/>
        <v>0</v>
      </c>
      <c r="W127" s="263"/>
      <c r="AA127" s="139"/>
      <c r="AJ127" s="139"/>
    </row>
    <row r="128" spans="3:36" ht="12.75" hidden="1" customHeight="1" x14ac:dyDescent="0.2">
      <c r="C128" s="178"/>
      <c r="D128" s="287" t="str">
        <f t="shared" ref="D128:F132" si="64">IF(D96=0,"",D96)</f>
        <v/>
      </c>
      <c r="E128" s="287" t="str">
        <f t="shared" si="64"/>
        <v/>
      </c>
      <c r="F128" s="287" t="str">
        <f t="shared" si="64"/>
        <v/>
      </c>
      <c r="G128" s="288" t="str">
        <f t="shared" si="49"/>
        <v/>
      </c>
      <c r="H128" s="289" t="str">
        <f t="shared" si="50"/>
        <v/>
      </c>
      <c r="I128" s="288" t="str">
        <f t="shared" si="51"/>
        <v/>
      </c>
      <c r="J128" s="288" t="str">
        <f t="shared" si="52"/>
        <v/>
      </c>
      <c r="K128" s="290" t="str">
        <f t="shared" ref="K128:L132" si="65">IF(K96="","",K96)</f>
        <v/>
      </c>
      <c r="L128" s="291" t="str">
        <f t="shared" si="65"/>
        <v/>
      </c>
      <c r="M128" s="293" t="str">
        <f t="shared" si="59"/>
        <v/>
      </c>
      <c r="N128" s="262"/>
      <c r="O128" s="298" t="str">
        <f t="shared" si="54"/>
        <v/>
      </c>
      <c r="P128" s="299" t="str">
        <f t="shared" si="55"/>
        <v/>
      </c>
      <c r="Q128" s="455">
        <f t="shared" si="60"/>
        <v>0.61</v>
      </c>
      <c r="R128" s="297" t="e">
        <f t="shared" si="56"/>
        <v>#VALUE!</v>
      </c>
      <c r="S128" s="299">
        <f>IF(L128="",0,O128*12*L128*IF(OR(I128&lt;=8,I128="LIOa",I128="LIOb",I128="ID1",I128="ID2",I128="ID3"),1+tab!D$72,1+tab!D$70))</f>
        <v>0</v>
      </c>
      <c r="T128" s="436">
        <f t="shared" si="57"/>
        <v>0</v>
      </c>
      <c r="U128" s="301">
        <f t="shared" si="61"/>
        <v>0</v>
      </c>
      <c r="V128" s="447">
        <f t="shared" si="58"/>
        <v>0</v>
      </c>
      <c r="W128" s="263"/>
      <c r="AA128" s="139"/>
      <c r="AJ128" s="139"/>
    </row>
    <row r="129" spans="3:46" ht="12.75" hidden="1" customHeight="1" x14ac:dyDescent="0.2">
      <c r="C129" s="178"/>
      <c r="D129" s="287" t="str">
        <f t="shared" si="64"/>
        <v/>
      </c>
      <c r="E129" s="287" t="str">
        <f t="shared" si="64"/>
        <v/>
      </c>
      <c r="F129" s="287" t="str">
        <f t="shared" si="64"/>
        <v/>
      </c>
      <c r="G129" s="288" t="str">
        <f t="shared" si="49"/>
        <v/>
      </c>
      <c r="H129" s="289" t="str">
        <f t="shared" si="50"/>
        <v/>
      </c>
      <c r="I129" s="288" t="str">
        <f t="shared" si="51"/>
        <v/>
      </c>
      <c r="J129" s="288" t="str">
        <f t="shared" si="52"/>
        <v/>
      </c>
      <c r="K129" s="290" t="str">
        <f t="shared" si="65"/>
        <v/>
      </c>
      <c r="L129" s="291" t="str">
        <f t="shared" si="65"/>
        <v/>
      </c>
      <c r="M129" s="293" t="str">
        <f t="shared" si="59"/>
        <v/>
      </c>
      <c r="N129" s="262"/>
      <c r="O129" s="298" t="str">
        <f t="shared" si="54"/>
        <v/>
      </c>
      <c r="P129" s="299" t="str">
        <f t="shared" si="55"/>
        <v/>
      </c>
      <c r="Q129" s="455">
        <f t="shared" si="60"/>
        <v>0.61</v>
      </c>
      <c r="R129" s="297" t="e">
        <f t="shared" si="56"/>
        <v>#VALUE!</v>
      </c>
      <c r="S129" s="299">
        <f>IF(L129="",0,O129*12*L129*IF(OR(I129&lt;=8,I129="LIOa",I129="LIOb",I129="ID1",I129="ID2",I129="ID3"),1+tab!D$72,1+tab!D$70))</f>
        <v>0</v>
      </c>
      <c r="T129" s="436">
        <f t="shared" si="57"/>
        <v>0</v>
      </c>
      <c r="U129" s="301">
        <f t="shared" si="61"/>
        <v>0</v>
      </c>
      <c r="V129" s="447">
        <f t="shared" si="58"/>
        <v>0</v>
      </c>
      <c r="W129" s="263"/>
      <c r="AA129" s="139"/>
      <c r="AJ129" s="139"/>
    </row>
    <row r="130" spans="3:46" ht="12.75" hidden="1" customHeight="1" x14ac:dyDescent="0.2">
      <c r="C130" s="178"/>
      <c r="D130" s="287" t="str">
        <f t="shared" si="64"/>
        <v/>
      </c>
      <c r="E130" s="287" t="str">
        <f t="shared" si="64"/>
        <v/>
      </c>
      <c r="F130" s="287" t="str">
        <f t="shared" si="64"/>
        <v/>
      </c>
      <c r="G130" s="288" t="str">
        <f t="shared" si="49"/>
        <v/>
      </c>
      <c r="H130" s="289" t="str">
        <f t="shared" si="50"/>
        <v/>
      </c>
      <c r="I130" s="288" t="str">
        <f t="shared" si="51"/>
        <v/>
      </c>
      <c r="J130" s="288" t="str">
        <f t="shared" si="52"/>
        <v/>
      </c>
      <c r="K130" s="290" t="str">
        <f t="shared" si="65"/>
        <v/>
      </c>
      <c r="L130" s="291" t="str">
        <f t="shared" si="65"/>
        <v/>
      </c>
      <c r="M130" s="293" t="str">
        <f t="shared" si="59"/>
        <v/>
      </c>
      <c r="N130" s="262"/>
      <c r="O130" s="298" t="str">
        <f t="shared" si="54"/>
        <v/>
      </c>
      <c r="P130" s="299" t="str">
        <f t="shared" si="55"/>
        <v/>
      </c>
      <c r="Q130" s="455">
        <f t="shared" si="60"/>
        <v>0.61</v>
      </c>
      <c r="R130" s="297" t="e">
        <f t="shared" si="56"/>
        <v>#VALUE!</v>
      </c>
      <c r="S130" s="299">
        <f>IF(L130="",0,O130*12*L130*IF(OR(I130&lt;=8,I130="LIOa",I130="LIOb",I130="ID1",I130="ID2",I130="ID3"),1+tab!D$72,1+tab!D$70))</f>
        <v>0</v>
      </c>
      <c r="T130" s="436">
        <f t="shared" si="57"/>
        <v>0</v>
      </c>
      <c r="U130" s="301">
        <f t="shared" si="61"/>
        <v>0</v>
      </c>
      <c r="V130" s="447">
        <f t="shared" si="58"/>
        <v>0</v>
      </c>
      <c r="W130" s="263"/>
      <c r="AA130" s="139"/>
      <c r="AJ130" s="139"/>
    </row>
    <row r="131" spans="3:46" ht="12.75" hidden="1" customHeight="1" x14ac:dyDescent="0.2">
      <c r="C131" s="178"/>
      <c r="D131" s="287" t="str">
        <f t="shared" si="64"/>
        <v/>
      </c>
      <c r="E131" s="287" t="str">
        <f t="shared" si="64"/>
        <v/>
      </c>
      <c r="F131" s="287" t="str">
        <f t="shared" si="64"/>
        <v/>
      </c>
      <c r="G131" s="288" t="str">
        <f t="shared" si="49"/>
        <v/>
      </c>
      <c r="H131" s="289" t="str">
        <f t="shared" si="50"/>
        <v/>
      </c>
      <c r="I131" s="288" t="str">
        <f t="shared" si="51"/>
        <v/>
      </c>
      <c r="J131" s="288" t="str">
        <f t="shared" si="52"/>
        <v/>
      </c>
      <c r="K131" s="290" t="str">
        <f t="shared" si="65"/>
        <v/>
      </c>
      <c r="L131" s="291" t="str">
        <f t="shared" si="65"/>
        <v/>
      </c>
      <c r="M131" s="293" t="str">
        <f t="shared" si="59"/>
        <v/>
      </c>
      <c r="N131" s="262"/>
      <c r="O131" s="298" t="str">
        <f t="shared" si="54"/>
        <v/>
      </c>
      <c r="P131" s="299" t="str">
        <f t="shared" si="55"/>
        <v/>
      </c>
      <c r="Q131" s="455">
        <f t="shared" si="60"/>
        <v>0.61</v>
      </c>
      <c r="R131" s="297" t="e">
        <f t="shared" si="56"/>
        <v>#VALUE!</v>
      </c>
      <c r="S131" s="299">
        <f>IF(L131="",0,O131*12*L131*IF(OR(I131&lt;=8,I131="LIOa",I131="LIOb",I131="ID1",I131="ID2",I131="ID3"),1+tab!D$72,1+tab!D$70))</f>
        <v>0</v>
      </c>
      <c r="T131" s="436">
        <f t="shared" si="57"/>
        <v>0</v>
      </c>
      <c r="U131" s="301">
        <f t="shared" si="61"/>
        <v>0</v>
      </c>
      <c r="V131" s="447">
        <f t="shared" si="58"/>
        <v>0</v>
      </c>
      <c r="W131" s="263"/>
      <c r="AA131" s="139"/>
      <c r="AJ131" s="139"/>
    </row>
    <row r="132" spans="3:46" ht="12.75" hidden="1" customHeight="1" x14ac:dyDescent="0.2">
      <c r="C132" s="178"/>
      <c r="D132" s="287" t="str">
        <f t="shared" si="64"/>
        <v/>
      </c>
      <c r="E132" s="287" t="str">
        <f t="shared" si="64"/>
        <v/>
      </c>
      <c r="F132" s="287" t="str">
        <f t="shared" si="64"/>
        <v/>
      </c>
      <c r="G132" s="288" t="str">
        <f t="shared" si="49"/>
        <v/>
      </c>
      <c r="H132" s="289" t="str">
        <f t="shared" si="50"/>
        <v/>
      </c>
      <c r="I132" s="288" t="str">
        <f t="shared" si="51"/>
        <v/>
      </c>
      <c r="J132" s="288" t="str">
        <f t="shared" si="52"/>
        <v/>
      </c>
      <c r="K132" s="290" t="str">
        <f t="shared" si="65"/>
        <v/>
      </c>
      <c r="L132" s="291" t="str">
        <f t="shared" si="65"/>
        <v/>
      </c>
      <c r="M132" s="293" t="str">
        <f t="shared" si="59"/>
        <v/>
      </c>
      <c r="N132" s="262"/>
      <c r="O132" s="298" t="str">
        <f t="shared" si="54"/>
        <v/>
      </c>
      <c r="P132" s="299" t="str">
        <f t="shared" si="55"/>
        <v/>
      </c>
      <c r="Q132" s="455">
        <f t="shared" si="60"/>
        <v>0.61</v>
      </c>
      <c r="R132" s="297" t="e">
        <f t="shared" si="56"/>
        <v>#VALUE!</v>
      </c>
      <c r="S132" s="299">
        <f>IF(L132="",0,O132*12*L132*IF(OR(I132&lt;=8,I132="LIOa",I132="LIOb",I132="ID1",I132="ID2",I132="ID3"),1+tab!D$72,1+tab!D$70))</f>
        <v>0</v>
      </c>
      <c r="T132" s="436">
        <f t="shared" si="57"/>
        <v>0</v>
      </c>
      <c r="U132" s="301">
        <f t="shared" si="61"/>
        <v>0</v>
      </c>
      <c r="V132" s="447">
        <f t="shared" si="58"/>
        <v>0</v>
      </c>
      <c r="W132" s="263"/>
      <c r="AA132" s="139"/>
      <c r="AJ132" s="139"/>
    </row>
    <row r="133" spans="3:46" hidden="1" x14ac:dyDescent="0.2">
      <c r="C133" s="178"/>
      <c r="D133" s="264"/>
      <c r="E133" s="264"/>
      <c r="F133" s="264"/>
      <c r="G133" s="179"/>
      <c r="H133" s="265"/>
      <c r="I133" s="179"/>
      <c r="J133" s="266"/>
      <c r="K133" s="304">
        <f>SUM(K113:K132)</f>
        <v>0</v>
      </c>
      <c r="L133" s="304">
        <f>SUM(L113:L132)</f>
        <v>0</v>
      </c>
      <c r="M133" s="304">
        <f>SUM(M113:M132)</f>
        <v>0</v>
      </c>
      <c r="N133" s="305"/>
      <c r="O133" s="302">
        <f t="shared" ref="O133:V133" si="66">SUM(O113:O132)</f>
        <v>0</v>
      </c>
      <c r="P133" s="302">
        <f t="shared" si="66"/>
        <v>0</v>
      </c>
      <c r="Q133" s="267"/>
      <c r="R133" s="302" t="e">
        <f t="shared" si="66"/>
        <v>#VALUE!</v>
      </c>
      <c r="S133" s="302">
        <f t="shared" si="66"/>
        <v>0</v>
      </c>
      <c r="T133" s="302">
        <f t="shared" si="66"/>
        <v>0</v>
      </c>
      <c r="U133" s="303">
        <f t="shared" si="66"/>
        <v>0</v>
      </c>
      <c r="V133" s="448">
        <f t="shared" si="66"/>
        <v>0</v>
      </c>
      <c r="W133" s="268"/>
    </row>
    <row r="134" spans="3:46" hidden="1" x14ac:dyDescent="0.2">
      <c r="C134" s="180"/>
      <c r="D134" s="269"/>
      <c r="E134" s="269"/>
      <c r="F134" s="269"/>
      <c r="G134" s="181"/>
      <c r="H134" s="270"/>
      <c r="I134" s="181"/>
      <c r="J134" s="271"/>
      <c r="K134" s="272"/>
      <c r="L134" s="271"/>
      <c r="M134" s="272"/>
      <c r="N134" s="271"/>
      <c r="O134" s="271"/>
      <c r="P134" s="273"/>
      <c r="Q134" s="273"/>
      <c r="R134" s="273"/>
      <c r="S134" s="273"/>
      <c r="T134" s="437"/>
      <c r="U134" s="274"/>
      <c r="V134" s="449"/>
      <c r="W134" s="275"/>
    </row>
    <row r="135" spans="3:46" hidden="1" x14ac:dyDescent="0.2"/>
    <row r="136" spans="3:46" s="35" customFormat="1" hidden="1" x14ac:dyDescent="0.2">
      <c r="D136" s="55"/>
      <c r="E136" s="55"/>
      <c r="F136" s="55"/>
      <c r="G136" s="51"/>
      <c r="H136" s="141"/>
      <c r="I136" s="142"/>
      <c r="J136" s="142"/>
      <c r="K136" s="144"/>
      <c r="L136" s="142"/>
      <c r="M136" s="149"/>
      <c r="O136" s="150"/>
      <c r="T136" s="429"/>
      <c r="U136" s="151"/>
      <c r="V136" s="453"/>
      <c r="AC136" s="51"/>
      <c r="AD136" s="148"/>
      <c r="AL136" s="51"/>
      <c r="AM136" s="148"/>
      <c r="AT136" s="34"/>
    </row>
    <row r="137" spans="3:46" hidden="1" x14ac:dyDescent="0.2">
      <c r="C137" s="34" t="s">
        <v>153</v>
      </c>
      <c r="E137" s="112" t="str">
        <f>tab!G2</f>
        <v>2016/17</v>
      </c>
    </row>
    <row r="138" spans="3:46" hidden="1" x14ac:dyDescent="0.2">
      <c r="C138" s="34" t="s">
        <v>154</v>
      </c>
      <c r="E138" s="112">
        <f>+tab!H3</f>
        <v>42278</v>
      </c>
    </row>
    <row r="139" spans="3:46" s="35" customFormat="1" hidden="1" x14ac:dyDescent="0.2">
      <c r="D139" s="55"/>
      <c r="E139" s="55"/>
      <c r="F139" s="55"/>
      <c r="G139" s="51"/>
      <c r="H139" s="141"/>
      <c r="I139" s="142"/>
      <c r="J139" s="142"/>
      <c r="K139" s="144"/>
      <c r="L139" s="142"/>
      <c r="M139" s="149"/>
      <c r="O139" s="150"/>
      <c r="T139" s="429"/>
      <c r="U139" s="151"/>
      <c r="V139" s="453"/>
      <c r="AC139" s="51"/>
      <c r="AD139" s="148"/>
      <c r="AL139" s="51"/>
      <c r="AM139" s="148"/>
      <c r="AT139" s="34"/>
    </row>
    <row r="140" spans="3:46" ht="12.75" hidden="1" customHeight="1" x14ac:dyDescent="0.2">
      <c r="E140" s="69"/>
      <c r="AC140" s="113"/>
      <c r="AD140" s="114"/>
      <c r="AE140" s="113"/>
      <c r="AF140" s="113"/>
      <c r="AG140" s="113"/>
      <c r="AH140" s="104"/>
      <c r="AI140" s="115"/>
      <c r="AJ140" s="116"/>
      <c r="AK140" s="117"/>
      <c r="AL140" s="118"/>
      <c r="AM140" s="115"/>
      <c r="AT140" s="35"/>
    </row>
    <row r="141" spans="3:46" ht="12.75" hidden="1" customHeight="1" x14ac:dyDescent="0.2">
      <c r="C141" s="48"/>
      <c r="D141" s="870" t="s">
        <v>155</v>
      </c>
      <c r="E141" s="870"/>
      <c r="F141" s="870"/>
      <c r="G141" s="870"/>
      <c r="H141" s="870"/>
      <c r="I141" s="870"/>
      <c r="J141" s="870"/>
      <c r="K141" s="870"/>
      <c r="L141" s="870"/>
      <c r="M141" s="870"/>
      <c r="N141" s="277"/>
      <c r="O141" s="867" t="s">
        <v>428</v>
      </c>
      <c r="P141" s="868"/>
      <c r="Q141" s="868"/>
      <c r="R141" s="868"/>
      <c r="S141" s="868"/>
      <c r="T141" s="869"/>
      <c r="U141" s="278"/>
      <c r="V141" s="445"/>
      <c r="W141" s="119"/>
      <c r="X141" s="130"/>
      <c r="Y141" s="130"/>
      <c r="Z141" s="93"/>
      <c r="AA141" s="140"/>
      <c r="AB141" s="93"/>
      <c r="AC141" s="34"/>
      <c r="AD141" s="34"/>
      <c r="AL141" s="34"/>
      <c r="AM141" s="34"/>
      <c r="AN141" s="130"/>
      <c r="AO141" s="130"/>
    </row>
    <row r="142" spans="3:46" ht="12.75" hidden="1" customHeight="1" x14ac:dyDescent="0.2">
      <c r="C142" s="48"/>
      <c r="D142" s="279" t="s">
        <v>156</v>
      </c>
      <c r="E142" s="279" t="s">
        <v>157</v>
      </c>
      <c r="F142" s="279" t="s">
        <v>158</v>
      </c>
      <c r="G142" s="280" t="s">
        <v>159</v>
      </c>
      <c r="H142" s="281" t="s">
        <v>160</v>
      </c>
      <c r="I142" s="280" t="s">
        <v>111</v>
      </c>
      <c r="J142" s="280" t="s">
        <v>161</v>
      </c>
      <c r="K142" s="282" t="s">
        <v>163</v>
      </c>
      <c r="L142" s="283" t="s">
        <v>164</v>
      </c>
      <c r="M142" s="282" t="s">
        <v>163</v>
      </c>
      <c r="N142" s="284"/>
      <c r="O142" s="294" t="s">
        <v>162</v>
      </c>
      <c r="P142" s="294" t="s">
        <v>429</v>
      </c>
      <c r="Q142" s="294" t="s">
        <v>165</v>
      </c>
      <c r="R142" s="284"/>
      <c r="S142" s="295" t="s">
        <v>164</v>
      </c>
      <c r="T142" s="427" t="s">
        <v>166</v>
      </c>
      <c r="U142" s="428" t="s">
        <v>168</v>
      </c>
      <c r="V142" s="358" t="s">
        <v>445</v>
      </c>
      <c r="W142" s="72"/>
      <c r="X142" s="128"/>
      <c r="Y142" s="128"/>
      <c r="Z142" s="126"/>
      <c r="AA142" s="127"/>
      <c r="AB142" s="126"/>
      <c r="AC142" s="34"/>
      <c r="AD142" s="34"/>
      <c r="AL142" s="34"/>
      <c r="AM142" s="34"/>
      <c r="AN142" s="130"/>
      <c r="AO142" s="128"/>
    </row>
    <row r="143" spans="3:46" ht="12.75" hidden="1" customHeight="1" x14ac:dyDescent="0.2">
      <c r="C143" s="48"/>
      <c r="D143" s="285"/>
      <c r="E143" s="279"/>
      <c r="F143" s="286"/>
      <c r="G143" s="280" t="s">
        <v>170</v>
      </c>
      <c r="H143" s="281" t="s">
        <v>171</v>
      </c>
      <c r="I143" s="280"/>
      <c r="J143" s="280"/>
      <c r="K143" s="282" t="s">
        <v>173</v>
      </c>
      <c r="L143" s="283"/>
      <c r="M143" s="282" t="s">
        <v>174</v>
      </c>
      <c r="N143" s="284"/>
      <c r="O143" s="294" t="s">
        <v>172</v>
      </c>
      <c r="P143" s="294" t="s">
        <v>430</v>
      </c>
      <c r="Q143" s="315">
        <f>tab!D68</f>
        <v>0.61</v>
      </c>
      <c r="R143" s="284" t="s">
        <v>446</v>
      </c>
      <c r="S143" s="295" t="s">
        <v>167</v>
      </c>
      <c r="T143" s="427" t="s">
        <v>54</v>
      </c>
      <c r="U143" s="428"/>
      <c r="V143" s="295" t="s">
        <v>167</v>
      </c>
      <c r="W143" s="48"/>
      <c r="AC143" s="34"/>
      <c r="AD143" s="34"/>
      <c r="AL143" s="34"/>
      <c r="AM143" s="34"/>
      <c r="AO143" s="133"/>
    </row>
    <row r="144" spans="3:46" ht="12.75" hidden="1" customHeight="1" x14ac:dyDescent="0.2">
      <c r="I144" s="74"/>
      <c r="J144" s="74"/>
      <c r="K144" s="126"/>
      <c r="L144" s="127"/>
      <c r="M144" s="126"/>
      <c r="N144" s="128"/>
      <c r="O144" s="129"/>
      <c r="P144" s="130"/>
      <c r="Q144" s="130"/>
      <c r="R144" s="130"/>
      <c r="S144" s="130"/>
      <c r="T144" s="434"/>
      <c r="U144" s="131"/>
      <c r="V144" s="132"/>
      <c r="W144" s="128"/>
      <c r="AC144" s="34"/>
      <c r="AD144" s="34"/>
      <c r="AL144" s="34"/>
      <c r="AM144" s="34"/>
      <c r="AO144" s="133"/>
    </row>
    <row r="145" spans="3:36" ht="12.75" hidden="1" customHeight="1" x14ac:dyDescent="0.2">
      <c r="C145" s="177"/>
      <c r="D145" s="287" t="str">
        <f t="shared" ref="D145:F156" si="67">IF(D113=0,"",D113)</f>
        <v/>
      </c>
      <c r="E145" s="287" t="str">
        <f t="shared" si="67"/>
        <v/>
      </c>
      <c r="F145" s="287" t="str">
        <f t="shared" si="67"/>
        <v/>
      </c>
      <c r="G145" s="288" t="str">
        <f t="shared" ref="G145:G164" si="68">IF(G113="","",G113+1)</f>
        <v/>
      </c>
      <c r="H145" s="289" t="str">
        <f t="shared" ref="H145:H164" si="69">IF(H113=0,"",H113)</f>
        <v/>
      </c>
      <c r="I145" s="288" t="str">
        <f t="shared" ref="I145:I164" si="70">IF(I113=0,"",I113)</f>
        <v/>
      </c>
      <c r="J145" s="288" t="str">
        <f t="shared" ref="J145:J164" si="71">IF(E145="","",(IF((J113+1)&gt;VLOOKUP(I145,tabelsalaris,23,FALSE),J113,J113+1)))</f>
        <v/>
      </c>
      <c r="K145" s="290" t="str">
        <f t="shared" ref="K145:L156" si="72">IF(K113="","",K113)</f>
        <v/>
      </c>
      <c r="L145" s="291" t="str">
        <f t="shared" si="72"/>
        <v/>
      </c>
      <c r="M145" s="292" t="str">
        <f>IF(L145="",K145,K145-L145)</f>
        <v/>
      </c>
      <c r="N145" s="260"/>
      <c r="O145" s="296" t="str">
        <f t="shared" ref="O145:O164" si="73">IF(I145="","",VLOOKUP(I145,tabelsalaris,J145+2,FALSE))</f>
        <v/>
      </c>
      <c r="P145" s="297" t="str">
        <f t="shared" ref="P145:P164" si="74">IF(E145="","",(O145*M145*12))</f>
        <v/>
      </c>
      <c r="Q145" s="455">
        <f>$Q$143</f>
        <v>0.61</v>
      </c>
      <c r="R145" s="297" t="e">
        <f t="shared" ref="R145:R164" si="75">IF(E145=0,"",+P145*Q145)</f>
        <v>#VALUE!</v>
      </c>
      <c r="S145" s="297">
        <f>IF(L145="",0,O145*12*L145*IF(OR(I145&lt;=8,I145="LIOa",I145="LIOb",I145="ID1",I145="ID2",I145="ID3"),1+tab!D$72,1+tab!D$70))</f>
        <v>0</v>
      </c>
      <c r="T145" s="435">
        <f t="shared" ref="T145:T164" si="76">IF(E145="",0,(P145+R145+S145))</f>
        <v>0</v>
      </c>
      <c r="U145" s="300">
        <f>IF(G145&lt;25,0,IF(G145=25,25,IF(G145&lt;40,0,IF(G145=40,40,IF(G145&gt;=40,0)))))</f>
        <v>0</v>
      </c>
      <c r="V145" s="446">
        <f t="shared" ref="V145:V164" si="77">IF(E145="",0,IF(U145=25,(O145*1.08*(K145)/2),IF(U145=40,(O145*1.08*(K145)),IF(U145=0,0))))</f>
        <v>0</v>
      </c>
      <c r="W145" s="261"/>
      <c r="AA145" s="139"/>
      <c r="AJ145" s="139"/>
    </row>
    <row r="146" spans="3:36" ht="12.75" hidden="1" customHeight="1" x14ac:dyDescent="0.2">
      <c r="C146" s="178"/>
      <c r="D146" s="287" t="str">
        <f t="shared" si="67"/>
        <v/>
      </c>
      <c r="E146" s="287" t="str">
        <f t="shared" si="67"/>
        <v/>
      </c>
      <c r="F146" s="287" t="str">
        <f t="shared" si="67"/>
        <v/>
      </c>
      <c r="G146" s="288" t="str">
        <f t="shared" si="68"/>
        <v/>
      </c>
      <c r="H146" s="289" t="str">
        <f t="shared" si="69"/>
        <v/>
      </c>
      <c r="I146" s="288" t="str">
        <f t="shared" si="70"/>
        <v/>
      </c>
      <c r="J146" s="288" t="str">
        <f t="shared" si="71"/>
        <v/>
      </c>
      <c r="K146" s="290" t="str">
        <f t="shared" si="72"/>
        <v/>
      </c>
      <c r="L146" s="291" t="str">
        <f t="shared" si="72"/>
        <v/>
      </c>
      <c r="M146" s="293" t="str">
        <f t="shared" ref="M146:M164" si="78">IF(L146="",K146,K146-L146)</f>
        <v/>
      </c>
      <c r="N146" s="262"/>
      <c r="O146" s="298" t="str">
        <f t="shared" si="73"/>
        <v/>
      </c>
      <c r="P146" s="299" t="str">
        <f t="shared" si="74"/>
        <v/>
      </c>
      <c r="Q146" s="455">
        <f t="shared" ref="Q146:Q164" si="79">$Q$143</f>
        <v>0.61</v>
      </c>
      <c r="R146" s="297" t="e">
        <f t="shared" si="75"/>
        <v>#VALUE!</v>
      </c>
      <c r="S146" s="299">
        <f>IF(L146="",0,O146*12*L146*IF(OR(I146&lt;=8,I146="LIOa",I146="LIOb",I146="ID1",I146="ID2",I146="ID3"),1+tab!D$72,1+tab!D$70))</f>
        <v>0</v>
      </c>
      <c r="T146" s="436">
        <f t="shared" si="76"/>
        <v>0</v>
      </c>
      <c r="U146" s="301">
        <f t="shared" ref="U146:U164" si="80">IF(G146&lt;25,0,IF(G146=25,25,IF(G146&lt;40,0,IF(G146=40,40,IF(G146&gt;=40,0)))))</f>
        <v>0</v>
      </c>
      <c r="V146" s="447">
        <f t="shared" si="77"/>
        <v>0</v>
      </c>
      <c r="W146" s="263"/>
      <c r="AA146" s="139"/>
      <c r="AJ146" s="139"/>
    </row>
    <row r="147" spans="3:36" ht="12.75" hidden="1" customHeight="1" x14ac:dyDescent="0.2">
      <c r="C147" s="178"/>
      <c r="D147" s="287" t="str">
        <f t="shared" si="67"/>
        <v/>
      </c>
      <c r="E147" s="287" t="str">
        <f t="shared" si="67"/>
        <v/>
      </c>
      <c r="F147" s="287" t="str">
        <f t="shared" si="67"/>
        <v/>
      </c>
      <c r="G147" s="288" t="str">
        <f t="shared" si="68"/>
        <v/>
      </c>
      <c r="H147" s="289" t="str">
        <f t="shared" si="69"/>
        <v/>
      </c>
      <c r="I147" s="288" t="str">
        <f t="shared" si="70"/>
        <v/>
      </c>
      <c r="J147" s="288" t="str">
        <f t="shared" si="71"/>
        <v/>
      </c>
      <c r="K147" s="290" t="str">
        <f t="shared" si="72"/>
        <v/>
      </c>
      <c r="L147" s="291" t="str">
        <f t="shared" si="72"/>
        <v/>
      </c>
      <c r="M147" s="293" t="str">
        <f t="shared" si="78"/>
        <v/>
      </c>
      <c r="N147" s="262"/>
      <c r="O147" s="298" t="str">
        <f t="shared" si="73"/>
        <v/>
      </c>
      <c r="P147" s="299" t="str">
        <f t="shared" si="74"/>
        <v/>
      </c>
      <c r="Q147" s="455">
        <f t="shared" si="79"/>
        <v>0.61</v>
      </c>
      <c r="R147" s="297" t="e">
        <f t="shared" si="75"/>
        <v>#VALUE!</v>
      </c>
      <c r="S147" s="299">
        <f>IF(L147="",0,O147*12*L147*IF(OR(I147&lt;=8,I147="LIOa",I147="LIOb",I147="ID1",I147="ID2",I147="ID3"),1+tab!D$72,1+tab!D$70))</f>
        <v>0</v>
      </c>
      <c r="T147" s="436">
        <f t="shared" si="76"/>
        <v>0</v>
      </c>
      <c r="U147" s="301">
        <f t="shared" si="80"/>
        <v>0</v>
      </c>
      <c r="V147" s="447">
        <f t="shared" si="77"/>
        <v>0</v>
      </c>
      <c r="W147" s="263"/>
      <c r="AA147" s="139"/>
      <c r="AJ147" s="139"/>
    </row>
    <row r="148" spans="3:36" ht="12.75" hidden="1" customHeight="1" x14ac:dyDescent="0.2">
      <c r="C148" s="178"/>
      <c r="D148" s="287" t="str">
        <f t="shared" si="67"/>
        <v/>
      </c>
      <c r="E148" s="287" t="str">
        <f t="shared" si="67"/>
        <v/>
      </c>
      <c r="F148" s="287" t="str">
        <f t="shared" si="67"/>
        <v/>
      </c>
      <c r="G148" s="288" t="str">
        <f t="shared" si="68"/>
        <v/>
      </c>
      <c r="H148" s="289" t="str">
        <f t="shared" si="69"/>
        <v/>
      </c>
      <c r="I148" s="288" t="str">
        <f t="shared" si="70"/>
        <v/>
      </c>
      <c r="J148" s="288" t="str">
        <f t="shared" si="71"/>
        <v/>
      </c>
      <c r="K148" s="290" t="str">
        <f t="shared" si="72"/>
        <v/>
      </c>
      <c r="L148" s="291" t="str">
        <f t="shared" si="72"/>
        <v/>
      </c>
      <c r="M148" s="293" t="str">
        <f t="shared" si="78"/>
        <v/>
      </c>
      <c r="N148" s="262"/>
      <c r="O148" s="298" t="str">
        <f t="shared" si="73"/>
        <v/>
      </c>
      <c r="P148" s="299" t="str">
        <f t="shared" si="74"/>
        <v/>
      </c>
      <c r="Q148" s="455">
        <f t="shared" si="79"/>
        <v>0.61</v>
      </c>
      <c r="R148" s="297" t="e">
        <f t="shared" si="75"/>
        <v>#VALUE!</v>
      </c>
      <c r="S148" s="299">
        <f>IF(L148="",0,O148*12*L148*IF(OR(I148&lt;=8,I148="LIOa",I148="LIOb",I148="ID1",I148="ID2",I148="ID3"),1+tab!D$72,1+tab!D$70))</f>
        <v>0</v>
      </c>
      <c r="T148" s="436">
        <f t="shared" si="76"/>
        <v>0</v>
      </c>
      <c r="U148" s="301">
        <f t="shared" si="80"/>
        <v>0</v>
      </c>
      <c r="V148" s="447">
        <f t="shared" si="77"/>
        <v>0</v>
      </c>
      <c r="W148" s="263"/>
      <c r="AA148" s="139"/>
      <c r="AJ148" s="139"/>
    </row>
    <row r="149" spans="3:36" ht="12.75" hidden="1" customHeight="1" x14ac:dyDescent="0.2">
      <c r="C149" s="178"/>
      <c r="D149" s="287" t="str">
        <f t="shared" si="67"/>
        <v/>
      </c>
      <c r="E149" s="287" t="str">
        <f t="shared" si="67"/>
        <v/>
      </c>
      <c r="F149" s="287" t="str">
        <f t="shared" si="67"/>
        <v/>
      </c>
      <c r="G149" s="288" t="str">
        <f t="shared" si="68"/>
        <v/>
      </c>
      <c r="H149" s="289" t="str">
        <f t="shared" si="69"/>
        <v/>
      </c>
      <c r="I149" s="288" t="str">
        <f t="shared" si="70"/>
        <v/>
      </c>
      <c r="J149" s="288" t="str">
        <f t="shared" si="71"/>
        <v/>
      </c>
      <c r="K149" s="290" t="str">
        <f t="shared" si="72"/>
        <v/>
      </c>
      <c r="L149" s="291" t="str">
        <f t="shared" si="72"/>
        <v/>
      </c>
      <c r="M149" s="293" t="str">
        <f t="shared" si="78"/>
        <v/>
      </c>
      <c r="N149" s="262"/>
      <c r="O149" s="298" t="str">
        <f t="shared" si="73"/>
        <v/>
      </c>
      <c r="P149" s="299" t="str">
        <f t="shared" si="74"/>
        <v/>
      </c>
      <c r="Q149" s="455">
        <f t="shared" si="79"/>
        <v>0.61</v>
      </c>
      <c r="R149" s="297" t="e">
        <f t="shared" si="75"/>
        <v>#VALUE!</v>
      </c>
      <c r="S149" s="299">
        <f>IF(L149="",0,O149*12*L149*IF(OR(I149&lt;=8,I149="LIOa",I149="LIOb",I149="ID1",I149="ID2",I149="ID3"),1+tab!D$72,1+tab!D$70))</f>
        <v>0</v>
      </c>
      <c r="T149" s="436">
        <f t="shared" si="76"/>
        <v>0</v>
      </c>
      <c r="U149" s="301">
        <f t="shared" si="80"/>
        <v>0</v>
      </c>
      <c r="V149" s="447">
        <f t="shared" si="77"/>
        <v>0</v>
      </c>
      <c r="W149" s="263"/>
      <c r="AA149" s="139"/>
      <c r="AJ149" s="139"/>
    </row>
    <row r="150" spans="3:36" ht="12.75" hidden="1" customHeight="1" x14ac:dyDescent="0.2">
      <c r="C150" s="178"/>
      <c r="D150" s="287" t="str">
        <f t="shared" si="67"/>
        <v/>
      </c>
      <c r="E150" s="287" t="str">
        <f t="shared" si="67"/>
        <v/>
      </c>
      <c r="F150" s="287" t="str">
        <f t="shared" si="67"/>
        <v/>
      </c>
      <c r="G150" s="288" t="str">
        <f t="shared" si="68"/>
        <v/>
      </c>
      <c r="H150" s="289" t="str">
        <f t="shared" si="69"/>
        <v/>
      </c>
      <c r="I150" s="288" t="str">
        <f t="shared" si="70"/>
        <v/>
      </c>
      <c r="J150" s="288" t="str">
        <f t="shared" si="71"/>
        <v/>
      </c>
      <c r="K150" s="290" t="str">
        <f t="shared" si="72"/>
        <v/>
      </c>
      <c r="L150" s="291" t="str">
        <f t="shared" si="72"/>
        <v/>
      </c>
      <c r="M150" s="293" t="str">
        <f t="shared" si="78"/>
        <v/>
      </c>
      <c r="N150" s="262"/>
      <c r="O150" s="298" t="str">
        <f t="shared" si="73"/>
        <v/>
      </c>
      <c r="P150" s="299" t="str">
        <f t="shared" si="74"/>
        <v/>
      </c>
      <c r="Q150" s="455">
        <f t="shared" si="79"/>
        <v>0.61</v>
      </c>
      <c r="R150" s="297" t="e">
        <f t="shared" si="75"/>
        <v>#VALUE!</v>
      </c>
      <c r="S150" s="299">
        <f>IF(L150="",0,O150*12*L150*IF(OR(I150&lt;=8,I150="LIOa",I150="LIOb",I150="ID1",I150="ID2",I150="ID3"),1+tab!D$72,1+tab!D$70))</f>
        <v>0</v>
      </c>
      <c r="T150" s="436">
        <f t="shared" si="76"/>
        <v>0</v>
      </c>
      <c r="U150" s="301">
        <f t="shared" si="80"/>
        <v>0</v>
      </c>
      <c r="V150" s="447">
        <f t="shared" si="77"/>
        <v>0</v>
      </c>
      <c r="W150" s="263"/>
      <c r="AA150" s="139"/>
      <c r="AJ150" s="139"/>
    </row>
    <row r="151" spans="3:36" ht="12.75" hidden="1" customHeight="1" x14ac:dyDescent="0.2">
      <c r="C151" s="178"/>
      <c r="D151" s="287" t="str">
        <f t="shared" si="67"/>
        <v/>
      </c>
      <c r="E151" s="287" t="str">
        <f t="shared" si="67"/>
        <v/>
      </c>
      <c r="F151" s="287" t="str">
        <f t="shared" si="67"/>
        <v/>
      </c>
      <c r="G151" s="288" t="str">
        <f t="shared" si="68"/>
        <v/>
      </c>
      <c r="H151" s="289" t="str">
        <f t="shared" si="69"/>
        <v/>
      </c>
      <c r="I151" s="288" t="str">
        <f t="shared" si="70"/>
        <v/>
      </c>
      <c r="J151" s="288" t="str">
        <f t="shared" si="71"/>
        <v/>
      </c>
      <c r="K151" s="290" t="str">
        <f t="shared" si="72"/>
        <v/>
      </c>
      <c r="L151" s="291" t="str">
        <f t="shared" si="72"/>
        <v/>
      </c>
      <c r="M151" s="293" t="str">
        <f t="shared" si="78"/>
        <v/>
      </c>
      <c r="N151" s="262"/>
      <c r="O151" s="298" t="str">
        <f t="shared" si="73"/>
        <v/>
      </c>
      <c r="P151" s="299" t="str">
        <f t="shared" si="74"/>
        <v/>
      </c>
      <c r="Q151" s="455">
        <f t="shared" si="79"/>
        <v>0.61</v>
      </c>
      <c r="R151" s="297" t="e">
        <f t="shared" si="75"/>
        <v>#VALUE!</v>
      </c>
      <c r="S151" s="299">
        <f>IF(L151="",0,O151*12*L151*IF(OR(I151&lt;=8,I151="LIOa",I151="LIOb",I151="ID1",I151="ID2",I151="ID3"),1+tab!D$72,1+tab!D$70))</f>
        <v>0</v>
      </c>
      <c r="T151" s="436">
        <f t="shared" si="76"/>
        <v>0</v>
      </c>
      <c r="U151" s="301">
        <f t="shared" si="80"/>
        <v>0</v>
      </c>
      <c r="V151" s="447">
        <f t="shared" si="77"/>
        <v>0</v>
      </c>
      <c r="W151" s="263"/>
      <c r="AA151" s="139"/>
      <c r="AJ151" s="139"/>
    </row>
    <row r="152" spans="3:36" ht="12.75" hidden="1" customHeight="1" x14ac:dyDescent="0.2">
      <c r="C152" s="178"/>
      <c r="D152" s="287" t="str">
        <f t="shared" si="67"/>
        <v/>
      </c>
      <c r="E152" s="287" t="str">
        <f t="shared" si="67"/>
        <v/>
      </c>
      <c r="F152" s="287" t="str">
        <f t="shared" si="67"/>
        <v/>
      </c>
      <c r="G152" s="288" t="str">
        <f t="shared" si="68"/>
        <v/>
      </c>
      <c r="H152" s="289" t="str">
        <f t="shared" si="69"/>
        <v/>
      </c>
      <c r="I152" s="288" t="str">
        <f t="shared" si="70"/>
        <v/>
      </c>
      <c r="J152" s="288" t="str">
        <f t="shared" si="71"/>
        <v/>
      </c>
      <c r="K152" s="290" t="str">
        <f t="shared" si="72"/>
        <v/>
      </c>
      <c r="L152" s="291" t="str">
        <f t="shared" si="72"/>
        <v/>
      </c>
      <c r="M152" s="293" t="str">
        <f t="shared" si="78"/>
        <v/>
      </c>
      <c r="N152" s="262"/>
      <c r="O152" s="298" t="str">
        <f t="shared" si="73"/>
        <v/>
      </c>
      <c r="P152" s="299" t="str">
        <f t="shared" si="74"/>
        <v/>
      </c>
      <c r="Q152" s="455">
        <f t="shared" si="79"/>
        <v>0.61</v>
      </c>
      <c r="R152" s="297" t="e">
        <f t="shared" si="75"/>
        <v>#VALUE!</v>
      </c>
      <c r="S152" s="299">
        <f>IF(L152="",0,O152*12*L152*IF(OR(I152&lt;=8,I152="LIOa",I152="LIOb",I152="ID1",I152="ID2",I152="ID3"),1+tab!D$72,1+tab!D$70))</f>
        <v>0</v>
      </c>
      <c r="T152" s="436">
        <f t="shared" si="76"/>
        <v>0</v>
      </c>
      <c r="U152" s="301">
        <f t="shared" si="80"/>
        <v>0</v>
      </c>
      <c r="V152" s="447">
        <f t="shared" si="77"/>
        <v>0</v>
      </c>
      <c r="W152" s="263"/>
      <c r="AA152" s="139"/>
      <c r="AJ152" s="139"/>
    </row>
    <row r="153" spans="3:36" ht="12.75" hidden="1" customHeight="1" x14ac:dyDescent="0.2">
      <c r="C153" s="178"/>
      <c r="D153" s="287" t="str">
        <f t="shared" si="67"/>
        <v/>
      </c>
      <c r="E153" s="287" t="str">
        <f t="shared" si="67"/>
        <v/>
      </c>
      <c r="F153" s="287" t="str">
        <f t="shared" si="67"/>
        <v/>
      </c>
      <c r="G153" s="288" t="str">
        <f t="shared" si="68"/>
        <v/>
      </c>
      <c r="H153" s="289" t="str">
        <f t="shared" si="69"/>
        <v/>
      </c>
      <c r="I153" s="288" t="str">
        <f t="shared" si="70"/>
        <v/>
      </c>
      <c r="J153" s="288" t="str">
        <f t="shared" si="71"/>
        <v/>
      </c>
      <c r="K153" s="290" t="str">
        <f t="shared" si="72"/>
        <v/>
      </c>
      <c r="L153" s="291" t="str">
        <f t="shared" si="72"/>
        <v/>
      </c>
      <c r="M153" s="293" t="str">
        <f t="shared" si="78"/>
        <v/>
      </c>
      <c r="N153" s="262"/>
      <c r="O153" s="298" t="str">
        <f t="shared" si="73"/>
        <v/>
      </c>
      <c r="P153" s="299" t="str">
        <f t="shared" si="74"/>
        <v/>
      </c>
      <c r="Q153" s="455">
        <f t="shared" si="79"/>
        <v>0.61</v>
      </c>
      <c r="R153" s="297" t="e">
        <f t="shared" si="75"/>
        <v>#VALUE!</v>
      </c>
      <c r="S153" s="299">
        <f>IF(L153="",0,O153*12*L153*IF(OR(I153&lt;=8,I153="LIOa",I153="LIOb",I153="ID1",I153="ID2",I153="ID3"),1+tab!D$72,1+tab!D$70))</f>
        <v>0</v>
      </c>
      <c r="T153" s="436">
        <f t="shared" si="76"/>
        <v>0</v>
      </c>
      <c r="U153" s="301">
        <f t="shared" si="80"/>
        <v>0</v>
      </c>
      <c r="V153" s="447">
        <f t="shared" si="77"/>
        <v>0</v>
      </c>
      <c r="W153" s="263"/>
      <c r="AA153" s="139"/>
      <c r="AJ153" s="139"/>
    </row>
    <row r="154" spans="3:36" ht="12.75" hidden="1" customHeight="1" x14ac:dyDescent="0.2">
      <c r="C154" s="178"/>
      <c r="D154" s="287" t="str">
        <f t="shared" si="67"/>
        <v/>
      </c>
      <c r="E154" s="287" t="str">
        <f t="shared" si="67"/>
        <v/>
      </c>
      <c r="F154" s="287" t="str">
        <f t="shared" si="67"/>
        <v/>
      </c>
      <c r="G154" s="288" t="str">
        <f t="shared" si="68"/>
        <v/>
      </c>
      <c r="H154" s="289" t="str">
        <f t="shared" si="69"/>
        <v/>
      </c>
      <c r="I154" s="288" t="str">
        <f t="shared" si="70"/>
        <v/>
      </c>
      <c r="J154" s="288" t="str">
        <f t="shared" si="71"/>
        <v/>
      </c>
      <c r="K154" s="290" t="str">
        <f t="shared" si="72"/>
        <v/>
      </c>
      <c r="L154" s="291" t="str">
        <f t="shared" si="72"/>
        <v/>
      </c>
      <c r="M154" s="293" t="str">
        <f t="shared" si="78"/>
        <v/>
      </c>
      <c r="N154" s="262"/>
      <c r="O154" s="298" t="str">
        <f t="shared" si="73"/>
        <v/>
      </c>
      <c r="P154" s="299" t="str">
        <f t="shared" si="74"/>
        <v/>
      </c>
      <c r="Q154" s="455">
        <f t="shared" si="79"/>
        <v>0.61</v>
      </c>
      <c r="R154" s="297" t="e">
        <f t="shared" si="75"/>
        <v>#VALUE!</v>
      </c>
      <c r="S154" s="299">
        <f>IF(L154="",0,O154*12*L154*IF(OR(I154&lt;=8,I154="LIOa",I154="LIOb",I154="ID1",I154="ID2",I154="ID3"),1+tab!D$72,1+tab!D$70))</f>
        <v>0</v>
      </c>
      <c r="T154" s="436">
        <f t="shared" si="76"/>
        <v>0</v>
      </c>
      <c r="U154" s="301">
        <f t="shared" si="80"/>
        <v>0</v>
      </c>
      <c r="V154" s="447">
        <f t="shared" si="77"/>
        <v>0</v>
      </c>
      <c r="W154" s="263"/>
      <c r="AA154" s="139"/>
      <c r="AJ154" s="139"/>
    </row>
    <row r="155" spans="3:36" ht="12.75" hidden="1" customHeight="1" x14ac:dyDescent="0.2">
      <c r="C155" s="178"/>
      <c r="D155" s="287" t="str">
        <f t="shared" si="67"/>
        <v/>
      </c>
      <c r="E155" s="287" t="str">
        <f t="shared" si="67"/>
        <v/>
      </c>
      <c r="F155" s="287" t="str">
        <f t="shared" si="67"/>
        <v/>
      </c>
      <c r="G155" s="288" t="str">
        <f t="shared" si="68"/>
        <v/>
      </c>
      <c r="H155" s="289" t="str">
        <f t="shared" si="69"/>
        <v/>
      </c>
      <c r="I155" s="288" t="str">
        <f t="shared" si="70"/>
        <v/>
      </c>
      <c r="J155" s="288" t="str">
        <f t="shared" si="71"/>
        <v/>
      </c>
      <c r="K155" s="290" t="str">
        <f t="shared" si="72"/>
        <v/>
      </c>
      <c r="L155" s="291" t="str">
        <f t="shared" si="72"/>
        <v/>
      </c>
      <c r="M155" s="293" t="str">
        <f t="shared" si="78"/>
        <v/>
      </c>
      <c r="N155" s="262"/>
      <c r="O155" s="298" t="str">
        <f t="shared" si="73"/>
        <v/>
      </c>
      <c r="P155" s="299" t="str">
        <f t="shared" si="74"/>
        <v/>
      </c>
      <c r="Q155" s="455">
        <f t="shared" si="79"/>
        <v>0.61</v>
      </c>
      <c r="R155" s="297" t="e">
        <f t="shared" si="75"/>
        <v>#VALUE!</v>
      </c>
      <c r="S155" s="299">
        <f>IF(L155="",0,O155*12*L155*IF(OR(I155&lt;=8,I155="LIOa",I155="LIOb",I155="ID1",I155="ID2",I155="ID3"),1+tab!D$72,1+tab!D$70))</f>
        <v>0</v>
      </c>
      <c r="T155" s="436">
        <f t="shared" si="76"/>
        <v>0</v>
      </c>
      <c r="U155" s="301">
        <f t="shared" si="80"/>
        <v>0</v>
      </c>
      <c r="V155" s="447">
        <f t="shared" si="77"/>
        <v>0</v>
      </c>
      <c r="W155" s="263"/>
      <c r="AA155" s="139"/>
      <c r="AJ155" s="139"/>
    </row>
    <row r="156" spans="3:36" ht="12.75" hidden="1" customHeight="1" x14ac:dyDescent="0.2">
      <c r="C156" s="178"/>
      <c r="D156" s="287" t="str">
        <f t="shared" si="67"/>
        <v/>
      </c>
      <c r="E156" s="287" t="str">
        <f t="shared" si="67"/>
        <v/>
      </c>
      <c r="F156" s="287" t="str">
        <f t="shared" si="67"/>
        <v/>
      </c>
      <c r="G156" s="288" t="str">
        <f t="shared" si="68"/>
        <v/>
      </c>
      <c r="H156" s="289" t="str">
        <f t="shared" si="69"/>
        <v/>
      </c>
      <c r="I156" s="288" t="str">
        <f t="shared" si="70"/>
        <v/>
      </c>
      <c r="J156" s="288" t="str">
        <f t="shared" si="71"/>
        <v/>
      </c>
      <c r="K156" s="290" t="str">
        <f t="shared" si="72"/>
        <v/>
      </c>
      <c r="L156" s="291" t="str">
        <f t="shared" si="72"/>
        <v/>
      </c>
      <c r="M156" s="293" t="str">
        <f t="shared" si="78"/>
        <v/>
      </c>
      <c r="N156" s="262"/>
      <c r="O156" s="298" t="str">
        <f t="shared" si="73"/>
        <v/>
      </c>
      <c r="P156" s="299" t="str">
        <f t="shared" si="74"/>
        <v/>
      </c>
      <c r="Q156" s="455">
        <f t="shared" si="79"/>
        <v>0.61</v>
      </c>
      <c r="R156" s="297" t="e">
        <f t="shared" si="75"/>
        <v>#VALUE!</v>
      </c>
      <c r="S156" s="299">
        <f>IF(L156="",0,O156*12*L156*IF(OR(I156&lt;=8,I156="LIOa",I156="LIOb",I156="ID1",I156="ID2",I156="ID3"),1+tab!D$72,1+tab!D$70))</f>
        <v>0</v>
      </c>
      <c r="T156" s="436">
        <f t="shared" si="76"/>
        <v>0</v>
      </c>
      <c r="U156" s="301">
        <f t="shared" si="80"/>
        <v>0</v>
      </c>
      <c r="V156" s="447">
        <f t="shared" si="77"/>
        <v>0</v>
      </c>
      <c r="W156" s="263"/>
      <c r="AA156" s="139"/>
      <c r="AJ156" s="139"/>
    </row>
    <row r="157" spans="3:36" ht="12.75" hidden="1" customHeight="1" x14ac:dyDescent="0.2">
      <c r="C157" s="178"/>
      <c r="D157" s="287" t="str">
        <f t="shared" ref="D157:F159" si="81">IF(D125=0,"",D125)</f>
        <v/>
      </c>
      <c r="E157" s="287" t="str">
        <f t="shared" si="81"/>
        <v/>
      </c>
      <c r="F157" s="287" t="str">
        <f t="shared" si="81"/>
        <v/>
      </c>
      <c r="G157" s="288" t="str">
        <f t="shared" si="68"/>
        <v/>
      </c>
      <c r="H157" s="289" t="str">
        <f t="shared" si="69"/>
        <v/>
      </c>
      <c r="I157" s="288" t="str">
        <f t="shared" si="70"/>
        <v/>
      </c>
      <c r="J157" s="288" t="str">
        <f t="shared" si="71"/>
        <v/>
      </c>
      <c r="K157" s="290" t="str">
        <f t="shared" ref="K157:L159" si="82">IF(K125="","",K125)</f>
        <v/>
      </c>
      <c r="L157" s="291" t="str">
        <f t="shared" si="82"/>
        <v/>
      </c>
      <c r="M157" s="293" t="str">
        <f t="shared" si="78"/>
        <v/>
      </c>
      <c r="N157" s="262"/>
      <c r="O157" s="298" t="str">
        <f t="shared" si="73"/>
        <v/>
      </c>
      <c r="P157" s="299" t="str">
        <f t="shared" si="74"/>
        <v/>
      </c>
      <c r="Q157" s="455">
        <f t="shared" si="79"/>
        <v>0.61</v>
      </c>
      <c r="R157" s="297" t="e">
        <f t="shared" si="75"/>
        <v>#VALUE!</v>
      </c>
      <c r="S157" s="299">
        <f>IF(L157="",0,O157*12*L157*IF(OR(I157&lt;=8,I157="LIOa",I157="LIOb",I157="ID1",I157="ID2",I157="ID3"),1+tab!D$72,1+tab!D$70))</f>
        <v>0</v>
      </c>
      <c r="T157" s="436">
        <f t="shared" si="76"/>
        <v>0</v>
      </c>
      <c r="U157" s="301">
        <f t="shared" si="80"/>
        <v>0</v>
      </c>
      <c r="V157" s="447">
        <f t="shared" si="77"/>
        <v>0</v>
      </c>
      <c r="W157" s="263"/>
      <c r="AA157" s="139"/>
      <c r="AJ157" s="139"/>
    </row>
    <row r="158" spans="3:36" ht="12.75" hidden="1" customHeight="1" x14ac:dyDescent="0.2">
      <c r="C158" s="178"/>
      <c r="D158" s="287" t="str">
        <f t="shared" si="81"/>
        <v/>
      </c>
      <c r="E158" s="287" t="str">
        <f t="shared" si="81"/>
        <v/>
      </c>
      <c r="F158" s="287" t="str">
        <f t="shared" si="81"/>
        <v/>
      </c>
      <c r="G158" s="288" t="str">
        <f t="shared" si="68"/>
        <v/>
      </c>
      <c r="H158" s="289" t="str">
        <f t="shared" si="69"/>
        <v/>
      </c>
      <c r="I158" s="288" t="str">
        <f t="shared" si="70"/>
        <v/>
      </c>
      <c r="J158" s="288" t="str">
        <f t="shared" si="71"/>
        <v/>
      </c>
      <c r="K158" s="290" t="str">
        <f t="shared" si="82"/>
        <v/>
      </c>
      <c r="L158" s="291" t="str">
        <f t="shared" si="82"/>
        <v/>
      </c>
      <c r="M158" s="293" t="str">
        <f t="shared" si="78"/>
        <v/>
      </c>
      <c r="N158" s="262"/>
      <c r="O158" s="298" t="str">
        <f t="shared" si="73"/>
        <v/>
      </c>
      <c r="P158" s="299" t="str">
        <f t="shared" si="74"/>
        <v/>
      </c>
      <c r="Q158" s="455">
        <f t="shared" si="79"/>
        <v>0.61</v>
      </c>
      <c r="R158" s="297" t="e">
        <f t="shared" si="75"/>
        <v>#VALUE!</v>
      </c>
      <c r="S158" s="299">
        <f>IF(L158="",0,O158*12*L158*IF(OR(I158&lt;=8,I158="LIOa",I158="LIOb",I158="ID1",I158="ID2",I158="ID3"),1+tab!D$72,1+tab!D$70))</f>
        <v>0</v>
      </c>
      <c r="T158" s="436">
        <f t="shared" si="76"/>
        <v>0</v>
      </c>
      <c r="U158" s="301">
        <f t="shared" si="80"/>
        <v>0</v>
      </c>
      <c r="V158" s="447">
        <f t="shared" si="77"/>
        <v>0</v>
      </c>
      <c r="W158" s="263"/>
      <c r="AA158" s="139"/>
      <c r="AJ158" s="139"/>
    </row>
    <row r="159" spans="3:36" ht="12.75" hidden="1" customHeight="1" x14ac:dyDescent="0.2">
      <c r="C159" s="178"/>
      <c r="D159" s="287" t="str">
        <f t="shared" si="81"/>
        <v/>
      </c>
      <c r="E159" s="287" t="str">
        <f t="shared" si="81"/>
        <v/>
      </c>
      <c r="F159" s="287" t="str">
        <f t="shared" si="81"/>
        <v/>
      </c>
      <c r="G159" s="288" t="str">
        <f t="shared" si="68"/>
        <v/>
      </c>
      <c r="H159" s="289" t="str">
        <f t="shared" si="69"/>
        <v/>
      </c>
      <c r="I159" s="288" t="str">
        <f t="shared" si="70"/>
        <v/>
      </c>
      <c r="J159" s="288" t="str">
        <f t="shared" si="71"/>
        <v/>
      </c>
      <c r="K159" s="290" t="str">
        <f t="shared" si="82"/>
        <v/>
      </c>
      <c r="L159" s="291" t="str">
        <f t="shared" si="82"/>
        <v/>
      </c>
      <c r="M159" s="293" t="str">
        <f t="shared" si="78"/>
        <v/>
      </c>
      <c r="N159" s="262"/>
      <c r="O159" s="298" t="str">
        <f t="shared" si="73"/>
        <v/>
      </c>
      <c r="P159" s="299" t="str">
        <f t="shared" si="74"/>
        <v/>
      </c>
      <c r="Q159" s="455">
        <f t="shared" si="79"/>
        <v>0.61</v>
      </c>
      <c r="R159" s="297" t="e">
        <f t="shared" si="75"/>
        <v>#VALUE!</v>
      </c>
      <c r="S159" s="299">
        <f>IF(L159="",0,O159*12*L159*IF(OR(I159&lt;=8,I159="LIOa",I159="LIOb",I159="ID1",I159="ID2",I159="ID3"),1+tab!D$72,1+tab!D$70))</f>
        <v>0</v>
      </c>
      <c r="T159" s="436">
        <f t="shared" si="76"/>
        <v>0</v>
      </c>
      <c r="U159" s="301">
        <f t="shared" si="80"/>
        <v>0</v>
      </c>
      <c r="V159" s="447">
        <f t="shared" si="77"/>
        <v>0</v>
      </c>
      <c r="W159" s="263"/>
      <c r="AA159" s="139"/>
      <c r="AJ159" s="139"/>
    </row>
    <row r="160" spans="3:36" ht="12.75" hidden="1" customHeight="1" x14ac:dyDescent="0.2">
      <c r="C160" s="178"/>
      <c r="D160" s="287" t="str">
        <f t="shared" ref="D160:F164" si="83">IF(D128=0,"",D128)</f>
        <v/>
      </c>
      <c r="E160" s="287" t="str">
        <f t="shared" si="83"/>
        <v/>
      </c>
      <c r="F160" s="287" t="str">
        <f t="shared" si="83"/>
        <v/>
      </c>
      <c r="G160" s="288" t="str">
        <f t="shared" si="68"/>
        <v/>
      </c>
      <c r="H160" s="289" t="str">
        <f t="shared" si="69"/>
        <v/>
      </c>
      <c r="I160" s="288" t="str">
        <f t="shared" si="70"/>
        <v/>
      </c>
      <c r="J160" s="288" t="str">
        <f t="shared" si="71"/>
        <v/>
      </c>
      <c r="K160" s="290" t="str">
        <f t="shared" ref="K160:L164" si="84">IF(K128="","",K128)</f>
        <v/>
      </c>
      <c r="L160" s="291" t="str">
        <f t="shared" si="84"/>
        <v/>
      </c>
      <c r="M160" s="293" t="str">
        <f t="shared" si="78"/>
        <v/>
      </c>
      <c r="N160" s="262"/>
      <c r="O160" s="298" t="str">
        <f t="shared" si="73"/>
        <v/>
      </c>
      <c r="P160" s="299" t="str">
        <f t="shared" si="74"/>
        <v/>
      </c>
      <c r="Q160" s="455">
        <f t="shared" si="79"/>
        <v>0.61</v>
      </c>
      <c r="R160" s="297" t="e">
        <f t="shared" si="75"/>
        <v>#VALUE!</v>
      </c>
      <c r="S160" s="299">
        <f>IF(L160="",0,O160*12*L160*IF(OR(I160&lt;=8,I160="LIOa",I160="LIOb",I160="ID1",I160="ID2",I160="ID3"),1+tab!D$72,1+tab!D$70))</f>
        <v>0</v>
      </c>
      <c r="T160" s="436">
        <f t="shared" si="76"/>
        <v>0</v>
      </c>
      <c r="U160" s="301">
        <f t="shared" si="80"/>
        <v>0</v>
      </c>
      <c r="V160" s="447">
        <f t="shared" si="77"/>
        <v>0</v>
      </c>
      <c r="W160" s="263"/>
      <c r="AA160" s="139"/>
      <c r="AJ160" s="139"/>
    </row>
    <row r="161" spans="3:36" ht="12.75" hidden="1" customHeight="1" x14ac:dyDescent="0.2">
      <c r="C161" s="178"/>
      <c r="D161" s="287" t="str">
        <f t="shared" si="83"/>
        <v/>
      </c>
      <c r="E161" s="287" t="str">
        <f t="shared" si="83"/>
        <v/>
      </c>
      <c r="F161" s="287" t="str">
        <f t="shared" si="83"/>
        <v/>
      </c>
      <c r="G161" s="288" t="str">
        <f t="shared" si="68"/>
        <v/>
      </c>
      <c r="H161" s="289" t="str">
        <f t="shared" si="69"/>
        <v/>
      </c>
      <c r="I161" s="288" t="str">
        <f t="shared" si="70"/>
        <v/>
      </c>
      <c r="J161" s="288" t="str">
        <f t="shared" si="71"/>
        <v/>
      </c>
      <c r="K161" s="290" t="str">
        <f t="shared" si="84"/>
        <v/>
      </c>
      <c r="L161" s="291" t="str">
        <f t="shared" si="84"/>
        <v/>
      </c>
      <c r="M161" s="293" t="str">
        <f t="shared" si="78"/>
        <v/>
      </c>
      <c r="N161" s="262"/>
      <c r="O161" s="298" t="str">
        <f t="shared" si="73"/>
        <v/>
      </c>
      <c r="P161" s="299" t="str">
        <f t="shared" si="74"/>
        <v/>
      </c>
      <c r="Q161" s="455">
        <f t="shared" si="79"/>
        <v>0.61</v>
      </c>
      <c r="R161" s="297" t="e">
        <f t="shared" si="75"/>
        <v>#VALUE!</v>
      </c>
      <c r="S161" s="299">
        <f>IF(L161="",0,O161*12*L161*IF(OR(I161&lt;=8,I161="LIOa",I161="LIOb",I161="ID1",I161="ID2",I161="ID3"),1+tab!D$72,1+tab!D$70))</f>
        <v>0</v>
      </c>
      <c r="T161" s="436">
        <f t="shared" si="76"/>
        <v>0</v>
      </c>
      <c r="U161" s="301">
        <f t="shared" si="80"/>
        <v>0</v>
      </c>
      <c r="V161" s="447">
        <f t="shared" si="77"/>
        <v>0</v>
      </c>
      <c r="W161" s="263"/>
      <c r="AA161" s="139"/>
      <c r="AJ161" s="139"/>
    </row>
    <row r="162" spans="3:36" ht="12.75" hidden="1" customHeight="1" x14ac:dyDescent="0.2">
      <c r="C162" s="178"/>
      <c r="D162" s="287" t="str">
        <f t="shared" si="83"/>
        <v/>
      </c>
      <c r="E162" s="287" t="str">
        <f t="shared" si="83"/>
        <v/>
      </c>
      <c r="F162" s="287" t="str">
        <f t="shared" si="83"/>
        <v/>
      </c>
      <c r="G162" s="288" t="str">
        <f t="shared" si="68"/>
        <v/>
      </c>
      <c r="H162" s="289" t="str">
        <f t="shared" si="69"/>
        <v/>
      </c>
      <c r="I162" s="288" t="str">
        <f t="shared" si="70"/>
        <v/>
      </c>
      <c r="J162" s="288" t="str">
        <f t="shared" si="71"/>
        <v/>
      </c>
      <c r="K162" s="290" t="str">
        <f t="shared" si="84"/>
        <v/>
      </c>
      <c r="L162" s="291" t="str">
        <f t="shared" si="84"/>
        <v/>
      </c>
      <c r="M162" s="293" t="str">
        <f t="shared" si="78"/>
        <v/>
      </c>
      <c r="N162" s="262"/>
      <c r="O162" s="298" t="str">
        <f t="shared" si="73"/>
        <v/>
      </c>
      <c r="P162" s="299" t="str">
        <f t="shared" si="74"/>
        <v/>
      </c>
      <c r="Q162" s="455">
        <f t="shared" si="79"/>
        <v>0.61</v>
      </c>
      <c r="R162" s="297" t="e">
        <f t="shared" si="75"/>
        <v>#VALUE!</v>
      </c>
      <c r="S162" s="299">
        <f>IF(L162="",0,O162*12*L162*IF(OR(I162&lt;=8,I162="LIOa",I162="LIOb",I162="ID1",I162="ID2",I162="ID3"),1+tab!D$72,1+tab!D$70))</f>
        <v>0</v>
      </c>
      <c r="T162" s="436">
        <f t="shared" si="76"/>
        <v>0</v>
      </c>
      <c r="U162" s="301">
        <f t="shared" si="80"/>
        <v>0</v>
      </c>
      <c r="V162" s="447">
        <f t="shared" si="77"/>
        <v>0</v>
      </c>
      <c r="W162" s="263"/>
      <c r="AA162" s="139"/>
      <c r="AJ162" s="139"/>
    </row>
    <row r="163" spans="3:36" ht="12.75" hidden="1" customHeight="1" x14ac:dyDescent="0.2">
      <c r="C163" s="178"/>
      <c r="D163" s="287" t="str">
        <f t="shared" si="83"/>
        <v/>
      </c>
      <c r="E163" s="287" t="str">
        <f t="shared" si="83"/>
        <v/>
      </c>
      <c r="F163" s="287" t="str">
        <f t="shared" si="83"/>
        <v/>
      </c>
      <c r="G163" s="288" t="str">
        <f t="shared" si="68"/>
        <v/>
      </c>
      <c r="H163" s="289" t="str">
        <f t="shared" si="69"/>
        <v/>
      </c>
      <c r="I163" s="288" t="str">
        <f t="shared" si="70"/>
        <v/>
      </c>
      <c r="J163" s="288" t="str">
        <f t="shared" si="71"/>
        <v/>
      </c>
      <c r="K163" s="290" t="str">
        <f t="shared" si="84"/>
        <v/>
      </c>
      <c r="L163" s="291" t="str">
        <f t="shared" si="84"/>
        <v/>
      </c>
      <c r="M163" s="293" t="str">
        <f t="shared" si="78"/>
        <v/>
      </c>
      <c r="N163" s="262"/>
      <c r="O163" s="298" t="str">
        <f t="shared" si="73"/>
        <v/>
      </c>
      <c r="P163" s="299" t="str">
        <f t="shared" si="74"/>
        <v/>
      </c>
      <c r="Q163" s="455">
        <f t="shared" si="79"/>
        <v>0.61</v>
      </c>
      <c r="R163" s="297" t="e">
        <f t="shared" si="75"/>
        <v>#VALUE!</v>
      </c>
      <c r="S163" s="299">
        <f>IF(L163="",0,O163*12*L163*IF(OR(I163&lt;=8,I163="LIOa",I163="LIOb",I163="ID1",I163="ID2",I163="ID3"),1+tab!D$72,1+tab!D$70))</f>
        <v>0</v>
      </c>
      <c r="T163" s="436">
        <f t="shared" si="76"/>
        <v>0</v>
      </c>
      <c r="U163" s="301">
        <f t="shared" si="80"/>
        <v>0</v>
      </c>
      <c r="V163" s="447">
        <f t="shared" si="77"/>
        <v>0</v>
      </c>
      <c r="W163" s="263"/>
      <c r="AA163" s="139"/>
      <c r="AJ163" s="139"/>
    </row>
    <row r="164" spans="3:36" ht="12.75" hidden="1" customHeight="1" x14ac:dyDescent="0.2">
      <c r="C164" s="178"/>
      <c r="D164" s="287" t="str">
        <f t="shared" si="83"/>
        <v/>
      </c>
      <c r="E164" s="287" t="str">
        <f t="shared" si="83"/>
        <v/>
      </c>
      <c r="F164" s="287" t="str">
        <f t="shared" si="83"/>
        <v/>
      </c>
      <c r="G164" s="288" t="str">
        <f t="shared" si="68"/>
        <v/>
      </c>
      <c r="H164" s="289" t="str">
        <f t="shared" si="69"/>
        <v/>
      </c>
      <c r="I164" s="288" t="str">
        <f t="shared" si="70"/>
        <v/>
      </c>
      <c r="J164" s="288" t="str">
        <f t="shared" si="71"/>
        <v/>
      </c>
      <c r="K164" s="290" t="str">
        <f t="shared" si="84"/>
        <v/>
      </c>
      <c r="L164" s="291" t="str">
        <f t="shared" si="84"/>
        <v/>
      </c>
      <c r="M164" s="293" t="str">
        <f t="shared" si="78"/>
        <v/>
      </c>
      <c r="N164" s="262"/>
      <c r="O164" s="298" t="str">
        <f t="shared" si="73"/>
        <v/>
      </c>
      <c r="P164" s="299" t="str">
        <f t="shared" si="74"/>
        <v/>
      </c>
      <c r="Q164" s="455">
        <f t="shared" si="79"/>
        <v>0.61</v>
      </c>
      <c r="R164" s="297" t="e">
        <f t="shared" si="75"/>
        <v>#VALUE!</v>
      </c>
      <c r="S164" s="299">
        <f>IF(L164="",0,O164*12*L164*IF(OR(I164&lt;=8,I164="LIOa",I164="LIOb",I164="ID1",I164="ID2",I164="ID3"),1+tab!D$72,1+tab!D$70))</f>
        <v>0</v>
      </c>
      <c r="T164" s="436">
        <f t="shared" si="76"/>
        <v>0</v>
      </c>
      <c r="U164" s="301">
        <f t="shared" si="80"/>
        <v>0</v>
      </c>
      <c r="V164" s="447">
        <f t="shared" si="77"/>
        <v>0</v>
      </c>
      <c r="W164" s="263"/>
      <c r="AA164" s="139"/>
      <c r="AJ164" s="139"/>
    </row>
    <row r="165" spans="3:36" hidden="1" x14ac:dyDescent="0.2">
      <c r="C165" s="178"/>
      <c r="D165" s="264"/>
      <c r="E165" s="264"/>
      <c r="F165" s="264"/>
      <c r="G165" s="179"/>
      <c r="H165" s="265"/>
      <c r="I165" s="179"/>
      <c r="J165" s="266"/>
      <c r="K165" s="304">
        <f>SUM(K145:K164)</f>
        <v>0</v>
      </c>
      <c r="L165" s="304">
        <f>SUM(L145:L164)</f>
        <v>0</v>
      </c>
      <c r="M165" s="304">
        <f>SUM(M145:M164)</f>
        <v>0</v>
      </c>
      <c r="N165" s="305"/>
      <c r="O165" s="302">
        <f t="shared" ref="O165:V165" si="85">SUM(O145:O164)</f>
        <v>0</v>
      </c>
      <c r="P165" s="302">
        <f t="shared" si="85"/>
        <v>0</v>
      </c>
      <c r="Q165" s="267"/>
      <c r="R165" s="302" t="e">
        <f t="shared" si="85"/>
        <v>#VALUE!</v>
      </c>
      <c r="S165" s="302">
        <f t="shared" si="85"/>
        <v>0</v>
      </c>
      <c r="T165" s="302">
        <f t="shared" si="85"/>
        <v>0</v>
      </c>
      <c r="U165" s="303">
        <f t="shared" si="85"/>
        <v>0</v>
      </c>
      <c r="V165" s="448">
        <f t="shared" si="85"/>
        <v>0</v>
      </c>
      <c r="W165" s="268"/>
    </row>
    <row r="166" spans="3:36" hidden="1" x14ac:dyDescent="0.2">
      <c r="C166" s="180"/>
      <c r="D166" s="269"/>
      <c r="E166" s="269"/>
      <c r="F166" s="269"/>
      <c r="G166" s="181"/>
      <c r="H166" s="270"/>
      <c r="I166" s="181"/>
      <c r="J166" s="271"/>
      <c r="K166" s="272"/>
      <c r="L166" s="271"/>
      <c r="M166" s="272"/>
      <c r="N166" s="271"/>
      <c r="O166" s="271"/>
      <c r="P166" s="273"/>
      <c r="Q166" s="273"/>
      <c r="R166" s="273"/>
      <c r="S166" s="273"/>
      <c r="T166" s="437"/>
      <c r="U166" s="274"/>
      <c r="V166" s="449"/>
      <c r="W166" s="275"/>
    </row>
    <row r="181" spans="4:4" x14ac:dyDescent="0.2">
      <c r="D181" s="86" t="s">
        <v>99</v>
      </c>
    </row>
    <row r="182" spans="4:4" x14ac:dyDescent="0.2">
      <c r="D182" s="86" t="s">
        <v>100</v>
      </c>
    </row>
    <row r="183" spans="4:4" x14ac:dyDescent="0.2">
      <c r="D183" s="86" t="s">
        <v>101</v>
      </c>
    </row>
    <row r="184" spans="4:4" x14ac:dyDescent="0.2">
      <c r="D184" s="86" t="s">
        <v>102</v>
      </c>
    </row>
    <row r="185" spans="4:4" x14ac:dyDescent="0.2">
      <c r="D185" s="86" t="s">
        <v>103</v>
      </c>
    </row>
    <row r="186" spans="4:4" x14ac:dyDescent="0.2">
      <c r="D186" s="86" t="s">
        <v>92</v>
      </c>
    </row>
    <row r="187" spans="4:4" x14ac:dyDescent="0.2">
      <c r="D187" s="86" t="s">
        <v>93</v>
      </c>
    </row>
    <row r="188" spans="4:4" x14ac:dyDescent="0.2">
      <c r="D188" s="86" t="s">
        <v>94</v>
      </c>
    </row>
    <row r="189" spans="4:4" x14ac:dyDescent="0.2">
      <c r="D189" s="86" t="s">
        <v>95</v>
      </c>
    </row>
    <row r="190" spans="4:4" x14ac:dyDescent="0.2">
      <c r="D190" s="86" t="s">
        <v>96</v>
      </c>
    </row>
    <row r="191" spans="4:4" x14ac:dyDescent="0.2">
      <c r="D191" s="86" t="s">
        <v>97</v>
      </c>
    </row>
    <row r="192" spans="4:4" x14ac:dyDescent="0.2">
      <c r="D192" s="86" t="s">
        <v>98</v>
      </c>
    </row>
    <row r="193" spans="4:4" x14ac:dyDescent="0.2">
      <c r="D193" s="86" t="s">
        <v>104</v>
      </c>
    </row>
    <row r="194" spans="4:4" x14ac:dyDescent="0.2">
      <c r="D194" s="86" t="s">
        <v>105</v>
      </c>
    </row>
    <row r="195" spans="4:4" x14ac:dyDescent="0.2">
      <c r="D195" s="86" t="s">
        <v>106</v>
      </c>
    </row>
    <row r="196" spans="4:4" x14ac:dyDescent="0.2">
      <c r="D196" s="86" t="s">
        <v>107</v>
      </c>
    </row>
    <row r="197" spans="4:4" x14ac:dyDescent="0.2">
      <c r="D197" s="86" t="s">
        <v>108</v>
      </c>
    </row>
    <row r="198" spans="4:4" x14ac:dyDescent="0.2">
      <c r="D198" s="39" t="s">
        <v>109</v>
      </c>
    </row>
    <row r="199" spans="4:4" x14ac:dyDescent="0.2">
      <c r="D199" s="39" t="s">
        <v>110</v>
      </c>
    </row>
    <row r="200" spans="4:4" x14ac:dyDescent="0.2">
      <c r="D200" s="152" t="s">
        <v>145</v>
      </c>
    </row>
    <row r="201" spans="4:4" x14ac:dyDescent="0.2">
      <c r="D201" s="152" t="s">
        <v>146</v>
      </c>
    </row>
    <row r="202" spans="4:4" x14ac:dyDescent="0.2">
      <c r="D202" s="152" t="s">
        <v>147</v>
      </c>
    </row>
    <row r="203" spans="4:4" x14ac:dyDescent="0.2">
      <c r="D203" s="39">
        <v>1</v>
      </c>
    </row>
    <row r="204" spans="4:4" x14ac:dyDescent="0.2">
      <c r="D204" s="39">
        <v>2</v>
      </c>
    </row>
    <row r="205" spans="4:4" x14ac:dyDescent="0.2">
      <c r="D205" s="39">
        <v>3</v>
      </c>
    </row>
    <row r="206" spans="4:4" x14ac:dyDescent="0.2">
      <c r="D206" s="39">
        <v>4</v>
      </c>
    </row>
    <row r="207" spans="4:4" x14ac:dyDescent="0.2">
      <c r="D207" s="39">
        <v>5</v>
      </c>
    </row>
    <row r="208" spans="4:4" x14ac:dyDescent="0.2">
      <c r="D208" s="39">
        <v>6</v>
      </c>
    </row>
    <row r="209" spans="4:4" x14ac:dyDescent="0.2">
      <c r="D209" s="39">
        <v>7</v>
      </c>
    </row>
    <row r="210" spans="4:4" x14ac:dyDescent="0.2">
      <c r="D210" s="39">
        <v>8</v>
      </c>
    </row>
    <row r="211" spans="4:4" x14ac:dyDescent="0.2">
      <c r="D211" s="39">
        <v>9</v>
      </c>
    </row>
    <row r="212" spans="4:4" x14ac:dyDescent="0.2">
      <c r="D212" s="39">
        <v>10</v>
      </c>
    </row>
    <row r="213" spans="4:4" x14ac:dyDescent="0.2">
      <c r="D213" s="39">
        <v>11</v>
      </c>
    </row>
    <row r="214" spans="4:4" x14ac:dyDescent="0.2">
      <c r="D214" s="39">
        <v>12</v>
      </c>
    </row>
    <row r="215" spans="4:4" x14ac:dyDescent="0.2">
      <c r="D215" s="39">
        <v>13</v>
      </c>
    </row>
    <row r="216" spans="4:4" x14ac:dyDescent="0.2">
      <c r="D216" s="39">
        <v>14</v>
      </c>
    </row>
    <row r="217" spans="4:4" x14ac:dyDescent="0.2">
      <c r="D217" s="39">
        <v>15</v>
      </c>
    </row>
    <row r="218" spans="4:4" x14ac:dyDescent="0.2">
      <c r="D218" s="39">
        <v>16</v>
      </c>
    </row>
  </sheetData>
  <sheetProtection password="DFB1" sheet="1" objects="1" scenarios="1"/>
  <mergeCells count="10">
    <mergeCell ref="D12:M12"/>
    <mergeCell ref="O12:T12"/>
    <mergeCell ref="D44:M44"/>
    <mergeCell ref="O44:T44"/>
    <mergeCell ref="O141:T141"/>
    <mergeCell ref="D141:M141"/>
    <mergeCell ref="O109:T109"/>
    <mergeCell ref="D109:M109"/>
    <mergeCell ref="O77:T77"/>
    <mergeCell ref="D77:M77"/>
  </mergeCells>
  <phoneticPr fontId="0" type="noConversion"/>
  <dataValidations count="4">
    <dataValidation type="list" allowBlank="1" showInputMessage="1" showErrorMessage="1" sqref="I103:I107">
      <formula1>"LIOa,LIOb,J1,J2,J3,J4,J5,J6,1,2,3,4,5,6,7,8,9,10,11,12,13,14,15,LA,LB,LC,LD,LE,ID1,ID2,ID3"</formula1>
    </dataValidation>
    <dataValidation type="list" allowBlank="1" showInputMessage="1" showErrorMessage="1" sqref="I38:I42 I70:I75">
      <formula1>"LA,LB,LC,LD,LE"</formula1>
    </dataValidation>
    <dataValidation type="list" allowBlank="1" showInputMessage="1" showErrorMessage="1" sqref="I145:I164 I81:I100 I113:I132 I48:I67 I18:I35">
      <formula1>$D$181:$D$216</formula1>
    </dataValidation>
    <dataValidation type="list" allowBlank="1" showInputMessage="1" showErrorMessage="1" sqref="I16:I17">
      <formula1>$D$181:$D$218</formula1>
    </dataValidation>
  </dataValidations>
  <pageMargins left="0.74803149606299213" right="0.74803149606299213" top="0.98425196850393704" bottom="0.98425196850393704" header="0.51181102362204722" footer="0.51181102362204722"/>
  <pageSetup paperSize="9" scale="50" orientation="landscape" r:id="rId1"/>
  <headerFooter alignWithMargins="0">
    <oddHeader>&amp;L&amp;"Arial,Vet"&amp;F&amp;R&amp;"Arial,Vet"&amp;A</oddHeader>
    <oddFooter>&amp;L&amp;"Arial,Vet"PO-Raad&amp;C&amp;"Arial,Vet"pagina &amp;P&amp;R&amp;"Arial,Vet"&amp;D</oddFooter>
  </headerFooter>
  <colBreaks count="1" manualBreakCount="1">
    <brk id="24" min="1" max="178"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U272"/>
  <sheetViews>
    <sheetView zoomScale="85" zoomScaleNormal="85" workbookViewId="0">
      <selection activeCell="B2" sqref="B2"/>
    </sheetView>
  </sheetViews>
  <sheetFormatPr defaultColWidth="9.7109375" defaultRowHeight="12.75" x14ac:dyDescent="0.2"/>
  <cols>
    <col min="1" max="1" width="3.7109375" style="34" customWidth="1"/>
    <col min="2" max="3" width="2.7109375" style="34" customWidth="1"/>
    <col min="4" max="4" width="35.7109375" style="34" customWidth="1"/>
    <col min="5" max="5" width="2.7109375" style="34" customWidth="1"/>
    <col min="6" max="10" width="16.85546875" style="34" customWidth="1"/>
    <col min="11" max="12" width="2.7109375" style="34" customWidth="1"/>
    <col min="13" max="19" width="9.7109375" style="34" customWidth="1"/>
    <col min="20" max="20" width="8" style="34" customWidth="1"/>
    <col min="21" max="21" width="13.85546875" style="34" customWidth="1"/>
    <col min="22" max="16384" width="9.7109375" style="34"/>
  </cols>
  <sheetData>
    <row r="2" spans="2:45" x14ac:dyDescent="0.2">
      <c r="B2" s="472"/>
      <c r="C2" s="473"/>
      <c r="D2" s="473"/>
      <c r="E2" s="473"/>
      <c r="F2" s="473"/>
      <c r="G2" s="473"/>
      <c r="H2" s="473"/>
      <c r="I2" s="473"/>
      <c r="J2" s="473"/>
      <c r="K2" s="473"/>
      <c r="L2" s="474"/>
    </row>
    <row r="3" spans="2:45" x14ac:dyDescent="0.2">
      <c r="B3" s="475"/>
      <c r="C3" s="476"/>
      <c r="D3" s="476"/>
      <c r="E3" s="476"/>
      <c r="F3" s="476"/>
      <c r="G3" s="476"/>
      <c r="H3" s="476"/>
      <c r="I3" s="476"/>
      <c r="J3" s="476"/>
      <c r="K3" s="476"/>
      <c r="L3" s="477"/>
    </row>
    <row r="4" spans="2:45" s="67" customFormat="1" ht="18.75" x14ac:dyDescent="0.3">
      <c r="B4" s="478"/>
      <c r="C4" s="512" t="s">
        <v>362</v>
      </c>
      <c r="D4" s="479"/>
      <c r="E4" s="479"/>
      <c r="F4" s="479"/>
      <c r="G4" s="479"/>
      <c r="H4" s="479"/>
      <c r="I4" s="479"/>
      <c r="J4" s="479"/>
      <c r="K4" s="479"/>
      <c r="L4" s="480"/>
    </row>
    <row r="5" spans="2:45" s="37" customFormat="1" ht="18.75" x14ac:dyDescent="0.3">
      <c r="B5" s="481"/>
      <c r="C5" s="482" t="str">
        <f>geg!F10</f>
        <v>Zorgzaam</v>
      </c>
      <c r="D5" s="483"/>
      <c r="E5" s="483"/>
      <c r="F5" s="483"/>
      <c r="G5" s="483"/>
      <c r="H5" s="483"/>
      <c r="I5" s="483"/>
      <c r="J5" s="483"/>
      <c r="K5" s="483"/>
      <c r="L5" s="484"/>
    </row>
    <row r="6" spans="2:45" ht="12.75" customHeight="1" x14ac:dyDescent="0.25">
      <c r="B6" s="475"/>
      <c r="C6" s="485"/>
      <c r="D6" s="476"/>
      <c r="E6" s="476"/>
      <c r="F6" s="476"/>
      <c r="G6" s="476"/>
      <c r="H6" s="476"/>
      <c r="I6" s="476"/>
      <c r="J6" s="476"/>
      <c r="K6" s="476"/>
      <c r="L6" s="477"/>
      <c r="AD6" s="82"/>
      <c r="AE6" s="82"/>
      <c r="AF6" s="82"/>
      <c r="AG6" s="82"/>
      <c r="AH6" s="82"/>
      <c r="AI6" s="82"/>
      <c r="AJ6" s="82"/>
      <c r="AK6" s="82"/>
      <c r="AL6" s="82"/>
      <c r="AM6" s="82"/>
      <c r="AN6" s="82"/>
      <c r="AO6" s="82"/>
      <c r="AP6" s="82"/>
      <c r="AQ6" s="82"/>
      <c r="AR6" s="82"/>
      <c r="AS6" s="82"/>
    </row>
    <row r="7" spans="2:45" ht="12.75" customHeight="1" x14ac:dyDescent="0.25">
      <c r="B7" s="475"/>
      <c r="C7" s="485"/>
      <c r="D7" s="476"/>
      <c r="E7" s="476"/>
      <c r="F7" s="476"/>
      <c r="G7" s="476"/>
      <c r="H7" s="476"/>
      <c r="I7" s="476"/>
      <c r="J7" s="476"/>
      <c r="K7" s="476"/>
      <c r="L7" s="477"/>
      <c r="AD7" s="82"/>
      <c r="AE7" s="82"/>
      <c r="AF7" s="82"/>
      <c r="AG7" s="82"/>
      <c r="AH7" s="82"/>
      <c r="AI7" s="82"/>
      <c r="AJ7" s="82"/>
      <c r="AK7" s="82"/>
      <c r="AL7" s="82"/>
      <c r="AM7" s="82"/>
      <c r="AN7" s="82"/>
      <c r="AO7" s="82"/>
      <c r="AP7" s="82"/>
      <c r="AQ7" s="82"/>
      <c r="AR7" s="82"/>
      <c r="AS7" s="82"/>
    </row>
    <row r="8" spans="2:45" ht="12.75" customHeight="1" x14ac:dyDescent="0.25">
      <c r="B8" s="475"/>
      <c r="C8" s="485"/>
      <c r="D8" s="476"/>
      <c r="E8" s="476"/>
      <c r="F8" s="476"/>
      <c r="G8" s="476"/>
      <c r="H8" s="476"/>
      <c r="I8" s="476"/>
      <c r="J8" s="476"/>
      <c r="K8" s="476"/>
      <c r="L8" s="477"/>
      <c r="AD8" s="82"/>
      <c r="AE8" s="82"/>
      <c r="AF8" s="82"/>
      <c r="AG8" s="82"/>
      <c r="AH8" s="82"/>
      <c r="AI8" s="82"/>
      <c r="AJ8" s="82"/>
      <c r="AK8" s="82"/>
      <c r="AL8" s="82"/>
      <c r="AM8" s="82"/>
      <c r="AN8" s="82"/>
      <c r="AO8" s="82"/>
      <c r="AP8" s="82"/>
      <c r="AQ8" s="82"/>
      <c r="AR8" s="82"/>
      <c r="AS8" s="82"/>
    </row>
    <row r="9" spans="2:45" ht="12.75" customHeight="1" x14ac:dyDescent="0.2">
      <c r="B9" s="475"/>
      <c r="C9" s="495"/>
      <c r="D9" s="496"/>
      <c r="E9" s="496"/>
      <c r="F9" s="496"/>
      <c r="G9" s="496"/>
      <c r="H9" s="496"/>
      <c r="I9" s="496"/>
      <c r="J9" s="496"/>
      <c r="K9" s="497"/>
      <c r="L9" s="477"/>
      <c r="AD9" s="82"/>
      <c r="AE9" s="82"/>
      <c r="AF9" s="82"/>
      <c r="AG9" s="82"/>
      <c r="AH9" s="82"/>
      <c r="AI9" s="82"/>
      <c r="AJ9" s="82"/>
      <c r="AK9" s="82"/>
      <c r="AL9" s="82"/>
      <c r="AM9" s="82"/>
      <c r="AN9" s="82"/>
      <c r="AO9" s="82"/>
      <c r="AP9" s="82"/>
      <c r="AQ9" s="82"/>
      <c r="AR9" s="82"/>
      <c r="AS9" s="82"/>
    </row>
    <row r="10" spans="2:45" ht="12.75" customHeight="1" x14ac:dyDescent="0.2">
      <c r="B10" s="475"/>
      <c r="C10" s="498"/>
      <c r="D10" s="511" t="s">
        <v>365</v>
      </c>
      <c r="E10" s="499"/>
      <c r="F10" s="499"/>
      <c r="G10" s="499"/>
      <c r="H10" s="500" t="s">
        <v>9</v>
      </c>
      <c r="I10" s="499"/>
      <c r="J10" s="499"/>
      <c r="K10" s="501"/>
      <c r="L10" s="477"/>
      <c r="AD10" s="82"/>
      <c r="AE10" s="82"/>
      <c r="AF10" s="82"/>
      <c r="AG10" s="82"/>
      <c r="AH10" s="82"/>
      <c r="AI10" s="82"/>
      <c r="AJ10" s="82"/>
      <c r="AK10" s="82"/>
      <c r="AL10" s="82"/>
      <c r="AM10" s="82"/>
      <c r="AN10" s="82"/>
      <c r="AO10" s="82"/>
      <c r="AP10" s="82"/>
      <c r="AQ10" s="82"/>
      <c r="AR10" s="82"/>
      <c r="AS10" s="82"/>
    </row>
    <row r="11" spans="2:45" ht="12.75" customHeight="1" x14ac:dyDescent="0.2">
      <c r="B11" s="475"/>
      <c r="C11" s="498"/>
      <c r="D11" s="499" t="s">
        <v>390</v>
      </c>
      <c r="E11" s="499"/>
      <c r="F11" s="499"/>
      <c r="G11" s="499"/>
      <c r="H11" s="524">
        <v>0.25</v>
      </c>
      <c r="I11" s="499"/>
      <c r="J11" s="499"/>
      <c r="K11" s="501"/>
      <c r="L11" s="477"/>
      <c r="AD11" s="82"/>
      <c r="AE11" s="82"/>
      <c r="AF11" s="82"/>
      <c r="AG11" s="82"/>
      <c r="AH11" s="82"/>
      <c r="AI11" s="82"/>
      <c r="AJ11" s="82"/>
      <c r="AK11" s="82"/>
      <c r="AL11" s="82"/>
      <c r="AM11" s="82"/>
      <c r="AN11" s="82"/>
      <c r="AO11" s="82"/>
      <c r="AP11" s="82"/>
      <c r="AQ11" s="82"/>
      <c r="AR11" s="82"/>
      <c r="AS11" s="82"/>
    </row>
    <row r="12" spans="2:45" ht="12.75" customHeight="1" x14ac:dyDescent="0.2">
      <c r="B12" s="475"/>
      <c r="C12" s="498"/>
      <c r="D12" s="499" t="s">
        <v>424</v>
      </c>
      <c r="E12" s="499"/>
      <c r="F12" s="499"/>
      <c r="G12" s="499"/>
      <c r="H12" s="499"/>
      <c r="I12" s="499"/>
      <c r="J12" s="499"/>
      <c r="K12" s="501"/>
      <c r="L12" s="477"/>
      <c r="AD12" s="82"/>
      <c r="AE12" s="82"/>
      <c r="AF12" s="82"/>
      <c r="AG12" s="82"/>
      <c r="AH12" s="82"/>
      <c r="AI12" s="82"/>
      <c r="AJ12" s="82"/>
      <c r="AK12" s="82"/>
      <c r="AL12" s="82"/>
      <c r="AM12" s="82"/>
      <c r="AN12" s="82"/>
      <c r="AO12" s="82"/>
      <c r="AP12" s="82"/>
      <c r="AQ12" s="82"/>
      <c r="AR12" s="82"/>
      <c r="AS12" s="82"/>
    </row>
    <row r="13" spans="2:45" ht="12.75" customHeight="1" x14ac:dyDescent="0.2">
      <c r="B13" s="475"/>
      <c r="C13" s="498"/>
      <c r="D13" s="499"/>
      <c r="E13" s="499"/>
      <c r="F13" s="502"/>
      <c r="G13" s="499"/>
      <c r="H13" s="499"/>
      <c r="I13" s="499"/>
      <c r="J13" s="499"/>
      <c r="K13" s="501"/>
      <c r="L13" s="477"/>
      <c r="AD13" s="82"/>
      <c r="AE13" s="82"/>
      <c r="AF13" s="82"/>
      <c r="AG13" s="82"/>
      <c r="AH13" s="82"/>
      <c r="AI13" s="82"/>
      <c r="AJ13" s="82"/>
      <c r="AK13" s="82"/>
      <c r="AL13" s="82"/>
      <c r="AM13" s="82"/>
      <c r="AN13" s="82"/>
      <c r="AO13" s="82"/>
      <c r="AP13" s="82"/>
      <c r="AQ13" s="82"/>
      <c r="AR13" s="82"/>
      <c r="AS13" s="82"/>
    </row>
    <row r="14" spans="2:45" ht="12.75" customHeight="1" x14ac:dyDescent="0.2">
      <c r="B14" s="475"/>
      <c r="C14" s="498"/>
      <c r="D14" s="499" t="s">
        <v>9</v>
      </c>
      <c r="E14" s="499"/>
      <c r="F14" s="518">
        <v>0.05</v>
      </c>
      <c r="G14" s="518">
        <v>0.1</v>
      </c>
      <c r="H14" s="518">
        <v>0.15</v>
      </c>
      <c r="I14" s="518">
        <v>0.3</v>
      </c>
      <c r="J14" s="518">
        <v>0.25</v>
      </c>
      <c r="K14" s="501"/>
      <c r="L14" s="477"/>
      <c r="AD14" s="82"/>
      <c r="AE14" s="82"/>
      <c r="AF14" s="82"/>
      <c r="AG14" s="82"/>
      <c r="AH14" s="82"/>
      <c r="AI14" s="82"/>
      <c r="AJ14" s="82"/>
      <c r="AK14" s="82"/>
      <c r="AL14" s="82"/>
      <c r="AM14" s="82"/>
      <c r="AN14" s="82"/>
      <c r="AO14" s="82"/>
      <c r="AP14" s="82"/>
      <c r="AQ14" s="82"/>
      <c r="AR14" s="82"/>
      <c r="AS14" s="82"/>
    </row>
    <row r="15" spans="2:45" ht="12.75" customHeight="1" x14ac:dyDescent="0.2">
      <c r="B15" s="475"/>
      <c r="C15" s="498"/>
      <c r="D15" s="499" t="s">
        <v>10</v>
      </c>
      <c r="E15" s="499"/>
      <c r="F15" s="516" t="s">
        <v>92</v>
      </c>
      <c r="G15" s="516" t="s">
        <v>93</v>
      </c>
      <c r="H15" s="516" t="s">
        <v>95</v>
      </c>
      <c r="I15" s="516" t="s">
        <v>93</v>
      </c>
      <c r="J15" s="516" t="s">
        <v>98</v>
      </c>
      <c r="K15" s="501"/>
      <c r="L15" s="477"/>
      <c r="AD15" s="82"/>
      <c r="AE15" s="82"/>
      <c r="AF15" s="82"/>
      <c r="AG15" s="82"/>
      <c r="AH15" s="82"/>
      <c r="AI15" s="82"/>
      <c r="AJ15" s="82"/>
      <c r="AK15" s="82"/>
      <c r="AL15" s="82"/>
      <c r="AM15" s="82"/>
      <c r="AN15" s="82"/>
      <c r="AO15" s="82"/>
      <c r="AP15" s="82"/>
      <c r="AQ15" s="82"/>
      <c r="AR15" s="82"/>
      <c r="AS15" s="82"/>
    </row>
    <row r="16" spans="2:45" ht="12.75" customHeight="1" x14ac:dyDescent="0.2">
      <c r="B16" s="475"/>
      <c r="C16" s="498"/>
      <c r="D16" s="499" t="s">
        <v>366</v>
      </c>
      <c r="E16" s="499"/>
      <c r="F16" s="517">
        <v>43</v>
      </c>
      <c r="G16" s="517">
        <v>40</v>
      </c>
      <c r="H16" s="517">
        <v>41</v>
      </c>
      <c r="I16" s="517">
        <v>60</v>
      </c>
      <c r="J16" s="517">
        <v>45</v>
      </c>
      <c r="K16" s="501"/>
      <c r="L16" s="477"/>
      <c r="AD16" s="82"/>
      <c r="AE16" s="82"/>
      <c r="AF16" s="82"/>
      <c r="AG16" s="82"/>
      <c r="AH16" s="82"/>
      <c r="AI16" s="82"/>
      <c r="AJ16" s="82"/>
      <c r="AK16" s="82"/>
      <c r="AL16" s="82"/>
      <c r="AM16" s="82"/>
      <c r="AN16" s="82"/>
      <c r="AO16" s="82"/>
      <c r="AP16" s="82"/>
      <c r="AQ16" s="82"/>
      <c r="AR16" s="82"/>
      <c r="AS16" s="82"/>
    </row>
    <row r="17" spans="2:47" ht="12.75" customHeight="1" x14ac:dyDescent="0.2">
      <c r="B17" s="475"/>
      <c r="C17" s="498"/>
      <c r="D17" s="499" t="s">
        <v>11</v>
      </c>
      <c r="E17" s="499"/>
      <c r="F17" s="525">
        <f>ROUND(IF(F14&lt;$H11,F14*tab!$D29*VLOOKUP(F15,verhoudingstabel_LB,2,FALSE),F14*(tab!$D30+IF(F16&gt;50,50,F16)*tab!$D31)*VLOOKUP(F15,verhoudingstabel_LB,2,FALSE)),-1)</f>
        <v>3490</v>
      </c>
      <c r="G17" s="525">
        <f>ROUND(IF(G14&lt;$H11,G14*tab!$D29*VLOOKUP(G15,verhoudingstabel_LB,2,FALSE),G14*(tab!$D30+IF(G16&gt;50,50,G16)*tab!$D31)*VLOOKUP(G15,verhoudingstabel_LB,2,FALSE)),-1)</f>
        <v>7850</v>
      </c>
      <c r="H17" s="525">
        <f>ROUND(IF(H14&lt;$H11,H14*tab!$D29*VLOOKUP(H15,verhoudingstabel_LB,2,FALSE),H14*(tab!$D30+IF(H16&gt;50,50,H16)*tab!$D31)*VLOOKUP(H15,verhoudingstabel_LB,2,FALSE)),-1)</f>
        <v>13100</v>
      </c>
      <c r="I17" s="525">
        <f>ROUND(IF(I14&lt;$H11,I14*tab!$D29*VLOOKUP(I15,verhoudingstabel_LB,2,FALSE),I14*(tab!$D30+IF(I16&gt;50,50,I16)*tab!$D31)*VLOOKUP(I15,verhoudingstabel_LB,2,FALSE)),-1)</f>
        <v>26340</v>
      </c>
      <c r="J17" s="525">
        <f>ROUND(IF(J14&lt;$H11,J14*tab!$D29*VLOOKUP(J15,verhoudingstabel_LB,2,FALSE),J14*(tab!$D30+IF(J16&gt;50,50,J16)*tab!$D31)*VLOOKUP(J15,verhoudingstabel_LB,2,FALSE)),-1)</f>
        <v>25700</v>
      </c>
      <c r="K17" s="501"/>
      <c r="L17" s="477"/>
      <c r="AD17" s="82"/>
      <c r="AE17" s="82"/>
      <c r="AF17" s="82"/>
      <c r="AG17" s="82"/>
      <c r="AH17" s="82"/>
      <c r="AI17" s="82"/>
      <c r="AJ17" s="82"/>
      <c r="AK17" s="82"/>
      <c r="AL17" s="82"/>
      <c r="AM17" s="82"/>
      <c r="AN17" s="82"/>
      <c r="AO17" s="82"/>
      <c r="AP17" s="82"/>
      <c r="AQ17" s="82"/>
      <c r="AR17" s="82"/>
      <c r="AS17" s="82"/>
    </row>
    <row r="18" spans="2:47" ht="12.75" customHeight="1" x14ac:dyDescent="0.2">
      <c r="B18" s="475"/>
      <c r="C18" s="498"/>
      <c r="D18" s="499"/>
      <c r="E18" s="502"/>
      <c r="F18" s="499"/>
      <c r="G18" s="499"/>
      <c r="H18" s="499"/>
      <c r="I18" s="499"/>
      <c r="J18" s="499"/>
      <c r="K18" s="501"/>
      <c r="L18" s="477"/>
      <c r="AD18" s="82"/>
      <c r="AE18" s="82"/>
      <c r="AF18" s="82"/>
      <c r="AG18" s="82"/>
      <c r="AH18" s="82"/>
      <c r="AI18" s="82"/>
      <c r="AJ18" s="82"/>
      <c r="AK18" s="82"/>
      <c r="AL18" s="82"/>
      <c r="AM18" s="82"/>
      <c r="AN18" s="82"/>
      <c r="AO18" s="82"/>
      <c r="AP18" s="82"/>
      <c r="AQ18" s="82"/>
      <c r="AR18" s="82"/>
      <c r="AS18" s="82"/>
    </row>
    <row r="19" spans="2:47" ht="12.75" customHeight="1" x14ac:dyDescent="0.2">
      <c r="B19" s="475"/>
      <c r="C19" s="498"/>
      <c r="D19" s="499" t="s">
        <v>9</v>
      </c>
      <c r="E19" s="499"/>
      <c r="F19" s="518">
        <v>0.35</v>
      </c>
      <c r="G19" s="518">
        <v>0.4</v>
      </c>
      <c r="H19" s="518">
        <v>0.45</v>
      </c>
      <c r="I19" s="518">
        <v>0.5</v>
      </c>
      <c r="J19" s="518">
        <v>0.35</v>
      </c>
      <c r="K19" s="501"/>
      <c r="L19" s="477"/>
      <c r="AD19" s="82"/>
      <c r="AE19" s="82"/>
      <c r="AF19" s="82"/>
      <c r="AG19" s="82"/>
      <c r="AH19" s="82"/>
      <c r="AI19" s="82"/>
      <c r="AJ19" s="82"/>
      <c r="AK19" s="82"/>
      <c r="AL19" s="82"/>
      <c r="AM19" s="82"/>
      <c r="AN19" s="82"/>
      <c r="AO19" s="82"/>
      <c r="AP19" s="82"/>
      <c r="AQ19" s="82"/>
      <c r="AR19" s="82"/>
      <c r="AS19" s="82"/>
    </row>
    <row r="20" spans="2:47" ht="12.75" customHeight="1" x14ac:dyDescent="0.2">
      <c r="B20" s="475"/>
      <c r="C20" s="498"/>
      <c r="D20" s="499" t="s">
        <v>10</v>
      </c>
      <c r="E20" s="499"/>
      <c r="F20" s="516" t="s">
        <v>104</v>
      </c>
      <c r="G20" s="516" t="s">
        <v>105</v>
      </c>
      <c r="H20" s="516" t="s">
        <v>106</v>
      </c>
      <c r="I20" s="516" t="s">
        <v>107</v>
      </c>
      <c r="J20" s="516" t="s">
        <v>108</v>
      </c>
      <c r="K20" s="501"/>
      <c r="L20" s="477"/>
      <c r="AD20" s="82"/>
      <c r="AE20" s="82"/>
      <c r="AF20" s="82"/>
      <c r="AG20" s="82"/>
      <c r="AH20" s="82"/>
      <c r="AI20" s="82"/>
      <c r="AJ20" s="82"/>
      <c r="AK20" s="82"/>
      <c r="AL20" s="82"/>
      <c r="AM20" s="82"/>
      <c r="AN20" s="82"/>
      <c r="AO20" s="82"/>
      <c r="AP20" s="82"/>
      <c r="AQ20" s="82"/>
      <c r="AR20" s="82"/>
      <c r="AS20" s="82"/>
    </row>
    <row r="21" spans="2:47" ht="12.75" customHeight="1" x14ac:dyDescent="0.2">
      <c r="B21" s="475"/>
      <c r="C21" s="498"/>
      <c r="D21" s="499" t="s">
        <v>366</v>
      </c>
      <c r="E21" s="499"/>
      <c r="F21" s="517">
        <v>35</v>
      </c>
      <c r="G21" s="517">
        <v>45</v>
      </c>
      <c r="H21" s="517">
        <v>55</v>
      </c>
      <c r="I21" s="517">
        <v>30</v>
      </c>
      <c r="J21" s="517">
        <v>33</v>
      </c>
      <c r="K21" s="501"/>
      <c r="L21" s="477"/>
      <c r="AD21" s="82"/>
      <c r="AE21" s="82"/>
      <c r="AF21" s="82"/>
      <c r="AG21" s="82"/>
      <c r="AH21" s="82"/>
      <c r="AI21" s="82"/>
      <c r="AJ21" s="82"/>
      <c r="AK21" s="82"/>
      <c r="AL21" s="82"/>
      <c r="AM21" s="82"/>
      <c r="AN21" s="82"/>
      <c r="AO21" s="82"/>
      <c r="AP21" s="82"/>
      <c r="AQ21" s="82"/>
      <c r="AR21" s="82"/>
      <c r="AS21" s="82"/>
    </row>
    <row r="22" spans="2:47" ht="12.75" customHeight="1" x14ac:dyDescent="0.2">
      <c r="B22" s="475"/>
      <c r="C22" s="498"/>
      <c r="D22" s="499" t="s">
        <v>11</v>
      </c>
      <c r="E22" s="499"/>
      <c r="F22" s="525">
        <f>ROUND(IF(F19&lt;$H11,F19*tab!$D29*VLOOKUP(F20,verhoudingstabel_LB,2,FALSE),F19*(tab!$D30+IF(F21&gt;50,50,F21)*tab!$D31)*VLOOKUP(F20,verhoudingstabel_LB,2,FALSE)),-1)</f>
        <v>18220</v>
      </c>
      <c r="G22" s="525">
        <f>ROUND(IF(G19&lt;$H11,G19*tab!$D29*VLOOKUP(G20,verhoudingstabel_LB,2,FALSE),G19*(tab!$D30+IF(G21&gt;50,50,G21)*tab!$D31)*VLOOKUP(G20,verhoudingstabel_LB,2,FALSE)),-1)</f>
        <v>26360</v>
      </c>
      <c r="H22" s="525">
        <f>ROUND(IF(H19&lt;$H11,H19*tab!$D29*VLOOKUP(H20,verhoudingstabel_LB,2,FALSE),H19*(tab!$D30+IF(H21&gt;50,50,H21)*tab!$D31)*VLOOKUP(H20,verhoudingstabel_LB,2,FALSE)),-1)</f>
        <v>36670</v>
      </c>
      <c r="I22" s="525">
        <f>ROUND(IF(I19&lt;$H11,I19*tab!$D29*VLOOKUP(I20,verhoudingstabel_LB,2,FALSE),I19*(tab!$D30+IF(I21&gt;50,50,I21)*tab!$D31)*VLOOKUP(I20,verhoudingstabel_LB,2,FALSE)),-1)</f>
        <v>34900</v>
      </c>
      <c r="J22" s="525">
        <f>ROUND(IF(J19&lt;$H11,J19*tab!$D29*VLOOKUP(J20,verhoudingstabel_LB,2,FALSE),J19*(tab!$D30+IF(J21&gt;50,50,J21)*tab!$D31)*VLOOKUP(J20,verhoudingstabel_LB,2,FALSE)),-1)</f>
        <v>27770</v>
      </c>
      <c r="K22" s="501"/>
      <c r="L22" s="477"/>
      <c r="AD22" s="82"/>
      <c r="AE22" s="82"/>
      <c r="AF22" s="82"/>
      <c r="AG22" s="82"/>
      <c r="AH22" s="82"/>
      <c r="AI22" s="82"/>
      <c r="AJ22" s="82"/>
      <c r="AK22" s="82"/>
      <c r="AL22" s="82"/>
      <c r="AM22" s="82"/>
      <c r="AN22" s="82"/>
      <c r="AO22" s="82"/>
      <c r="AP22" s="82"/>
      <c r="AQ22" s="82"/>
      <c r="AR22" s="82"/>
      <c r="AS22" s="82"/>
    </row>
    <row r="23" spans="2:47" ht="12.75" customHeight="1" x14ac:dyDescent="0.2">
      <c r="B23" s="475"/>
      <c r="C23" s="506"/>
      <c r="D23" s="507"/>
      <c r="E23" s="513"/>
      <c r="F23" s="507"/>
      <c r="G23" s="507"/>
      <c r="H23" s="507"/>
      <c r="I23" s="507"/>
      <c r="J23" s="507"/>
      <c r="K23" s="509"/>
      <c r="L23" s="477"/>
      <c r="AD23" s="82"/>
      <c r="AE23" s="82"/>
      <c r="AF23" s="82"/>
      <c r="AG23" s="82"/>
      <c r="AH23" s="82"/>
      <c r="AI23" s="82"/>
      <c r="AJ23" s="82"/>
      <c r="AK23" s="82"/>
      <c r="AL23" s="82"/>
      <c r="AM23" s="82"/>
      <c r="AN23" s="82"/>
      <c r="AO23" s="82"/>
      <c r="AP23" s="82"/>
      <c r="AQ23" s="82"/>
      <c r="AR23" s="82"/>
      <c r="AS23" s="82"/>
    </row>
    <row r="24" spans="2:47" ht="12.75" customHeight="1" x14ac:dyDescent="0.2">
      <c r="B24" s="475"/>
      <c r="C24" s="476"/>
      <c r="D24" s="476"/>
      <c r="E24" s="486"/>
      <c r="F24" s="476"/>
      <c r="G24" s="476"/>
      <c r="H24" s="476"/>
      <c r="I24" s="476"/>
      <c r="J24" s="476"/>
      <c r="K24" s="476"/>
      <c r="L24" s="477"/>
      <c r="AD24" s="82"/>
      <c r="AE24" s="82"/>
      <c r="AF24" s="82"/>
      <c r="AG24" s="82"/>
      <c r="AH24" s="82"/>
      <c r="AI24" s="82"/>
      <c r="AJ24" s="82"/>
      <c r="AK24" s="82"/>
      <c r="AL24" s="82"/>
      <c r="AM24" s="82"/>
      <c r="AN24" s="82"/>
      <c r="AO24" s="82"/>
      <c r="AP24" s="82"/>
      <c r="AQ24" s="82"/>
      <c r="AR24" s="82"/>
      <c r="AS24" s="82"/>
    </row>
    <row r="25" spans="2:47" ht="12.75" customHeight="1" x14ac:dyDescent="0.2">
      <c r="B25" s="475"/>
      <c r="C25" s="514"/>
      <c r="D25" s="496"/>
      <c r="E25" s="515"/>
      <c r="F25" s="496"/>
      <c r="G25" s="496"/>
      <c r="H25" s="496"/>
      <c r="I25" s="496"/>
      <c r="J25" s="496"/>
      <c r="K25" s="497"/>
      <c r="L25" s="477"/>
      <c r="AD25" s="82"/>
      <c r="AE25" s="82"/>
      <c r="AF25" s="82"/>
      <c r="AG25" s="82"/>
      <c r="AH25" s="82"/>
      <c r="AI25" s="82"/>
      <c r="AJ25" s="82"/>
      <c r="AK25" s="82"/>
      <c r="AL25" s="82"/>
      <c r="AM25" s="82"/>
      <c r="AN25" s="82"/>
      <c r="AO25" s="82"/>
      <c r="AP25" s="82"/>
      <c r="AQ25" s="82"/>
      <c r="AR25" s="82"/>
      <c r="AS25" s="82"/>
    </row>
    <row r="26" spans="2:47" ht="12.75" customHeight="1" x14ac:dyDescent="0.2">
      <c r="B26" s="475"/>
      <c r="C26" s="498"/>
      <c r="D26" s="511" t="s">
        <v>367</v>
      </c>
      <c r="E26" s="502"/>
      <c r="F26" s="499"/>
      <c r="G26" s="499"/>
      <c r="H26" s="499"/>
      <c r="I26" s="499"/>
      <c r="J26" s="499"/>
      <c r="K26" s="501"/>
      <c r="L26" s="477"/>
      <c r="AD26" s="82"/>
      <c r="AE26" s="82"/>
      <c r="AF26" s="82"/>
      <c r="AG26" s="82"/>
      <c r="AH26" s="82"/>
      <c r="AI26" s="82"/>
      <c r="AJ26" s="82"/>
      <c r="AK26" s="82"/>
      <c r="AL26" s="82"/>
      <c r="AM26" s="82"/>
      <c r="AN26" s="82"/>
      <c r="AO26" s="82"/>
      <c r="AP26" s="82"/>
      <c r="AQ26" s="82"/>
      <c r="AR26" s="82"/>
      <c r="AS26" s="82"/>
    </row>
    <row r="27" spans="2:47" ht="12.75" customHeight="1" x14ac:dyDescent="0.2">
      <c r="B27" s="475"/>
      <c r="C27" s="498"/>
      <c r="D27" s="499"/>
      <c r="E27" s="502"/>
      <c r="F27" s="499"/>
      <c r="G27" s="499"/>
      <c r="H27" s="499"/>
      <c r="I27" s="499"/>
      <c r="J27" s="499"/>
      <c r="K27" s="501"/>
      <c r="L27" s="477"/>
      <c r="AD27" s="82"/>
      <c r="AE27" s="82"/>
      <c r="AF27" s="82"/>
      <c r="AG27" s="82"/>
      <c r="AH27" s="82"/>
      <c r="AI27" s="82"/>
      <c r="AJ27" s="82"/>
      <c r="AK27" s="82"/>
      <c r="AL27" s="82"/>
      <c r="AM27" s="82"/>
      <c r="AN27" s="82"/>
      <c r="AO27" s="82"/>
      <c r="AP27" s="82"/>
      <c r="AQ27" s="82"/>
      <c r="AR27" s="82"/>
      <c r="AS27" s="82"/>
    </row>
    <row r="28" spans="2:47" ht="12.75" customHeight="1" x14ac:dyDescent="0.2">
      <c r="B28" s="475"/>
      <c r="C28" s="498"/>
      <c r="D28" s="499" t="s">
        <v>12</v>
      </c>
      <c r="E28" s="499"/>
      <c r="F28" s="523" t="s">
        <v>13</v>
      </c>
      <c r="G28" s="523" t="s">
        <v>13</v>
      </c>
      <c r="H28" s="523" t="s">
        <v>13</v>
      </c>
      <c r="I28" s="523" t="s">
        <v>13</v>
      </c>
      <c r="J28" s="523" t="s">
        <v>13</v>
      </c>
      <c r="K28" s="501"/>
      <c r="L28" s="477"/>
      <c r="AD28" s="82"/>
      <c r="AE28" s="82"/>
      <c r="AF28" s="82"/>
      <c r="AG28" s="82"/>
      <c r="AH28" s="82"/>
      <c r="AI28" s="82"/>
      <c r="AJ28" s="82"/>
      <c r="AK28" s="82"/>
      <c r="AL28" s="82"/>
      <c r="AM28" s="82"/>
      <c r="AN28" s="82"/>
      <c r="AO28" s="82"/>
      <c r="AP28" s="82"/>
      <c r="AQ28" s="82"/>
      <c r="AR28" s="82"/>
      <c r="AS28" s="82"/>
      <c r="AT28" s="82"/>
      <c r="AU28" s="82"/>
    </row>
    <row r="29" spans="2:47" ht="12.75" customHeight="1" x14ac:dyDescent="0.2">
      <c r="B29" s="475"/>
      <c r="C29" s="498"/>
      <c r="D29" s="499" t="s">
        <v>111</v>
      </c>
      <c r="E29" s="499"/>
      <c r="F29" s="516" t="s">
        <v>92</v>
      </c>
      <c r="G29" s="516" t="s">
        <v>93</v>
      </c>
      <c r="H29" s="516" t="s">
        <v>95</v>
      </c>
      <c r="I29" s="516" t="s">
        <v>97</v>
      </c>
      <c r="J29" s="516" t="s">
        <v>98</v>
      </c>
      <c r="K29" s="501"/>
      <c r="L29" s="477"/>
    </row>
    <row r="30" spans="2:47" ht="12.75" customHeight="1" x14ac:dyDescent="0.2">
      <c r="B30" s="475"/>
      <c r="C30" s="498"/>
      <c r="D30" s="499" t="s">
        <v>14</v>
      </c>
      <c r="E30" s="499"/>
      <c r="F30" s="517">
        <v>11</v>
      </c>
      <c r="G30" s="517">
        <v>11</v>
      </c>
      <c r="H30" s="517">
        <v>11</v>
      </c>
      <c r="I30" s="517">
        <v>11</v>
      </c>
      <c r="J30" s="517">
        <v>11</v>
      </c>
      <c r="K30" s="501"/>
      <c r="L30" s="477"/>
    </row>
    <row r="31" spans="2:47" ht="12.75" customHeight="1" x14ac:dyDescent="0.2">
      <c r="B31" s="475"/>
      <c r="C31" s="498"/>
      <c r="D31" s="499" t="s">
        <v>15</v>
      </c>
      <c r="E31" s="499"/>
      <c r="F31" s="520">
        <f>ROUND(VLOOKUP(F29,tabelsalaris,F30+2,FALSE),0)</f>
        <v>3631</v>
      </c>
      <c r="G31" s="520">
        <f>ROUND(VLOOKUP(G29,tabelsalaris,G30+2,FALSE),0)</f>
        <v>3940</v>
      </c>
      <c r="H31" s="520">
        <f>ROUND(VLOOKUP(H29,tabelsalaris,H30+2,FALSE),0)</f>
        <v>4350</v>
      </c>
      <c r="I31" s="520">
        <f>ROUND(VLOOKUP(I29,tabelsalaris,I30+2,FALSE),0)</f>
        <v>4377</v>
      </c>
      <c r="J31" s="520">
        <f>ROUND(VLOOKUP(J29,tabelsalaris,J30+2,FALSE),0)</f>
        <v>4726</v>
      </c>
      <c r="K31" s="501"/>
      <c r="L31" s="477"/>
    </row>
    <row r="32" spans="2:47" ht="12.75" customHeight="1" x14ac:dyDescent="0.2">
      <c r="B32" s="475"/>
      <c r="C32" s="498"/>
      <c r="D32" s="499" t="s">
        <v>9</v>
      </c>
      <c r="E32" s="499"/>
      <c r="F32" s="518">
        <v>0.35</v>
      </c>
      <c r="G32" s="518">
        <v>0.35</v>
      </c>
      <c r="H32" s="518">
        <v>0.35</v>
      </c>
      <c r="I32" s="518">
        <v>0.35</v>
      </c>
      <c r="J32" s="518">
        <v>0.35</v>
      </c>
      <c r="K32" s="501"/>
      <c r="L32" s="477"/>
    </row>
    <row r="33" spans="2:13" ht="12.75" customHeight="1" x14ac:dyDescent="0.2">
      <c r="B33" s="475"/>
      <c r="C33" s="498"/>
      <c r="D33" s="499" t="s">
        <v>16</v>
      </c>
      <c r="E33" s="499"/>
      <c r="F33" s="521">
        <f>+F31*F32</f>
        <v>1270.8499999999999</v>
      </c>
      <c r="G33" s="521">
        <f>+G31*G32</f>
        <v>1379</v>
      </c>
      <c r="H33" s="521">
        <f>+H31*H32</f>
        <v>1522.5</v>
      </c>
      <c r="I33" s="521">
        <f>+I31*I32</f>
        <v>1531.9499999999998</v>
      </c>
      <c r="J33" s="521">
        <f>+J31*J32</f>
        <v>1654.1</v>
      </c>
      <c r="K33" s="501"/>
      <c r="L33" s="477"/>
    </row>
    <row r="34" spans="2:13" ht="12.75" customHeight="1" x14ac:dyDescent="0.2">
      <c r="B34" s="475"/>
      <c r="C34" s="498"/>
      <c r="D34" s="499" t="s">
        <v>17</v>
      </c>
      <c r="E34" s="499"/>
      <c r="F34" s="519">
        <f>+tab!$D$68</f>
        <v>0.61</v>
      </c>
      <c r="G34" s="519">
        <f>+tab!$D$68</f>
        <v>0.61</v>
      </c>
      <c r="H34" s="519">
        <f>+tab!$D$68</f>
        <v>0.61</v>
      </c>
      <c r="I34" s="519">
        <f>+tab!$D$68</f>
        <v>0.61</v>
      </c>
      <c r="J34" s="519">
        <f>+tab!$D$68</f>
        <v>0.61</v>
      </c>
      <c r="K34" s="501"/>
      <c r="L34" s="477"/>
    </row>
    <row r="35" spans="2:13" ht="12.75" customHeight="1" x14ac:dyDescent="0.2">
      <c r="B35" s="475"/>
      <c r="C35" s="498"/>
      <c r="D35" s="499" t="s">
        <v>383</v>
      </c>
      <c r="E35" s="499"/>
      <c r="F35" s="522">
        <f>+F33*(1+F34)*12</f>
        <v>24552.821999999996</v>
      </c>
      <c r="G35" s="522">
        <f>+G33*(1+G34)*12</f>
        <v>26642.28</v>
      </c>
      <c r="H35" s="522">
        <f>+H33*(1+H34)*12</f>
        <v>29414.699999999997</v>
      </c>
      <c r="I35" s="522">
        <f>+I33*(1+I34)*12</f>
        <v>29597.273999999994</v>
      </c>
      <c r="J35" s="522">
        <f>+J33*(1+J34)*12</f>
        <v>31957.211999999996</v>
      </c>
      <c r="K35" s="503"/>
      <c r="L35" s="488"/>
    </row>
    <row r="36" spans="2:13" ht="12.75" customHeight="1" x14ac:dyDescent="0.2">
      <c r="B36" s="475"/>
      <c r="C36" s="498"/>
      <c r="D36" s="504"/>
      <c r="E36" s="504"/>
      <c r="F36" s="505"/>
      <c r="G36" s="505"/>
      <c r="H36" s="505"/>
      <c r="I36" s="505"/>
      <c r="J36" s="505"/>
      <c r="K36" s="503"/>
      <c r="L36" s="488"/>
      <c r="M36" s="83"/>
    </row>
    <row r="37" spans="2:13" ht="12.75" customHeight="1" x14ac:dyDescent="0.2">
      <c r="B37" s="475"/>
      <c r="C37" s="498"/>
      <c r="D37" s="504"/>
      <c r="E37" s="504"/>
      <c r="F37" s="505"/>
      <c r="G37" s="505"/>
      <c r="H37" s="505"/>
      <c r="I37" s="505"/>
      <c r="J37" s="505"/>
      <c r="K37" s="503"/>
      <c r="L37" s="488"/>
      <c r="M37" s="83"/>
    </row>
    <row r="38" spans="2:13" ht="12.75" customHeight="1" x14ac:dyDescent="0.2">
      <c r="B38" s="475"/>
      <c r="C38" s="498"/>
      <c r="D38" s="499" t="s">
        <v>12</v>
      </c>
      <c r="E38" s="499"/>
      <c r="F38" s="523" t="s">
        <v>13</v>
      </c>
      <c r="G38" s="523" t="s">
        <v>13</v>
      </c>
      <c r="H38" s="523" t="s">
        <v>13</v>
      </c>
      <c r="I38" s="523" t="s">
        <v>13</v>
      </c>
      <c r="J38" s="523" t="s">
        <v>13</v>
      </c>
      <c r="K38" s="501"/>
      <c r="L38" s="477"/>
    </row>
    <row r="39" spans="2:13" ht="12.75" customHeight="1" x14ac:dyDescent="0.2">
      <c r="B39" s="475"/>
      <c r="C39" s="498"/>
      <c r="D39" s="499" t="s">
        <v>111</v>
      </c>
      <c r="E39" s="499"/>
      <c r="F39" s="516" t="s">
        <v>104</v>
      </c>
      <c r="G39" s="516" t="s">
        <v>105</v>
      </c>
      <c r="H39" s="516" t="s">
        <v>106</v>
      </c>
      <c r="I39" s="516" t="s">
        <v>107</v>
      </c>
      <c r="J39" s="516" t="s">
        <v>108</v>
      </c>
      <c r="K39" s="501"/>
      <c r="L39" s="477"/>
    </row>
    <row r="40" spans="2:13" ht="12.75" customHeight="1" x14ac:dyDescent="0.2">
      <c r="B40" s="475"/>
      <c r="C40" s="498"/>
      <c r="D40" s="499" t="s">
        <v>14</v>
      </c>
      <c r="E40" s="499"/>
      <c r="F40" s="517">
        <v>15</v>
      </c>
      <c r="G40" s="517">
        <v>15</v>
      </c>
      <c r="H40" s="517">
        <v>15</v>
      </c>
      <c r="I40" s="517">
        <v>15</v>
      </c>
      <c r="J40" s="517">
        <v>15</v>
      </c>
      <c r="K40" s="501"/>
      <c r="L40" s="477"/>
    </row>
    <row r="41" spans="2:13" ht="12.75" customHeight="1" x14ac:dyDescent="0.2">
      <c r="B41" s="475"/>
      <c r="C41" s="498"/>
      <c r="D41" s="499" t="s">
        <v>15</v>
      </c>
      <c r="E41" s="499"/>
      <c r="F41" s="520">
        <f>ROUND(VLOOKUP(F39,tabelsalaris,F40+2,FALSE),0)</f>
        <v>3274</v>
      </c>
      <c r="G41" s="520">
        <f>ROUND(VLOOKUP(G39,tabelsalaris,G40+2,FALSE),0)</f>
        <v>3597</v>
      </c>
      <c r="H41" s="520">
        <f>ROUND(VLOOKUP(H39,tabelsalaris,H40+2,FALSE),0)</f>
        <v>4197</v>
      </c>
      <c r="I41" s="520">
        <f>ROUND(VLOOKUP(I39,tabelsalaris,I40+2,FALSE),0)</f>
        <v>4775</v>
      </c>
      <c r="J41" s="520">
        <f>ROUND(VLOOKUP(J39,tabelsalaris,J40+2,FALSE),0)</f>
        <v>5178</v>
      </c>
      <c r="K41" s="501"/>
      <c r="L41" s="477"/>
    </row>
    <row r="42" spans="2:13" ht="12.75" customHeight="1" x14ac:dyDescent="0.2">
      <c r="B42" s="475"/>
      <c r="C42" s="498"/>
      <c r="D42" s="499" t="s">
        <v>9</v>
      </c>
      <c r="E42" s="499"/>
      <c r="F42" s="518">
        <v>0.35</v>
      </c>
      <c r="G42" s="518">
        <v>0.4</v>
      </c>
      <c r="H42" s="518">
        <v>0.45</v>
      </c>
      <c r="I42" s="518">
        <v>0.5</v>
      </c>
      <c r="J42" s="518">
        <v>0.35</v>
      </c>
      <c r="K42" s="501"/>
      <c r="L42" s="477"/>
    </row>
    <row r="43" spans="2:13" ht="12.75" customHeight="1" x14ac:dyDescent="0.2">
      <c r="B43" s="475"/>
      <c r="C43" s="498"/>
      <c r="D43" s="499" t="s">
        <v>16</v>
      </c>
      <c r="E43" s="499"/>
      <c r="F43" s="521">
        <f>+F41*F42</f>
        <v>1145.8999999999999</v>
      </c>
      <c r="G43" s="521">
        <f>+G41*G42</f>
        <v>1438.8000000000002</v>
      </c>
      <c r="H43" s="521">
        <f>+H41*H42</f>
        <v>1888.65</v>
      </c>
      <c r="I43" s="521">
        <f>+I41*I42</f>
        <v>2387.5</v>
      </c>
      <c r="J43" s="521">
        <f>+J41*J42</f>
        <v>1812.3</v>
      </c>
      <c r="K43" s="501"/>
      <c r="L43" s="477"/>
    </row>
    <row r="44" spans="2:13" ht="12.75" customHeight="1" x14ac:dyDescent="0.2">
      <c r="B44" s="475"/>
      <c r="C44" s="498"/>
      <c r="D44" s="499" t="s">
        <v>17</v>
      </c>
      <c r="E44" s="499"/>
      <c r="F44" s="519">
        <f>+tab!$D$68</f>
        <v>0.61</v>
      </c>
      <c r="G44" s="519">
        <f>+tab!$D$68</f>
        <v>0.61</v>
      </c>
      <c r="H44" s="519">
        <f>+tab!$D$68</f>
        <v>0.61</v>
      </c>
      <c r="I44" s="519">
        <f>+tab!$D$68</f>
        <v>0.61</v>
      </c>
      <c r="J44" s="519">
        <f>+tab!$D$68</f>
        <v>0.61</v>
      </c>
      <c r="K44" s="501"/>
      <c r="L44" s="477"/>
    </row>
    <row r="45" spans="2:13" ht="12.75" customHeight="1" x14ac:dyDescent="0.2">
      <c r="B45" s="475"/>
      <c r="C45" s="498"/>
      <c r="D45" s="499" t="s">
        <v>383</v>
      </c>
      <c r="E45" s="499"/>
      <c r="F45" s="522">
        <f>+F43*(1+F44)*12</f>
        <v>22138.787999999997</v>
      </c>
      <c r="G45" s="522">
        <f>+G43*(1+G44)*12</f>
        <v>27797.616000000002</v>
      </c>
      <c r="H45" s="522">
        <f>+H43*(1+H44)*12</f>
        <v>36488.717999999993</v>
      </c>
      <c r="I45" s="522">
        <f>+I43*(1+I44)*12</f>
        <v>46126.499999999993</v>
      </c>
      <c r="J45" s="522">
        <f>+J43*(1+J44)*12</f>
        <v>35013.635999999999</v>
      </c>
      <c r="K45" s="503"/>
      <c r="L45" s="488"/>
    </row>
    <row r="46" spans="2:13" ht="12.75" customHeight="1" x14ac:dyDescent="0.2">
      <c r="B46" s="475"/>
      <c r="C46" s="506"/>
      <c r="D46" s="507"/>
      <c r="E46" s="507"/>
      <c r="F46" s="508"/>
      <c r="G46" s="508"/>
      <c r="H46" s="508"/>
      <c r="I46" s="508"/>
      <c r="J46" s="508"/>
      <c r="K46" s="509"/>
      <c r="L46" s="477"/>
    </row>
    <row r="47" spans="2:13" ht="12.75" customHeight="1" x14ac:dyDescent="0.2">
      <c r="B47" s="475"/>
      <c r="C47" s="476"/>
      <c r="D47" s="476"/>
      <c r="E47" s="476"/>
      <c r="F47" s="489"/>
      <c r="G47" s="489"/>
      <c r="H47" s="489"/>
      <c r="I47" s="489"/>
      <c r="J47" s="489"/>
      <c r="K47" s="476"/>
      <c r="L47" s="477"/>
    </row>
    <row r="48" spans="2:13" s="82" customFormat="1" ht="12.75" customHeight="1" x14ac:dyDescent="0.25">
      <c r="B48" s="490"/>
      <c r="C48" s="491"/>
      <c r="D48" s="491"/>
      <c r="E48" s="491"/>
      <c r="F48" s="491"/>
      <c r="G48" s="491"/>
      <c r="H48" s="491"/>
      <c r="I48" s="491"/>
      <c r="J48" s="491"/>
      <c r="K48" s="492" t="s">
        <v>423</v>
      </c>
      <c r="L48" s="493"/>
    </row>
    <row r="49" spans="3:4" s="82" customFormat="1" ht="12.75" customHeight="1" x14ac:dyDescent="0.2"/>
    <row r="50" spans="3:4" s="82" customFormat="1" ht="12.75" customHeight="1" x14ac:dyDescent="0.2"/>
    <row r="51" spans="3:4" s="84" customFormat="1" ht="12.75" customHeight="1" x14ac:dyDescent="0.2"/>
    <row r="52" spans="3:4" s="82" customFormat="1" ht="12.75" customHeight="1" x14ac:dyDescent="0.2"/>
    <row r="53" spans="3:4" s="82" customFormat="1" ht="12.75" customHeight="1" x14ac:dyDescent="0.2"/>
    <row r="54" spans="3:4" s="82" customFormat="1" ht="12.75" customHeight="1" x14ac:dyDescent="0.2">
      <c r="C54" s="85"/>
      <c r="D54" s="86" t="s">
        <v>99</v>
      </c>
    </row>
    <row r="55" spans="3:4" s="82" customFormat="1" ht="12.75" customHeight="1" x14ac:dyDescent="0.2">
      <c r="C55" s="85"/>
      <c r="D55" s="86" t="s">
        <v>100</v>
      </c>
    </row>
    <row r="56" spans="3:4" s="82" customFormat="1" ht="12.75" customHeight="1" x14ac:dyDescent="0.2">
      <c r="C56" s="85"/>
      <c r="D56" s="86" t="s">
        <v>101</v>
      </c>
    </row>
    <row r="57" spans="3:4" s="82" customFormat="1" ht="12.75" customHeight="1" x14ac:dyDescent="0.2">
      <c r="C57" s="85"/>
      <c r="D57" s="86" t="s">
        <v>102</v>
      </c>
    </row>
    <row r="58" spans="3:4" s="82" customFormat="1" ht="12.75" customHeight="1" x14ac:dyDescent="0.2">
      <c r="C58" s="85"/>
      <c r="D58" s="86" t="s">
        <v>103</v>
      </c>
    </row>
    <row r="59" spans="3:4" s="82" customFormat="1" ht="12.75" customHeight="1" x14ac:dyDescent="0.2">
      <c r="C59" s="85"/>
      <c r="D59" s="86" t="s">
        <v>92</v>
      </c>
    </row>
    <row r="60" spans="3:4" s="82" customFormat="1" ht="12.75" customHeight="1" x14ac:dyDescent="0.2">
      <c r="C60" s="85"/>
      <c r="D60" s="86" t="s">
        <v>93</v>
      </c>
    </row>
    <row r="61" spans="3:4" s="82" customFormat="1" ht="12.75" customHeight="1" x14ac:dyDescent="0.2">
      <c r="C61" s="85"/>
      <c r="D61" s="86" t="s">
        <v>94</v>
      </c>
    </row>
    <row r="62" spans="3:4" s="82" customFormat="1" ht="12.75" customHeight="1" x14ac:dyDescent="0.2">
      <c r="C62" s="85"/>
      <c r="D62" s="86" t="s">
        <v>95</v>
      </c>
    </row>
    <row r="63" spans="3:4" s="82" customFormat="1" ht="12.75" customHeight="1" x14ac:dyDescent="0.2">
      <c r="C63" s="85"/>
      <c r="D63" s="86" t="s">
        <v>96</v>
      </c>
    </row>
    <row r="64" spans="3:4" s="82" customFormat="1" ht="12.75" customHeight="1" x14ac:dyDescent="0.2">
      <c r="C64" s="85"/>
      <c r="D64" s="86" t="s">
        <v>97</v>
      </c>
    </row>
    <row r="65" spans="3:4" s="82" customFormat="1" ht="12.75" customHeight="1" x14ac:dyDescent="0.2">
      <c r="C65" s="85"/>
      <c r="D65" s="86" t="s">
        <v>98</v>
      </c>
    </row>
    <row r="66" spans="3:4" s="82" customFormat="1" ht="12.75" customHeight="1" x14ac:dyDescent="0.2">
      <c r="C66" s="85"/>
      <c r="D66" s="39" t="s">
        <v>145</v>
      </c>
    </row>
    <row r="67" spans="3:4" s="82" customFormat="1" ht="12.75" customHeight="1" x14ac:dyDescent="0.2">
      <c r="C67" s="85"/>
      <c r="D67" s="39" t="s">
        <v>146</v>
      </c>
    </row>
    <row r="68" spans="3:4" s="82" customFormat="1" ht="12.75" customHeight="1" x14ac:dyDescent="0.2">
      <c r="C68" s="85"/>
      <c r="D68" s="39" t="s">
        <v>147</v>
      </c>
    </row>
    <row r="69" spans="3:4" s="82" customFormat="1" ht="12.75" customHeight="1" x14ac:dyDescent="0.2">
      <c r="C69" s="85"/>
      <c r="D69" s="86" t="s">
        <v>104</v>
      </c>
    </row>
    <row r="70" spans="3:4" s="82" customFormat="1" ht="12.75" customHeight="1" x14ac:dyDescent="0.2">
      <c r="C70" s="87"/>
      <c r="D70" s="86" t="s">
        <v>105</v>
      </c>
    </row>
    <row r="71" spans="3:4" s="82" customFormat="1" ht="12.75" customHeight="1" x14ac:dyDescent="0.2">
      <c r="C71" s="87"/>
      <c r="D71" s="86" t="s">
        <v>106</v>
      </c>
    </row>
    <row r="72" spans="3:4" s="82" customFormat="1" ht="12.75" customHeight="1" x14ac:dyDescent="0.2">
      <c r="C72" s="87"/>
      <c r="D72" s="86" t="s">
        <v>107</v>
      </c>
    </row>
    <row r="73" spans="3:4" s="82" customFormat="1" ht="12.75" customHeight="1" x14ac:dyDescent="0.2">
      <c r="C73" s="87"/>
      <c r="D73" s="86" t="s">
        <v>108</v>
      </c>
    </row>
    <row r="74" spans="3:4" s="82" customFormat="1" ht="12.75" customHeight="1" x14ac:dyDescent="0.2">
      <c r="C74" s="87"/>
      <c r="D74" s="39" t="s">
        <v>109</v>
      </c>
    </row>
    <row r="75" spans="3:4" s="82" customFormat="1" ht="12.75" customHeight="1" x14ac:dyDescent="0.2">
      <c r="C75" s="87"/>
      <c r="D75" s="39" t="s">
        <v>110</v>
      </c>
    </row>
    <row r="76" spans="3:4" s="82" customFormat="1" ht="12.75" customHeight="1" x14ac:dyDescent="0.2">
      <c r="C76" s="87"/>
      <c r="D76" s="88" t="s">
        <v>144</v>
      </c>
    </row>
    <row r="77" spans="3:4" s="82" customFormat="1" ht="12.75" customHeight="1" x14ac:dyDescent="0.2">
      <c r="C77" s="87"/>
      <c r="D77" s="88" t="s">
        <v>112</v>
      </c>
    </row>
    <row r="78" spans="3:4" s="82" customFormat="1" ht="12.75" customHeight="1" x14ac:dyDescent="0.2">
      <c r="C78" s="87"/>
      <c r="D78" s="88" t="s">
        <v>113</v>
      </c>
    </row>
    <row r="79" spans="3:4" s="82" customFormat="1" ht="12.75" customHeight="1" x14ac:dyDescent="0.2">
      <c r="C79" s="87"/>
      <c r="D79" s="88" t="s">
        <v>269</v>
      </c>
    </row>
    <row r="80" spans="3:4" s="82" customFormat="1" ht="12.75" customHeight="1" x14ac:dyDescent="0.2">
      <c r="C80" s="87"/>
      <c r="D80" s="88" t="s">
        <v>114</v>
      </c>
    </row>
    <row r="81" spans="3:10" s="82" customFormat="1" ht="12.75" customHeight="1" x14ac:dyDescent="0.2">
      <c r="C81" s="87"/>
      <c r="D81" s="39">
        <v>1</v>
      </c>
    </row>
    <row r="82" spans="3:10" s="82" customFormat="1" ht="12.75" customHeight="1" x14ac:dyDescent="0.2">
      <c r="C82" s="87"/>
      <c r="D82" s="39">
        <v>2</v>
      </c>
    </row>
    <row r="83" spans="3:10" s="82" customFormat="1" ht="12.75" customHeight="1" x14ac:dyDescent="0.2">
      <c r="C83" s="87"/>
      <c r="D83" s="39">
        <v>3</v>
      </c>
    </row>
    <row r="84" spans="3:10" s="82" customFormat="1" ht="12.75" customHeight="1" x14ac:dyDescent="0.2">
      <c r="C84" s="87"/>
      <c r="D84" s="39">
        <v>4</v>
      </c>
    </row>
    <row r="85" spans="3:10" s="82" customFormat="1" ht="12.75" customHeight="1" x14ac:dyDescent="0.2">
      <c r="C85" s="87"/>
      <c r="D85" s="39">
        <v>5</v>
      </c>
    </row>
    <row r="86" spans="3:10" s="82" customFormat="1" ht="12.75" customHeight="1" x14ac:dyDescent="0.2">
      <c r="C86" s="87"/>
      <c r="D86" s="39">
        <v>6</v>
      </c>
    </row>
    <row r="87" spans="3:10" s="82" customFormat="1" ht="12.75" customHeight="1" x14ac:dyDescent="0.2">
      <c r="C87" s="87"/>
      <c r="D87" s="39">
        <v>7</v>
      </c>
    </row>
    <row r="88" spans="3:10" s="82" customFormat="1" ht="12.75" customHeight="1" x14ac:dyDescent="0.2">
      <c r="C88" s="87"/>
      <c r="D88" s="39">
        <v>8</v>
      </c>
    </row>
    <row r="89" spans="3:10" s="82" customFormat="1" ht="12.75" customHeight="1" x14ac:dyDescent="0.2">
      <c r="D89" s="39">
        <v>9</v>
      </c>
    </row>
    <row r="90" spans="3:10" s="82" customFormat="1" ht="12.75" customHeight="1" x14ac:dyDescent="0.2">
      <c r="D90" s="39">
        <v>10</v>
      </c>
    </row>
    <row r="91" spans="3:10" s="82" customFormat="1" ht="12.75" customHeight="1" x14ac:dyDescent="0.2">
      <c r="D91" s="39">
        <v>11</v>
      </c>
    </row>
    <row r="92" spans="3:10" s="82" customFormat="1" ht="12.75" customHeight="1" x14ac:dyDescent="0.2">
      <c r="D92" s="39">
        <v>12</v>
      </c>
    </row>
    <row r="93" spans="3:10" s="82" customFormat="1" ht="12.75" customHeight="1" x14ac:dyDescent="0.2">
      <c r="D93" s="39">
        <v>13</v>
      </c>
      <c r="E93" s="89"/>
      <c r="F93" s="90"/>
      <c r="G93" s="34"/>
      <c r="H93" s="34"/>
      <c r="I93" s="34"/>
      <c r="J93" s="34"/>
    </row>
    <row r="94" spans="3:10" s="82" customFormat="1" ht="12.75" customHeight="1" x14ac:dyDescent="0.2">
      <c r="D94" s="39">
        <v>14</v>
      </c>
    </row>
    <row r="95" spans="3:10" s="82" customFormat="1" ht="12.75" customHeight="1" x14ac:dyDescent="0.2"/>
    <row r="96" spans="3:10" s="82" customFormat="1" ht="12.75" customHeight="1" x14ac:dyDescent="0.2"/>
    <row r="97" spans="3:22" s="84" customFormat="1" ht="12.75" customHeight="1" x14ac:dyDescent="0.2">
      <c r="C97" s="82"/>
    </row>
    <row r="98" spans="3:22" s="82" customFormat="1" ht="12.75" customHeight="1" x14ac:dyDescent="0.2">
      <c r="C98" s="84"/>
    </row>
    <row r="99" spans="3:22" s="82" customFormat="1" ht="12.75" customHeight="1" x14ac:dyDescent="0.2"/>
    <row r="100" spans="3:22" s="82" customFormat="1" ht="12.75" customHeight="1" x14ac:dyDescent="0.2"/>
    <row r="101" spans="3:22" s="82" customFormat="1" ht="12.75" customHeight="1" x14ac:dyDescent="0.2"/>
    <row r="102" spans="3:22" s="84" customFormat="1" ht="12.75" customHeight="1" x14ac:dyDescent="0.2">
      <c r="C102" s="82"/>
    </row>
    <row r="103" spans="3:22" s="82" customFormat="1" ht="12.75" customHeight="1" x14ac:dyDescent="0.2">
      <c r="C103" s="84"/>
    </row>
    <row r="104" spans="3:22" s="82" customFormat="1" ht="12.75" customHeight="1" x14ac:dyDescent="0.2"/>
    <row r="105" spans="3:22" s="82" customFormat="1" ht="12.75" customHeight="1" x14ac:dyDescent="0.2">
      <c r="D105" s="84"/>
      <c r="E105" s="84"/>
      <c r="F105" s="84"/>
      <c r="G105" s="84"/>
      <c r="H105" s="84"/>
      <c r="I105" s="84"/>
      <c r="J105" s="84"/>
    </row>
    <row r="106" spans="3:22" s="82" customFormat="1" ht="12.75" customHeight="1" x14ac:dyDescent="0.2">
      <c r="D106" s="84"/>
      <c r="E106" s="84"/>
      <c r="F106" s="84"/>
      <c r="G106" s="84"/>
      <c r="H106" s="84"/>
      <c r="I106" s="84"/>
      <c r="J106" s="84"/>
    </row>
    <row r="107" spans="3:22" s="84" customFormat="1" ht="12.75" customHeight="1" x14ac:dyDescent="0.2">
      <c r="C107" s="82"/>
      <c r="D107" s="35"/>
      <c r="E107" s="35"/>
      <c r="F107" s="35"/>
      <c r="G107" s="35"/>
      <c r="H107" s="35"/>
      <c r="I107" s="35"/>
      <c r="J107" s="35"/>
      <c r="K107" s="35"/>
      <c r="L107" s="35"/>
      <c r="M107" s="35"/>
    </row>
    <row r="108" spans="3:22" ht="12.75" customHeight="1" x14ac:dyDescent="0.2">
      <c r="C108" s="84"/>
      <c r="T108" s="82"/>
      <c r="U108" s="82"/>
      <c r="V108" s="82"/>
    </row>
    <row r="109" spans="3:22" ht="12.75" customHeight="1" x14ac:dyDescent="0.2">
      <c r="T109" s="82"/>
      <c r="U109" s="82"/>
      <c r="V109" s="82"/>
    </row>
    <row r="110" spans="3:22" ht="12.75" customHeight="1" x14ac:dyDescent="0.2">
      <c r="T110" s="82"/>
      <c r="U110" s="82"/>
      <c r="V110" s="82"/>
    </row>
    <row r="111" spans="3:22" ht="12.75" customHeight="1" x14ac:dyDescent="0.2">
      <c r="T111" s="82"/>
      <c r="U111" s="82"/>
      <c r="V111" s="82"/>
    </row>
    <row r="112" spans="3:22" ht="12.75" customHeight="1" x14ac:dyDescent="0.2">
      <c r="T112" s="82"/>
      <c r="U112" s="82"/>
      <c r="V112" s="82"/>
    </row>
    <row r="113" spans="20:22" ht="12.75" customHeight="1" x14ac:dyDescent="0.2">
      <c r="T113" s="82"/>
      <c r="U113" s="82"/>
      <c r="V113" s="82"/>
    </row>
    <row r="114" spans="20:22" ht="12.75" customHeight="1" x14ac:dyDescent="0.2">
      <c r="T114" s="82"/>
      <c r="U114" s="82"/>
      <c r="V114" s="82"/>
    </row>
    <row r="115" spans="20:22" ht="12.75" customHeight="1" x14ac:dyDescent="0.2">
      <c r="T115" s="82"/>
      <c r="U115" s="82"/>
      <c r="V115" s="82"/>
    </row>
    <row r="116" spans="20:22" ht="12.75" customHeight="1" x14ac:dyDescent="0.2"/>
    <row r="117" spans="20:22" ht="12.75" customHeight="1" x14ac:dyDescent="0.2"/>
    <row r="118" spans="20:22" ht="12.75" customHeight="1" x14ac:dyDescent="0.2"/>
    <row r="119" spans="20:22" ht="12.75" customHeight="1" x14ac:dyDescent="0.2"/>
    <row r="120" spans="20:22" ht="12.75" customHeight="1" x14ac:dyDescent="0.2"/>
    <row r="121" spans="20:22" ht="12.75" customHeight="1" x14ac:dyDescent="0.2"/>
    <row r="122" spans="20:22" ht="12.75" customHeight="1" x14ac:dyDescent="0.2"/>
    <row r="123" spans="20:22" ht="12.75" customHeight="1" x14ac:dyDescent="0.2"/>
    <row r="124" spans="20:22" ht="12.75" customHeight="1" x14ac:dyDescent="0.2"/>
    <row r="125" spans="20:22" ht="12.75" customHeight="1" x14ac:dyDescent="0.2"/>
    <row r="126" spans="20:22" ht="12.75" customHeight="1" x14ac:dyDescent="0.2"/>
    <row r="127" spans="20:22" ht="12.75" customHeight="1" x14ac:dyDescent="0.2"/>
    <row r="128" spans="20:22"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sheetData>
  <sheetProtection password="DFB1" sheet="1" objects="1" scenarios="1"/>
  <phoneticPr fontId="5" type="noConversion"/>
  <dataValidations count="1">
    <dataValidation type="list" allowBlank="1" showInputMessage="1" showErrorMessage="1" sqref="F20:J20 F39:J39 F15:J15 F29:J29">
      <formula1>$D$54:$D$94</formula1>
    </dataValidation>
  </dataValidations>
  <pageMargins left="0.75" right="0.75" top="1" bottom="1" header="0.5" footer="0.5"/>
  <pageSetup paperSize="9" scale="74" orientation="landscape" r:id="rId1"/>
  <headerFooter alignWithMargins="0">
    <oddHeader>&amp;L&amp;"Arial,Vet"&amp;F&amp;R&amp;"Arial,Vet"&amp;A</oddHeader>
    <oddFooter>&amp;L&amp;"Arial,Vet"keizer / goedhart&amp;C&amp;"Arial,Vet"pagina &amp;P&amp;R&amp;"Arial,Vet"&amp;D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63"/>
  <sheetViews>
    <sheetView showGridLines="0" zoomScale="85" zoomScaleNormal="85" workbookViewId="0">
      <selection activeCell="B2" sqref="B2"/>
    </sheetView>
  </sheetViews>
  <sheetFormatPr defaultColWidth="9.140625" defaultRowHeight="12.75" x14ac:dyDescent="0.2"/>
  <cols>
    <col min="1" max="1" width="3.7109375" style="33" customWidth="1"/>
    <col min="2" max="3" width="2.7109375" style="33" customWidth="1"/>
    <col min="4" max="4" width="35.85546875" style="33" customWidth="1"/>
    <col min="5" max="5" width="2.7109375" style="33" customWidth="1"/>
    <col min="6" max="8" width="16.85546875" style="81" customWidth="1"/>
    <col min="9" max="10" width="16.85546875" style="81" hidden="1" customWidth="1"/>
    <col min="11" max="12" width="2.7109375" style="33" customWidth="1"/>
    <col min="13" max="16384" width="9.140625" style="33"/>
  </cols>
  <sheetData>
    <row r="2" spans="2:12" x14ac:dyDescent="0.2">
      <c r="B2" s="153"/>
      <c r="C2" s="154"/>
      <c r="D2" s="154"/>
      <c r="E2" s="154"/>
      <c r="F2" s="306"/>
      <c r="G2" s="306"/>
      <c r="H2" s="306"/>
      <c r="I2" s="306"/>
      <c r="J2" s="306"/>
      <c r="K2" s="154"/>
      <c r="L2" s="156"/>
    </row>
    <row r="3" spans="2:12" x14ac:dyDescent="0.2">
      <c r="B3" s="157"/>
      <c r="C3" s="158"/>
      <c r="D3" s="159"/>
      <c r="E3" s="158"/>
      <c r="F3" s="307"/>
      <c r="G3" s="307"/>
      <c r="H3" s="307"/>
      <c r="I3" s="307"/>
      <c r="J3" s="307"/>
      <c r="K3" s="158"/>
      <c r="L3" s="161"/>
    </row>
    <row r="4" spans="2:12" s="38" customFormat="1" ht="18.75" x14ac:dyDescent="0.3">
      <c r="B4" s="162"/>
      <c r="C4" s="766" t="s">
        <v>282</v>
      </c>
      <c r="D4" s="164"/>
      <c r="E4" s="164"/>
      <c r="F4" s="308"/>
      <c r="G4" s="308"/>
      <c r="H4" s="308"/>
      <c r="I4" s="308"/>
      <c r="J4" s="308"/>
      <c r="K4" s="164"/>
      <c r="L4" s="166"/>
    </row>
    <row r="5" spans="2:12" s="38" customFormat="1" ht="18.75" x14ac:dyDescent="0.3">
      <c r="B5" s="162"/>
      <c r="C5" s="194" t="str">
        <f>geg!F10</f>
        <v>Zorgzaam</v>
      </c>
      <c r="D5" s="164"/>
      <c r="E5" s="164"/>
      <c r="F5" s="308"/>
      <c r="G5" s="308"/>
      <c r="H5" s="308"/>
      <c r="I5" s="308"/>
      <c r="J5" s="308"/>
      <c r="K5" s="164"/>
      <c r="L5" s="166"/>
    </row>
    <row r="6" spans="2:12" x14ac:dyDescent="0.2">
      <c r="B6" s="157"/>
      <c r="C6" s="158"/>
      <c r="D6" s="159"/>
      <c r="E6" s="158"/>
      <c r="F6" s="307"/>
      <c r="G6" s="307"/>
      <c r="H6" s="307"/>
      <c r="I6" s="307"/>
      <c r="J6" s="307"/>
      <c r="K6" s="158"/>
      <c r="L6" s="161"/>
    </row>
    <row r="7" spans="2:12" x14ac:dyDescent="0.2">
      <c r="B7" s="157"/>
      <c r="C7" s="158"/>
      <c r="D7" s="159"/>
      <c r="E7" s="158"/>
      <c r="F7" s="307"/>
      <c r="G7" s="307"/>
      <c r="H7" s="307"/>
      <c r="I7" s="307"/>
      <c r="J7" s="307"/>
      <c r="K7" s="158"/>
      <c r="L7" s="161"/>
    </row>
    <row r="8" spans="2:12" x14ac:dyDescent="0.2">
      <c r="B8" s="157"/>
      <c r="C8" s="158"/>
      <c r="D8" s="184" t="s">
        <v>153</v>
      </c>
      <c r="E8" s="185"/>
      <c r="F8" s="186" t="str">
        <f>tab!C2</f>
        <v>2012/13</v>
      </c>
      <c r="G8" s="186" t="str">
        <f>tab!D2</f>
        <v>2013/14</v>
      </c>
      <c r="H8" s="466" t="str">
        <f>tab!E2</f>
        <v>2014/15</v>
      </c>
      <c r="I8" s="186" t="str">
        <f>tab!F2</f>
        <v>2015/16</v>
      </c>
      <c r="J8" s="186" t="str">
        <f>tab!G2</f>
        <v>2016/17</v>
      </c>
      <c r="K8" s="158"/>
      <c r="L8" s="161"/>
    </row>
    <row r="9" spans="2:12" x14ac:dyDescent="0.2">
      <c r="B9" s="157"/>
      <c r="C9" s="158"/>
      <c r="D9" s="318"/>
      <c r="E9" s="185"/>
      <c r="F9" s="319"/>
      <c r="G9" s="319"/>
      <c r="H9" s="319"/>
      <c r="I9" s="319"/>
      <c r="J9" s="319"/>
      <c r="K9" s="158"/>
      <c r="L9" s="161"/>
    </row>
    <row r="10" spans="2:12" x14ac:dyDescent="0.2">
      <c r="B10" s="157"/>
      <c r="C10" s="499"/>
      <c r="D10" s="502"/>
      <c r="E10" s="499"/>
      <c r="F10" s="755"/>
      <c r="G10" s="755"/>
      <c r="H10" s="755"/>
      <c r="I10" s="755"/>
      <c r="J10" s="755"/>
      <c r="K10" s="499"/>
      <c r="L10" s="161"/>
    </row>
    <row r="11" spans="2:12" x14ac:dyDescent="0.2">
      <c r="B11" s="157"/>
      <c r="C11" s="499"/>
      <c r="D11" s="682" t="s">
        <v>295</v>
      </c>
      <c r="E11" s="499"/>
      <c r="F11" s="755"/>
      <c r="G11" s="755"/>
      <c r="H11" s="755"/>
      <c r="I11" s="755"/>
      <c r="J11" s="755"/>
      <c r="K11" s="499"/>
      <c r="L11" s="161"/>
    </row>
    <row r="12" spans="2:12" x14ac:dyDescent="0.2">
      <c r="B12" s="157"/>
      <c r="C12" s="499"/>
      <c r="D12" s="756"/>
      <c r="E12" s="499"/>
      <c r="F12" s="755"/>
      <c r="G12" s="755"/>
      <c r="H12" s="755"/>
      <c r="I12" s="755"/>
      <c r="J12" s="755"/>
      <c r="K12" s="499"/>
      <c r="L12" s="161"/>
    </row>
    <row r="13" spans="2:12" x14ac:dyDescent="0.2">
      <c r="B13" s="157"/>
      <c r="C13" s="499"/>
      <c r="D13" s="500" t="str">
        <f>geg!D25</f>
        <v>Naam SBO 1</v>
      </c>
      <c r="E13" s="499"/>
      <c r="F13" s="755"/>
      <c r="G13" s="755"/>
      <c r="H13" s="755"/>
      <c r="I13" s="755"/>
      <c r="J13" s="755"/>
      <c r="K13" s="499"/>
      <c r="L13" s="161"/>
    </row>
    <row r="14" spans="2:12" x14ac:dyDescent="0.2">
      <c r="B14" s="157"/>
      <c r="C14" s="499"/>
      <c r="D14" s="499" t="s">
        <v>50</v>
      </c>
      <c r="E14" s="499"/>
      <c r="F14" s="760">
        <f>ROUND((geg!F46-geg!F25)*IF(geg!F55="ja",tab!C53,tab!C45+geg!F58*tab!C46),0)</f>
        <v>5664</v>
      </c>
      <c r="G14" s="760">
        <f>ROUND((geg!G46-geg!G25)*IF(geg!G55="ja",tab!$D$53,tab!$D$45+geg!G58*tab!$D$46),0)</f>
        <v>5679</v>
      </c>
      <c r="H14" s="761">
        <f>ROUND((geg!H46-geg!H25)*IF(geg!H55="ja",tab!$D$53,tab!$D$45+geg!H58*tab!$D$46),0)</f>
        <v>5679</v>
      </c>
      <c r="I14" s="757">
        <f>ROUND((geg!I46-geg!I25)*IF(geg!I55="ja",tab!$D$53,tab!$D$45+geg!I58*tab!$D$46),0)</f>
        <v>5679</v>
      </c>
      <c r="J14" s="757">
        <f>ROUND((geg!J46-geg!J25)*IF(geg!J55="ja",tab!$D$53,tab!$D$45+geg!J58*tab!$D$46),0)</f>
        <v>5679</v>
      </c>
      <c r="K14" s="499"/>
      <c r="L14" s="161"/>
    </row>
    <row r="15" spans="2:12" x14ac:dyDescent="0.2">
      <c r="B15" s="157"/>
      <c r="C15" s="499"/>
      <c r="D15" s="499" t="s">
        <v>51</v>
      </c>
      <c r="E15" s="499"/>
      <c r="F15" s="760">
        <f>ROUND((geg!F46-geg!F35)*IF(geg!F55="ja",tab!C54,tab!C47+geg!F58*tab!C48),0)</f>
        <v>192653</v>
      </c>
      <c r="G15" s="760">
        <f>ROUND((geg!G46-geg!G35)*IF(geg!G55="ja",tab!$D$54,tab!$D$47+geg!G58*tab!$D$48),0)</f>
        <v>193164</v>
      </c>
      <c r="H15" s="761">
        <f>ROUND((geg!H46-geg!H35)*IF(geg!H55="ja",tab!$D$54,tab!$D$47+geg!H58*tab!$D$48),0)</f>
        <v>193164</v>
      </c>
      <c r="I15" s="757">
        <f>ROUND((geg!I46-geg!I35)*IF(geg!I55="ja",tab!$D$54,tab!$D$47+geg!I58*tab!$D$48),0)</f>
        <v>193164</v>
      </c>
      <c r="J15" s="757">
        <f>ROUND((geg!J46-geg!J35)*IF(geg!J55="ja",tab!$D$54,tab!$D$47+geg!J58*tab!$D$48),0)</f>
        <v>193164</v>
      </c>
      <c r="K15" s="499"/>
      <c r="L15" s="161"/>
    </row>
    <row r="16" spans="2:12" s="40" customFormat="1" x14ac:dyDescent="0.2">
      <c r="B16" s="168"/>
      <c r="C16" s="688"/>
      <c r="D16" s="502"/>
      <c r="E16" s="688"/>
      <c r="F16" s="764">
        <f>SUM(F14:F15)</f>
        <v>198317</v>
      </c>
      <c r="G16" s="764">
        <f>SUM(G14:G15)</f>
        <v>198843</v>
      </c>
      <c r="H16" s="762">
        <f>SUM(H14:H15)</f>
        <v>198843</v>
      </c>
      <c r="I16" s="758">
        <f>SUM(I14:I15)</f>
        <v>198843</v>
      </c>
      <c r="J16" s="758">
        <f>SUM(J14:J15)</f>
        <v>198843</v>
      </c>
      <c r="K16" s="688"/>
      <c r="L16" s="169"/>
    </row>
    <row r="17" spans="2:12" x14ac:dyDescent="0.2">
      <c r="B17" s="157"/>
      <c r="C17" s="499"/>
      <c r="D17" s="500" t="str">
        <f>geg!D26</f>
        <v>Naam SBO 2</v>
      </c>
      <c r="E17" s="499"/>
      <c r="F17" s="757"/>
      <c r="G17" s="757"/>
      <c r="H17" s="761"/>
      <c r="I17" s="757"/>
      <c r="J17" s="757"/>
      <c r="K17" s="499"/>
      <c r="L17" s="161"/>
    </row>
    <row r="18" spans="2:12" x14ac:dyDescent="0.2">
      <c r="B18" s="157"/>
      <c r="C18" s="499"/>
      <c r="D18" s="499" t="s">
        <v>50</v>
      </c>
      <c r="E18" s="499"/>
      <c r="F18" s="760">
        <f>ROUND((geg!F47-geg!F26)*IF(geg!F55="ja",tab!C53,tab!C45+geg!F59*tab!C46),0)</f>
        <v>8496</v>
      </c>
      <c r="G18" s="760">
        <f>ROUND((geg!G47-geg!G26)*IF(geg!G55="ja",tab!$D$53,tab!$D$45+geg!G59*tab!$D$46),0)</f>
        <v>8518</v>
      </c>
      <c r="H18" s="761">
        <f>ROUND((geg!H47-geg!H26)*IF(geg!H55="ja",tab!$D$53,tab!$D$45+geg!H59*tab!$D$46),0)</f>
        <v>8518</v>
      </c>
      <c r="I18" s="757">
        <f>ROUND((geg!I47-geg!I26)*IF(geg!I55="ja",tab!$D$53,tab!$D$45+geg!I59*tab!$D$46),0)</f>
        <v>8518</v>
      </c>
      <c r="J18" s="757">
        <f>ROUND((geg!J47-geg!J26)*IF(geg!J55="ja",tab!$D$53,tab!$D$45+geg!J59*tab!$D$46),0)</f>
        <v>8518</v>
      </c>
      <c r="K18" s="499"/>
      <c r="L18" s="161"/>
    </row>
    <row r="19" spans="2:12" x14ac:dyDescent="0.2">
      <c r="B19" s="157"/>
      <c r="C19" s="499"/>
      <c r="D19" s="499" t="s">
        <v>51</v>
      </c>
      <c r="E19" s="499"/>
      <c r="F19" s="760">
        <f>ROUND((geg!F47-geg!F36)*IF(geg!F55="ja",tab!C54,tab!C47+geg!F59*tab!C48),0)</f>
        <v>135181</v>
      </c>
      <c r="G19" s="760">
        <f>ROUND((geg!G47-geg!G36)*IF(geg!G55="ja",tab!$D$54,tab!$D$47+geg!G59*tab!$D$48),0)</f>
        <v>135539</v>
      </c>
      <c r="H19" s="761">
        <f>ROUND((geg!H47-geg!H36)*IF(geg!H55="ja",tab!$D$54,tab!$D$47+geg!H59*tab!$D$48),0)</f>
        <v>135539</v>
      </c>
      <c r="I19" s="757">
        <f>ROUND((geg!I47-geg!I36)*IF(geg!I55="ja",tab!$D$54,tab!$D$47+geg!I59*tab!$D$48),0)</f>
        <v>135539</v>
      </c>
      <c r="J19" s="757">
        <f>ROUND((geg!J47-geg!J36)*IF(geg!J55="ja",tab!$D$54,tab!$D$47+geg!J59*tab!$D$48),0)</f>
        <v>135539</v>
      </c>
      <c r="K19" s="499"/>
      <c r="L19" s="161"/>
    </row>
    <row r="20" spans="2:12" s="40" customFormat="1" x14ac:dyDescent="0.2">
      <c r="B20" s="168"/>
      <c r="C20" s="688"/>
      <c r="D20" s="500"/>
      <c r="E20" s="688"/>
      <c r="F20" s="764">
        <f>SUM(F18:F19)</f>
        <v>143677</v>
      </c>
      <c r="G20" s="764">
        <f>SUM(G18:G19)</f>
        <v>144057</v>
      </c>
      <c r="H20" s="762">
        <f>SUM(H18:H19)</f>
        <v>144057</v>
      </c>
      <c r="I20" s="758">
        <f>SUM(I18:I19)</f>
        <v>144057</v>
      </c>
      <c r="J20" s="758">
        <f>SUM(J18:J19)</f>
        <v>144057</v>
      </c>
      <c r="K20" s="688"/>
      <c r="L20" s="169"/>
    </row>
    <row r="21" spans="2:12" x14ac:dyDescent="0.2">
      <c r="B21" s="157"/>
      <c r="C21" s="499"/>
      <c r="D21" s="500" t="str">
        <f>geg!D27</f>
        <v>Naam SBO 3</v>
      </c>
      <c r="E21" s="499"/>
      <c r="F21" s="757"/>
      <c r="G21" s="757"/>
      <c r="H21" s="761"/>
      <c r="I21" s="757"/>
      <c r="J21" s="757"/>
      <c r="K21" s="499"/>
      <c r="L21" s="161"/>
    </row>
    <row r="22" spans="2:12" x14ac:dyDescent="0.2">
      <c r="B22" s="157"/>
      <c r="C22" s="499"/>
      <c r="D22" s="499" t="s">
        <v>50</v>
      </c>
      <c r="E22" s="499"/>
      <c r="F22" s="760">
        <f>ROUND((geg!F48-geg!F27)*IF(geg!F55="ja",tab!C53,tab!C45+geg!F60*tab!C46),0)</f>
        <v>0</v>
      </c>
      <c r="G22" s="760">
        <f>ROUND((geg!G48-geg!G27)*IF(geg!G55="ja",tab!$D$53,tab!$D$45+geg!G60*tab!$D$46),0)</f>
        <v>0</v>
      </c>
      <c r="H22" s="761">
        <f>ROUND((geg!H48-geg!H27)*IF(geg!H55="ja",tab!$D$53,tab!$D$45+geg!H60*tab!$D$46),0)</f>
        <v>0</v>
      </c>
      <c r="I22" s="757">
        <f>ROUND((geg!I48-geg!I27)*IF(geg!I55="ja",tab!$D$53,tab!$D$45+geg!I60*tab!$D$46),0)</f>
        <v>0</v>
      </c>
      <c r="J22" s="757">
        <f>ROUND((geg!J48-geg!J27)*IF(geg!J55="ja",tab!$D$53,tab!$D$45+geg!J60*tab!$D$46),0)</f>
        <v>0</v>
      </c>
      <c r="K22" s="499"/>
      <c r="L22" s="161"/>
    </row>
    <row r="23" spans="2:12" x14ac:dyDescent="0.2">
      <c r="B23" s="157"/>
      <c r="C23" s="499"/>
      <c r="D23" s="499" t="s">
        <v>51</v>
      </c>
      <c r="E23" s="499"/>
      <c r="F23" s="760">
        <f>ROUND((geg!F48-geg!F37)*IF(geg!F55="ja",tab!C54,tab!C47+geg!F60*tab!C48),0)</f>
        <v>0</v>
      </c>
      <c r="G23" s="760">
        <f>ROUND((geg!G48-geg!G37)*IF(geg!G55="ja",tab!$D$54,tab!$D$47+geg!G60*tab!$D$48),0)</f>
        <v>0</v>
      </c>
      <c r="H23" s="761">
        <f>ROUND((geg!H48-geg!H37)*IF(geg!H55="ja",tab!$D$54,tab!$D$47+geg!H60*tab!$D$48),0)</f>
        <v>0</v>
      </c>
      <c r="I23" s="757">
        <f>ROUND((geg!I48-geg!I37)*IF(geg!I55="ja",tab!$D$54,tab!$D$47+geg!I60*tab!$D$48),0)</f>
        <v>0</v>
      </c>
      <c r="J23" s="757">
        <f>ROUND((geg!J48-geg!J37)*IF(geg!J55="ja",tab!$D$54,tab!$D$47+geg!J60*tab!$D$48),0)</f>
        <v>0</v>
      </c>
      <c r="K23" s="499"/>
      <c r="L23" s="161"/>
    </row>
    <row r="24" spans="2:12" s="40" customFormat="1" x14ac:dyDescent="0.2">
      <c r="B24" s="168"/>
      <c r="C24" s="688"/>
      <c r="D24" s="502"/>
      <c r="E24" s="688"/>
      <c r="F24" s="764">
        <f>SUM(F22:F23)</f>
        <v>0</v>
      </c>
      <c r="G24" s="764">
        <f>SUM(G22:G23)</f>
        <v>0</v>
      </c>
      <c r="H24" s="762">
        <f>SUM(H22:H23)</f>
        <v>0</v>
      </c>
      <c r="I24" s="758">
        <f>SUM(I22:I23)</f>
        <v>0</v>
      </c>
      <c r="J24" s="758">
        <f>SUM(J22:J23)</f>
        <v>0</v>
      </c>
      <c r="K24" s="688"/>
      <c r="L24" s="169"/>
    </row>
    <row r="25" spans="2:12" x14ac:dyDescent="0.2">
      <c r="B25" s="157"/>
      <c r="C25" s="499"/>
      <c r="D25" s="500" t="str">
        <f>geg!D28</f>
        <v>Naam SBO 4</v>
      </c>
      <c r="E25" s="499"/>
      <c r="F25" s="757"/>
      <c r="G25" s="757"/>
      <c r="H25" s="761"/>
      <c r="I25" s="757"/>
      <c r="J25" s="757"/>
      <c r="K25" s="499"/>
      <c r="L25" s="161"/>
    </row>
    <row r="26" spans="2:12" x14ac:dyDescent="0.2">
      <c r="B26" s="157"/>
      <c r="C26" s="499"/>
      <c r="D26" s="499" t="s">
        <v>50</v>
      </c>
      <c r="E26" s="499"/>
      <c r="F26" s="760">
        <f>ROUND((geg!F49-geg!F28)*IF(geg!F55="ja",tab!C53,tab!C45+geg!F61*tab!C46),0)</f>
        <v>0</v>
      </c>
      <c r="G26" s="760">
        <f>ROUND((geg!G49-geg!G28)*IF(geg!G55="ja",tab!$D$53,tab!$D$45+geg!G61*tab!$D$46),0)</f>
        <v>0</v>
      </c>
      <c r="H26" s="761">
        <f>ROUND((geg!H49-geg!H28)*IF(geg!H55="ja",tab!$D$53,tab!$D$45+geg!H61*tab!$D$46),0)</f>
        <v>0</v>
      </c>
      <c r="I26" s="757">
        <f>ROUND((geg!I49-geg!I28)*IF(geg!I55="ja",tab!$D$53,tab!$D$45+geg!I61*tab!$D$46),0)</f>
        <v>0</v>
      </c>
      <c r="J26" s="757">
        <f>ROUND((geg!J49-geg!J28)*IF(geg!J55="ja",tab!$D$53,tab!$D$45+geg!J61*tab!$D$46),0)</f>
        <v>0</v>
      </c>
      <c r="K26" s="499"/>
      <c r="L26" s="161"/>
    </row>
    <row r="27" spans="2:12" x14ac:dyDescent="0.2">
      <c r="B27" s="157"/>
      <c r="C27" s="499"/>
      <c r="D27" s="499" t="s">
        <v>51</v>
      </c>
      <c r="E27" s="499"/>
      <c r="F27" s="760">
        <f>ROUND((geg!F49-geg!F38)*IF(geg!F55="ja",tab!C54,tab!C47+geg!F61*tab!C48),0)</f>
        <v>0</v>
      </c>
      <c r="G27" s="760">
        <f>ROUND((geg!G49-geg!G38)*IF(geg!G55="ja",tab!$D$54,tab!$D$47+geg!G61*tab!$D$48),0)</f>
        <v>0</v>
      </c>
      <c r="H27" s="761">
        <f>ROUND((geg!H49-geg!H38)*IF(geg!H55="ja",tab!$D$54,tab!$D$47+geg!H61*tab!$D$48),0)</f>
        <v>0</v>
      </c>
      <c r="I27" s="757">
        <f>ROUND((geg!I49-geg!I38)*IF(geg!I55="ja",tab!$D$54,tab!$D$47+geg!I61*tab!$D$48),0)</f>
        <v>0</v>
      </c>
      <c r="J27" s="757">
        <f>ROUND((geg!J49-geg!J38)*IF(geg!J55="ja",tab!$D$54,tab!$D$47+geg!J61*tab!$D$48),0)</f>
        <v>0</v>
      </c>
      <c r="K27" s="499"/>
      <c r="L27" s="161"/>
    </row>
    <row r="28" spans="2:12" s="40" customFormat="1" x14ac:dyDescent="0.2">
      <c r="B28" s="168"/>
      <c r="C28" s="688"/>
      <c r="D28" s="502"/>
      <c r="E28" s="688"/>
      <c r="F28" s="764">
        <f>SUM(F26:F27)</f>
        <v>0</v>
      </c>
      <c r="G28" s="764">
        <f>SUM(G26:G27)</f>
        <v>0</v>
      </c>
      <c r="H28" s="762">
        <f>SUM(H26:H27)</f>
        <v>0</v>
      </c>
      <c r="I28" s="758">
        <f>SUM(I26:I27)</f>
        <v>0</v>
      </c>
      <c r="J28" s="758">
        <f>SUM(J26:J27)</f>
        <v>0</v>
      </c>
      <c r="K28" s="688"/>
      <c r="L28" s="169"/>
    </row>
    <row r="29" spans="2:12" x14ac:dyDescent="0.2">
      <c r="B29" s="157"/>
      <c r="C29" s="499"/>
      <c r="D29" s="502" t="s">
        <v>261</v>
      </c>
      <c r="E29" s="499"/>
      <c r="F29" s="755"/>
      <c r="G29" s="755"/>
      <c r="H29" s="763"/>
      <c r="I29" s="755"/>
      <c r="J29" s="755"/>
      <c r="K29" s="499"/>
      <c r="L29" s="161"/>
    </row>
    <row r="30" spans="2:12" x14ac:dyDescent="0.2">
      <c r="B30" s="157"/>
      <c r="C30" s="499"/>
      <c r="D30" s="499" t="s">
        <v>50</v>
      </c>
      <c r="E30" s="499"/>
      <c r="F30" s="765">
        <f t="shared" ref="F30:J32" si="0">F14+F18+F22+F26</f>
        <v>14160</v>
      </c>
      <c r="G30" s="765">
        <f t="shared" si="0"/>
        <v>14197</v>
      </c>
      <c r="H30" s="761">
        <f t="shared" si="0"/>
        <v>14197</v>
      </c>
      <c r="I30" s="759">
        <f t="shared" si="0"/>
        <v>14197</v>
      </c>
      <c r="J30" s="759">
        <f t="shared" si="0"/>
        <v>14197</v>
      </c>
      <c r="K30" s="499"/>
      <c r="L30" s="161"/>
    </row>
    <row r="31" spans="2:12" x14ac:dyDescent="0.2">
      <c r="B31" s="157"/>
      <c r="C31" s="499"/>
      <c r="D31" s="499" t="s">
        <v>51</v>
      </c>
      <c r="E31" s="499"/>
      <c r="F31" s="765">
        <f t="shared" si="0"/>
        <v>327834</v>
      </c>
      <c r="G31" s="765">
        <f t="shared" si="0"/>
        <v>328703</v>
      </c>
      <c r="H31" s="761">
        <f t="shared" si="0"/>
        <v>328703</v>
      </c>
      <c r="I31" s="759">
        <f t="shared" si="0"/>
        <v>328703</v>
      </c>
      <c r="J31" s="759">
        <f t="shared" si="0"/>
        <v>328703</v>
      </c>
      <c r="K31" s="499"/>
      <c r="L31" s="161"/>
    </row>
    <row r="32" spans="2:12" x14ac:dyDescent="0.2">
      <c r="B32" s="157"/>
      <c r="C32" s="688"/>
      <c r="D32" s="502" t="s">
        <v>56</v>
      </c>
      <c r="E32" s="688"/>
      <c r="F32" s="764">
        <f t="shared" si="0"/>
        <v>341994</v>
      </c>
      <c r="G32" s="764">
        <f t="shared" si="0"/>
        <v>342900</v>
      </c>
      <c r="H32" s="762">
        <f t="shared" si="0"/>
        <v>342900</v>
      </c>
      <c r="I32" s="758">
        <f t="shared" si="0"/>
        <v>342900</v>
      </c>
      <c r="J32" s="758">
        <f t="shared" si="0"/>
        <v>342900</v>
      </c>
      <c r="K32" s="688"/>
      <c r="L32" s="161"/>
    </row>
    <row r="33" spans="2:12" x14ac:dyDescent="0.2">
      <c r="B33" s="157"/>
      <c r="C33" s="499"/>
      <c r="D33" s="502"/>
      <c r="E33" s="499"/>
      <c r="F33" s="755"/>
      <c r="G33" s="755"/>
      <c r="H33" s="755"/>
      <c r="I33" s="755"/>
      <c r="J33" s="755"/>
      <c r="K33" s="499"/>
      <c r="L33" s="161"/>
    </row>
    <row r="34" spans="2:12" x14ac:dyDescent="0.2">
      <c r="B34" s="157"/>
      <c r="C34" s="158"/>
      <c r="D34" s="158"/>
      <c r="E34" s="158"/>
      <c r="F34" s="307"/>
      <c r="G34" s="307"/>
      <c r="H34" s="307"/>
      <c r="I34" s="307"/>
      <c r="J34" s="307"/>
      <c r="K34" s="158"/>
      <c r="L34" s="161"/>
    </row>
    <row r="35" spans="2:12" x14ac:dyDescent="0.2">
      <c r="B35" s="157"/>
      <c r="C35" s="158"/>
      <c r="D35" s="158"/>
      <c r="E35" s="158"/>
      <c r="F35" s="307"/>
      <c r="G35" s="307"/>
      <c r="H35" s="307"/>
      <c r="I35" s="307"/>
      <c r="J35" s="307"/>
      <c r="K35" s="158"/>
      <c r="L35" s="161"/>
    </row>
    <row r="36" spans="2:12" x14ac:dyDescent="0.2">
      <c r="B36" s="157"/>
      <c r="C36" s="158"/>
      <c r="D36" s="158"/>
      <c r="E36" s="158"/>
      <c r="F36" s="307"/>
      <c r="G36" s="307"/>
      <c r="H36" s="307"/>
      <c r="I36" s="307"/>
      <c r="J36" s="307"/>
      <c r="K36" s="158"/>
      <c r="L36" s="161"/>
    </row>
    <row r="37" spans="2:12" x14ac:dyDescent="0.2">
      <c r="B37" s="157"/>
      <c r="C37" s="158"/>
      <c r="D37" s="158"/>
      <c r="E37" s="158"/>
      <c r="F37" s="307"/>
      <c r="G37" s="307"/>
      <c r="H37" s="526"/>
      <c r="I37" s="307"/>
      <c r="J37" s="307"/>
      <c r="K37" s="158"/>
      <c r="L37" s="161"/>
    </row>
    <row r="38" spans="2:12" x14ac:dyDescent="0.2">
      <c r="B38" s="157"/>
      <c r="C38" s="158"/>
      <c r="D38" s="184" t="s">
        <v>186</v>
      </c>
      <c r="E38" s="185"/>
      <c r="F38" s="320">
        <f>mat!H8</f>
        <v>2012</v>
      </c>
      <c r="G38" s="320">
        <f>mat!I8</f>
        <v>2013</v>
      </c>
      <c r="H38" s="527" t="s">
        <v>544</v>
      </c>
      <c r="I38" s="320">
        <f>mat!K8</f>
        <v>2015</v>
      </c>
      <c r="J38" s="320">
        <f>mat!L8</f>
        <v>2016</v>
      </c>
      <c r="K38" s="158"/>
      <c r="L38" s="161"/>
    </row>
    <row r="39" spans="2:12" x14ac:dyDescent="0.2">
      <c r="B39" s="157"/>
      <c r="C39" s="158"/>
      <c r="D39" s="158"/>
      <c r="E39" s="158"/>
      <c r="F39" s="307"/>
      <c r="G39" s="307"/>
      <c r="H39" s="307"/>
      <c r="I39" s="307"/>
      <c r="J39" s="307"/>
      <c r="K39" s="158"/>
      <c r="L39" s="161"/>
    </row>
    <row r="40" spans="2:12" x14ac:dyDescent="0.2">
      <c r="B40" s="157"/>
      <c r="C40" s="499"/>
      <c r="D40" s="499"/>
      <c r="E40" s="499"/>
      <c r="F40" s="757"/>
      <c r="G40" s="757"/>
      <c r="H40" s="757"/>
      <c r="I40" s="757"/>
      <c r="J40" s="757"/>
      <c r="K40" s="499"/>
      <c r="L40" s="161"/>
    </row>
    <row r="41" spans="2:12" x14ac:dyDescent="0.2">
      <c r="B41" s="157"/>
      <c r="C41" s="499"/>
      <c r="D41" s="682" t="s">
        <v>296</v>
      </c>
      <c r="E41" s="499"/>
      <c r="F41" s="757"/>
      <c r="G41" s="757"/>
      <c r="H41" s="757"/>
      <c r="I41" s="757"/>
      <c r="J41" s="757"/>
      <c r="K41" s="499"/>
      <c r="L41" s="161"/>
    </row>
    <row r="42" spans="2:12" x14ac:dyDescent="0.2">
      <c r="B42" s="157"/>
      <c r="C42" s="499"/>
      <c r="D42" s="499"/>
      <c r="E42" s="499"/>
      <c r="F42" s="757"/>
      <c r="G42" s="757"/>
      <c r="H42" s="757"/>
      <c r="I42" s="757"/>
      <c r="J42" s="757"/>
      <c r="K42" s="499"/>
      <c r="L42" s="161"/>
    </row>
    <row r="43" spans="2:12" x14ac:dyDescent="0.2">
      <c r="B43" s="157"/>
      <c r="C43" s="499"/>
      <c r="D43" s="500" t="str">
        <f>+D13</f>
        <v>Naam SBO 1</v>
      </c>
      <c r="E43" s="499"/>
      <c r="F43" s="757"/>
      <c r="G43" s="757"/>
      <c r="H43" s="757"/>
      <c r="I43" s="757"/>
      <c r="J43" s="757"/>
      <c r="K43" s="499"/>
      <c r="L43" s="161"/>
    </row>
    <row r="44" spans="2:12" x14ac:dyDescent="0.2">
      <c r="B44" s="157"/>
      <c r="C44" s="499"/>
      <c r="D44" s="499" t="s">
        <v>209</v>
      </c>
      <c r="E44" s="499"/>
      <c r="F44" s="760">
        <f>IF(geg!F$65="ja",ROUND((geg!F46-geg!F25)*tab!$C$59,0),0)</f>
        <v>1642</v>
      </c>
      <c r="G44" s="760">
        <f>IF(geg!G$65="ja",ROUND((geg!G46-geg!G25)*tab!$D$59,0),0)</f>
        <v>1672</v>
      </c>
      <c r="H44" s="760">
        <f>IF(geg!H$65="ja",ROUND((geg!H46-geg!H25)*tab!$E$59,0),0)*7/12</f>
        <v>989.33333333333337</v>
      </c>
      <c r="I44" s="757">
        <f>IF(geg!I$65="ja",ROUND((geg!I46-geg!I25)*tab!$D$59,0),0)</f>
        <v>1672</v>
      </c>
      <c r="J44" s="757">
        <f>IF(geg!J$65="ja",ROUND((geg!J46-geg!J25)*tab!$D$59,0),0)</f>
        <v>1672</v>
      </c>
      <c r="K44" s="499"/>
      <c r="L44" s="161"/>
    </row>
    <row r="45" spans="2:12" x14ac:dyDescent="0.2">
      <c r="B45" s="157"/>
      <c r="C45" s="499"/>
      <c r="D45" s="499" t="s">
        <v>53</v>
      </c>
      <c r="E45" s="499"/>
      <c r="F45" s="760">
        <f>IF(geg!F$65="ja",ROUND((geg!F46-geg!F35)*tab!$C$60,0),ROUND((geg!F25-geg!F35)*tab!$C$60,0))</f>
        <v>10361</v>
      </c>
      <c r="G45" s="760">
        <f>IF(geg!G$65="ja",ROUND((geg!G46-geg!G35)*tab!$D$60,0),ROUND((geg!G25-geg!G35)*tab!$D$60,0))</f>
        <v>10548</v>
      </c>
      <c r="H45" s="760">
        <f>IF(geg!H$65="ja",ROUND((geg!H46-geg!H35)*tab!$E$60,0),ROUND((geg!H25-geg!H35)*tab!$E$60,0))*7/12</f>
        <v>6239.333333333333</v>
      </c>
      <c r="I45" s="757">
        <f>IF(geg!I$65="ja",ROUND((geg!I46-geg!I35)*tab!$D$60,0),ROUND((geg!I25-geg!I35)*tab!$D$60,0))</f>
        <v>10548</v>
      </c>
      <c r="J45" s="757">
        <f>IF(geg!J$65="ja",ROUND((geg!J46-geg!J35)*tab!$D$60,0),ROUND((geg!J25-geg!J35)*tab!$D$60,0))</f>
        <v>10548</v>
      </c>
      <c r="K45" s="499"/>
      <c r="L45" s="161"/>
    </row>
    <row r="46" spans="2:12" x14ac:dyDescent="0.2">
      <c r="B46" s="157"/>
      <c r="C46" s="499"/>
      <c r="D46" s="499" t="s">
        <v>57</v>
      </c>
      <c r="E46" s="499"/>
      <c r="F46" s="760">
        <f>+F66*geg!F25/geg!F$29</f>
        <v>26100</v>
      </c>
      <c r="G46" s="760">
        <f>+G66*geg!G25/geg!G$29</f>
        <v>26568</v>
      </c>
      <c r="H46" s="760">
        <f>+H66*geg!H25/geg!H$29*7/12</f>
        <v>9040.5</v>
      </c>
      <c r="I46" s="757">
        <f>+I66*geg!I25/geg!I$29</f>
        <v>26568</v>
      </c>
      <c r="J46" s="757">
        <f>+J66*geg!J25/geg!J$29</f>
        <v>26568</v>
      </c>
      <c r="K46" s="499"/>
      <c r="L46" s="161"/>
    </row>
    <row r="47" spans="2:12" x14ac:dyDescent="0.2">
      <c r="B47" s="157"/>
      <c r="C47" s="502"/>
      <c r="D47" s="502"/>
      <c r="E47" s="502"/>
      <c r="F47" s="764">
        <f>IF(F45&gt;F46,F46+F44,F45+F44)</f>
        <v>12003</v>
      </c>
      <c r="G47" s="764">
        <f>IF(G45&gt;G46,G46+G44,G45+G44)</f>
        <v>12220</v>
      </c>
      <c r="H47" s="764">
        <f>IF(H45&gt;H46,H46+H44,H45+H44)</f>
        <v>7228.6666666666661</v>
      </c>
      <c r="I47" s="758">
        <f>IF(I45&gt;I46,I46+I44,I45+I44)</f>
        <v>12220</v>
      </c>
      <c r="J47" s="758">
        <f>IF(J45&gt;J46,J46+J44,J45+J44)</f>
        <v>12220</v>
      </c>
      <c r="K47" s="502"/>
      <c r="L47" s="161"/>
    </row>
    <row r="48" spans="2:12" x14ac:dyDescent="0.2">
      <c r="B48" s="157"/>
      <c r="C48" s="499"/>
      <c r="D48" s="500" t="str">
        <f>+D17</f>
        <v>Naam SBO 2</v>
      </c>
      <c r="E48" s="499"/>
      <c r="F48" s="757"/>
      <c r="G48" s="757"/>
      <c r="H48" s="757"/>
      <c r="I48" s="757"/>
      <c r="J48" s="757"/>
      <c r="K48" s="499"/>
      <c r="L48" s="161"/>
    </row>
    <row r="49" spans="2:12" x14ac:dyDescent="0.2">
      <c r="B49" s="157"/>
      <c r="C49" s="499"/>
      <c r="D49" s="499" t="s">
        <v>209</v>
      </c>
      <c r="E49" s="499"/>
      <c r="F49" s="760">
        <f>IF(geg!F$65="ja",ROUND((geg!F47-geg!F26)*tab!$D$59,0),0)</f>
        <v>2508</v>
      </c>
      <c r="G49" s="760">
        <f>IF(geg!G$65="ja",ROUND((geg!G47-geg!G26)*tab!$D$59,0),0)</f>
        <v>2508</v>
      </c>
      <c r="H49" s="760">
        <f>IF(geg!H$65="ja",ROUND((geg!H47-geg!H26)*tab!$E$59,0),0)*7/12</f>
        <v>1484</v>
      </c>
      <c r="I49" s="757">
        <f>IF(geg!I$65="ja",ROUND((geg!I47-geg!I26)*tab!$D$59,0),0)</f>
        <v>2508</v>
      </c>
      <c r="J49" s="757">
        <f>IF(geg!J$65="ja",ROUND((geg!J47-geg!J26)*tab!$D$59,0),0)</f>
        <v>2508</v>
      </c>
      <c r="K49" s="499"/>
      <c r="L49" s="161"/>
    </row>
    <row r="50" spans="2:12" x14ac:dyDescent="0.2">
      <c r="B50" s="157"/>
      <c r="C50" s="499"/>
      <c r="D50" s="499" t="s">
        <v>53</v>
      </c>
      <c r="E50" s="499"/>
      <c r="F50" s="760">
        <f>IF(geg!F$65="ja",ROUND((geg!F47-geg!F36)*tab!$D$60,0),ROUND((geg!F26-geg!F36)*tab!$D$60,0))</f>
        <v>7401</v>
      </c>
      <c r="G50" s="760">
        <f>IF(geg!G$65="ja",ROUND((geg!G47-geg!G36)*tab!$D$60,0),ROUND((geg!G26-geg!G36)*tab!$D$60,0))</f>
        <v>7401</v>
      </c>
      <c r="H50" s="760">
        <f>IF(geg!H$65="ja",ROUND((geg!H47-geg!H36)*tab!$E$60,0),ROUND((geg!H26-geg!H36)*tab!$E$60,0))*7/12</f>
        <v>4377.916666666667</v>
      </c>
      <c r="I50" s="757">
        <f>IF(geg!I$65="ja",ROUND((geg!I47-geg!I36)*tab!$D$60,0),ROUND((geg!I26-geg!I36)*tab!$D$60,0))</f>
        <v>7401</v>
      </c>
      <c r="J50" s="757">
        <f>IF(geg!J$65="ja",ROUND((geg!J47-geg!J36)*tab!$D$60,0),ROUND((geg!J26-geg!J36)*tab!$D$60,0))</f>
        <v>7401</v>
      </c>
      <c r="K50" s="499"/>
      <c r="L50" s="161"/>
    </row>
    <row r="51" spans="2:12" x14ac:dyDescent="0.2">
      <c r="B51" s="157"/>
      <c r="C51" s="499"/>
      <c r="D51" s="499" t="s">
        <v>57</v>
      </c>
      <c r="E51" s="499"/>
      <c r="F51" s="760">
        <f>+F66*geg!F26/geg!F$29</f>
        <v>17400</v>
      </c>
      <c r="G51" s="760">
        <f>+G66*geg!G26/geg!G$29</f>
        <v>17712</v>
      </c>
      <c r="H51" s="760">
        <f>+H66*geg!H26/geg!H$29*7/12</f>
        <v>6027</v>
      </c>
      <c r="I51" s="757">
        <f>+I66*geg!I26/geg!I$29</f>
        <v>17712</v>
      </c>
      <c r="J51" s="757">
        <f>+J66*geg!J26/geg!J$29</f>
        <v>17712</v>
      </c>
      <c r="K51" s="499"/>
      <c r="L51" s="161"/>
    </row>
    <row r="52" spans="2:12" x14ac:dyDescent="0.2">
      <c r="B52" s="157"/>
      <c r="C52" s="502"/>
      <c r="D52" s="502"/>
      <c r="E52" s="502"/>
      <c r="F52" s="764">
        <f>IF(F50&gt;F51,F51+F49,F50+F49)</f>
        <v>9909</v>
      </c>
      <c r="G52" s="764">
        <f>IF(G50&gt;G51,G51+G49,G50+G49)</f>
        <v>9909</v>
      </c>
      <c r="H52" s="764">
        <f>IF(H50&gt;H51,H51+H49,H50+H49)</f>
        <v>5861.916666666667</v>
      </c>
      <c r="I52" s="758">
        <f>IF(I50&gt;I51,I51+I49,I50+I49)</f>
        <v>9909</v>
      </c>
      <c r="J52" s="758">
        <f>IF(J50&gt;J51,J51+J49,J50+J49)</f>
        <v>9909</v>
      </c>
      <c r="K52" s="502"/>
      <c r="L52" s="161"/>
    </row>
    <row r="53" spans="2:12" x14ac:dyDescent="0.2">
      <c r="B53" s="157"/>
      <c r="C53" s="499"/>
      <c r="D53" s="500" t="str">
        <f>+D21</f>
        <v>Naam SBO 3</v>
      </c>
      <c r="E53" s="499"/>
      <c r="F53" s="757"/>
      <c r="G53" s="757"/>
      <c r="H53" s="757"/>
      <c r="I53" s="757"/>
      <c r="J53" s="757"/>
      <c r="K53" s="499"/>
      <c r="L53" s="161"/>
    </row>
    <row r="54" spans="2:12" x14ac:dyDescent="0.2">
      <c r="B54" s="157"/>
      <c r="C54" s="499"/>
      <c r="D54" s="499" t="s">
        <v>209</v>
      </c>
      <c r="E54" s="499"/>
      <c r="F54" s="760">
        <f>IF(geg!F$65="ja",ROUND((geg!F48-geg!F27)*tab!$D$59,0),0)</f>
        <v>0</v>
      </c>
      <c r="G54" s="760">
        <f>IF(geg!G$65="ja",ROUND((geg!G48-geg!G27)*tab!$D$59,0),0)</f>
        <v>0</v>
      </c>
      <c r="H54" s="760">
        <f>IF(geg!H$65="ja",ROUND((geg!H48-geg!H27)*tab!$E$59,0),0)*7/12</f>
        <v>0</v>
      </c>
      <c r="I54" s="757">
        <f>IF(geg!I$65="ja",ROUND((geg!I48-geg!I27)*tab!$D$59,0),0)</f>
        <v>0</v>
      </c>
      <c r="J54" s="757">
        <f>IF(geg!J$65="ja",ROUND((geg!J48-geg!J27)*tab!$D$59,0),0)</f>
        <v>0</v>
      </c>
      <c r="K54" s="499"/>
      <c r="L54" s="161"/>
    </row>
    <row r="55" spans="2:12" x14ac:dyDescent="0.2">
      <c r="B55" s="157"/>
      <c r="C55" s="499"/>
      <c r="D55" s="499" t="s">
        <v>53</v>
      </c>
      <c r="E55" s="499"/>
      <c r="F55" s="760">
        <f>IF(geg!F$65="ja",ROUND((geg!F$48-geg!F$37)*tab!$D$60,0),ROUND((geg!F$27-geg!F$37)*tab!$D$60,0))</f>
        <v>0</v>
      </c>
      <c r="G55" s="760">
        <f>IF(geg!G$65="ja",ROUND((geg!G$48-geg!G$37)*tab!$D$60,0),ROUND((geg!G$27-geg!G$37)*tab!$D$60,0))</f>
        <v>0</v>
      </c>
      <c r="H55" s="760">
        <f>IF(geg!H$65="ja",ROUND((geg!H$48-geg!H$37)*tab!$E$60,0),ROUND((geg!H$27-geg!H$37)*tab!$E$60,0))*7/12</f>
        <v>0</v>
      </c>
      <c r="I55" s="757">
        <f>IF(geg!I$65="ja",ROUND((geg!I$48-geg!I$37)*tab!$D$60,0),ROUND((geg!I$27-geg!I$37)*tab!$D$60,0))</f>
        <v>0</v>
      </c>
      <c r="J55" s="757">
        <f>IF(geg!J$65="ja",ROUND((geg!J$48-geg!J$37)*tab!$D$60,0),ROUND((geg!J$27-geg!J$37)*tab!$D$60,0))</f>
        <v>0</v>
      </c>
      <c r="K55" s="499"/>
      <c r="L55" s="161"/>
    </row>
    <row r="56" spans="2:12" x14ac:dyDescent="0.2">
      <c r="B56" s="157"/>
      <c r="C56" s="499"/>
      <c r="D56" s="499" t="s">
        <v>57</v>
      </c>
      <c r="E56" s="499"/>
      <c r="F56" s="760">
        <f>+F66*geg!F27/geg!F$29</f>
        <v>0</v>
      </c>
      <c r="G56" s="760">
        <f>+G66*geg!G27/geg!G$29</f>
        <v>0</v>
      </c>
      <c r="H56" s="760">
        <f>+H66*geg!H27/geg!H$29*7/12</f>
        <v>0</v>
      </c>
      <c r="I56" s="757">
        <f>+I66*geg!I27/geg!I$29</f>
        <v>0</v>
      </c>
      <c r="J56" s="757">
        <f>+J66*geg!J27/geg!J$29</f>
        <v>0</v>
      </c>
      <c r="K56" s="499"/>
      <c r="L56" s="161"/>
    </row>
    <row r="57" spans="2:12" x14ac:dyDescent="0.2">
      <c r="B57" s="157"/>
      <c r="C57" s="502"/>
      <c r="D57" s="502"/>
      <c r="E57" s="502"/>
      <c r="F57" s="764">
        <f>IF(F55&gt;F56,F56+F54,F55+F54)</f>
        <v>0</v>
      </c>
      <c r="G57" s="764">
        <f>IF(G55&gt;G56,G56+G54,G55+G54)</f>
        <v>0</v>
      </c>
      <c r="H57" s="764">
        <f>IF(H55&gt;H56,H56+H54,H55+H54)</f>
        <v>0</v>
      </c>
      <c r="I57" s="758">
        <f>IF(I55&gt;I56,I56+I54,I55+I54)</f>
        <v>0</v>
      </c>
      <c r="J57" s="758">
        <f>IF(J55&gt;J56,J56+J54,J55+J54)</f>
        <v>0</v>
      </c>
      <c r="K57" s="502"/>
      <c r="L57" s="161"/>
    </row>
    <row r="58" spans="2:12" x14ac:dyDescent="0.2">
      <c r="B58" s="157"/>
      <c r="C58" s="499"/>
      <c r="D58" s="500" t="str">
        <f>+D25</f>
        <v>Naam SBO 4</v>
      </c>
      <c r="E58" s="499"/>
      <c r="F58" s="757"/>
      <c r="G58" s="757"/>
      <c r="H58" s="757"/>
      <c r="I58" s="757"/>
      <c r="J58" s="757"/>
      <c r="K58" s="499"/>
      <c r="L58" s="161"/>
    </row>
    <row r="59" spans="2:12" x14ac:dyDescent="0.2">
      <c r="B59" s="157"/>
      <c r="C59" s="499"/>
      <c r="D59" s="499" t="s">
        <v>209</v>
      </c>
      <c r="E59" s="499"/>
      <c r="F59" s="760">
        <f>IF(geg!F$65="ja",ROUND((geg!F49-geg!F28)*tab!$D$59,0),0)</f>
        <v>0</v>
      </c>
      <c r="G59" s="760">
        <f>IF(geg!G$65="ja",ROUND((geg!G49-geg!G28)*tab!$D$59,0),0)</f>
        <v>0</v>
      </c>
      <c r="H59" s="760">
        <f>IF(geg!H$65="ja",ROUND((geg!H49-geg!H28)*tab!$E$59,0),0)*7/12</f>
        <v>0</v>
      </c>
      <c r="I59" s="757">
        <f>IF(geg!I$65="ja",ROUND((geg!I49-geg!I28)*tab!$D$59,0),0)</f>
        <v>0</v>
      </c>
      <c r="J59" s="757">
        <f>IF(geg!J$65="ja",ROUND((geg!J49-geg!J28)*tab!$D$59,0),0)</f>
        <v>0</v>
      </c>
      <c r="K59" s="499"/>
      <c r="L59" s="161"/>
    </row>
    <row r="60" spans="2:12" x14ac:dyDescent="0.2">
      <c r="B60" s="157"/>
      <c r="C60" s="499"/>
      <c r="D60" s="499" t="s">
        <v>53</v>
      </c>
      <c r="E60" s="499"/>
      <c r="F60" s="760">
        <f>IF(geg!F$65="ja",ROUND((geg!F$49-geg!F$38)*tab!$D$60,0),ROUND((geg!F$28-geg!F$38)*tab!$D$60,0))</f>
        <v>0</v>
      </c>
      <c r="G60" s="760">
        <f>IF(geg!G$65="ja",ROUND((geg!G$49-geg!G$38)*tab!$D$60,0),ROUND((geg!G$28-geg!G$38)*tab!$D$60,0))</f>
        <v>0</v>
      </c>
      <c r="H60" s="760">
        <f>IF(geg!H$65="ja",ROUND((geg!H$49-geg!H$38)*tab!$E$60,0),ROUND((geg!H$28-geg!H$38)*tab!$E$60,0))*7/12</f>
        <v>0</v>
      </c>
      <c r="I60" s="757">
        <f>IF(geg!I$65="ja",ROUND((geg!I$49-geg!I$38)*tab!$D$60,0),ROUND((geg!I$28-geg!I$38)*tab!$D$60,0))</f>
        <v>0</v>
      </c>
      <c r="J60" s="757">
        <f>IF(geg!J$65="ja",ROUND((geg!J$49-geg!J$38)*tab!$D$60,0),ROUND((geg!J$28-geg!J$38)*tab!$D$60,0))</f>
        <v>0</v>
      </c>
      <c r="K60" s="499"/>
      <c r="L60" s="161"/>
    </row>
    <row r="61" spans="2:12" x14ac:dyDescent="0.2">
      <c r="B61" s="157"/>
      <c r="C61" s="499"/>
      <c r="D61" s="499" t="s">
        <v>57</v>
      </c>
      <c r="E61" s="499"/>
      <c r="F61" s="760">
        <f>+F66*geg!F28/geg!F$29</f>
        <v>0</v>
      </c>
      <c r="G61" s="760">
        <f>+G66*geg!G28/geg!G$29</f>
        <v>0</v>
      </c>
      <c r="H61" s="760">
        <f>+H66*geg!H28/geg!H$29*7/12</f>
        <v>0</v>
      </c>
      <c r="I61" s="757">
        <f>+I66*geg!I28/geg!I$29</f>
        <v>0</v>
      </c>
      <c r="J61" s="757">
        <f>+J66*geg!J28/geg!J$29</f>
        <v>0</v>
      </c>
      <c r="K61" s="499"/>
      <c r="L61" s="161"/>
    </row>
    <row r="62" spans="2:12" x14ac:dyDescent="0.2">
      <c r="B62" s="157"/>
      <c r="C62" s="502"/>
      <c r="D62" s="502"/>
      <c r="E62" s="502"/>
      <c r="F62" s="764">
        <f>IF(F60&gt;F61,F61+F59,F60+F59)</f>
        <v>0</v>
      </c>
      <c r="G62" s="764">
        <f>IF(G60&gt;G61,G61+G59,G60+G59)</f>
        <v>0</v>
      </c>
      <c r="H62" s="764">
        <f>IF(H60&gt;H61,H61+H59,H60+H59)</f>
        <v>0</v>
      </c>
      <c r="I62" s="758">
        <f>IF(I60&gt;I61,I61+I59,I60+I59)</f>
        <v>0</v>
      </c>
      <c r="J62" s="758">
        <f>IF(J60&gt;J61,J61+J59,J60+J59)</f>
        <v>0</v>
      </c>
      <c r="K62" s="502"/>
      <c r="L62" s="161"/>
    </row>
    <row r="63" spans="2:12" x14ac:dyDescent="0.2">
      <c r="B63" s="157"/>
      <c r="C63" s="499"/>
      <c r="D63" s="502" t="s">
        <v>261</v>
      </c>
      <c r="E63" s="499"/>
      <c r="F63" s="755"/>
      <c r="G63" s="755"/>
      <c r="H63" s="755"/>
      <c r="I63" s="755"/>
      <c r="J63" s="755"/>
      <c r="K63" s="499"/>
      <c r="L63" s="161"/>
    </row>
    <row r="64" spans="2:12" x14ac:dyDescent="0.2">
      <c r="B64" s="157"/>
      <c r="C64" s="499"/>
      <c r="D64" s="499" t="s">
        <v>209</v>
      </c>
      <c r="E64" s="499"/>
      <c r="F64" s="765">
        <f>IF(geg!F65="ja",ROUND((geg!F50-geg!F29)*tab!$C$59,0),0)</f>
        <v>4105</v>
      </c>
      <c r="G64" s="765">
        <f>IF(geg!G65="ja",ROUND((geg!G50-geg!G29)*tab!$D$59,0),0)</f>
        <v>4180</v>
      </c>
      <c r="H64" s="765">
        <f>IF(geg!H65="ja",ROUND((geg!H50-geg!H29)*tab!$E$59,0),0)*7/12</f>
        <v>2473.3333333333335</v>
      </c>
      <c r="I64" s="759">
        <f>IF(geg!I65="ja",ROUND((geg!I50-geg!I29)*tab!$D$59,0),0)</f>
        <v>4180</v>
      </c>
      <c r="J64" s="759">
        <f>IF(geg!J65="ja",ROUND((geg!J50-geg!J29)*tab!$D$59,0),0)</f>
        <v>4180</v>
      </c>
      <c r="K64" s="499"/>
      <c r="L64" s="161"/>
    </row>
    <row r="65" spans="2:14" x14ac:dyDescent="0.2">
      <c r="B65" s="157"/>
      <c r="C65" s="499"/>
      <c r="D65" s="499" t="s">
        <v>53</v>
      </c>
      <c r="E65" s="499"/>
      <c r="F65" s="765">
        <f>IF(geg!F65="ja",ROUND((geg!F50-geg!F33)*tab!$C$60,0),ROUND((geg!F29-geg!F33)*tab!$C$60,0))</f>
        <v>17631</v>
      </c>
      <c r="G65" s="765">
        <f>IF(geg!G65="ja",ROUND((geg!G50-geg!G33)*tab!$D$60,0),ROUND((geg!G29-geg!G33)*tab!$D$60,0))</f>
        <v>17949</v>
      </c>
      <c r="H65" s="765">
        <f>IF(geg!H65="ja",ROUND((geg!H50-geg!H33)*tab!$E$60,0),ROUND((geg!H29-geg!H33)*tab!$E$60,0))*7/12</f>
        <v>10617.833333333334</v>
      </c>
      <c r="I65" s="759">
        <f>IF(geg!I65="ja",ROUND((geg!I50-geg!I33)*tab!$D$60,0),ROUND((geg!I29-geg!I33)*tab!$D$60,0))</f>
        <v>17949</v>
      </c>
      <c r="J65" s="759">
        <f>IF(geg!J65="ja",ROUND((geg!J50-geg!J33)*tab!$D$60,0),ROUND((geg!J29-geg!J33)*tab!$D$60,0))</f>
        <v>17949</v>
      </c>
      <c r="K65" s="499"/>
      <c r="L65" s="161"/>
    </row>
    <row r="66" spans="2:14" x14ac:dyDescent="0.2">
      <c r="B66" s="157"/>
      <c r="C66" s="499"/>
      <c r="D66" s="499" t="s">
        <v>210</v>
      </c>
      <c r="E66" s="499"/>
      <c r="F66" s="765">
        <f>+geg!F21*tab!$C$61</f>
        <v>43500</v>
      </c>
      <c r="G66" s="765">
        <f>+geg!G21*tab!$D$61</f>
        <v>44280</v>
      </c>
      <c r="H66" s="765">
        <f>+geg!H21*tab!$D$61*7/12</f>
        <v>25830</v>
      </c>
      <c r="I66" s="759">
        <f>+geg!I21*tab!$D$61</f>
        <v>44280</v>
      </c>
      <c r="J66" s="759">
        <f>+geg!J21*tab!$D$61</f>
        <v>44280</v>
      </c>
      <c r="K66" s="499"/>
      <c r="L66" s="161"/>
    </row>
    <row r="67" spans="2:14" x14ac:dyDescent="0.2">
      <c r="B67" s="157"/>
      <c r="C67" s="502"/>
      <c r="D67" s="502" t="s">
        <v>56</v>
      </c>
      <c r="E67" s="502"/>
      <c r="F67" s="764">
        <f>IF(F65&gt;F66,F64+F66,F64+F65)</f>
        <v>21736</v>
      </c>
      <c r="G67" s="764">
        <f>IF(G65&gt;G66,G64+G66,G64+G65)</f>
        <v>22129</v>
      </c>
      <c r="H67" s="764">
        <f>IF(H65&gt;H66,H64+H66,H64+H65)</f>
        <v>13091.166666666668</v>
      </c>
      <c r="I67" s="758">
        <f>IF(I65&gt;I66,I64+I66,I64+I65)</f>
        <v>22129</v>
      </c>
      <c r="J67" s="758">
        <f>IF(J65&gt;J66,J64+J66,J64+J65)</f>
        <v>22129</v>
      </c>
      <c r="K67" s="502"/>
      <c r="L67" s="161"/>
    </row>
    <row r="68" spans="2:14" x14ac:dyDescent="0.2">
      <c r="B68" s="157"/>
      <c r="C68" s="499"/>
      <c r="D68" s="499"/>
      <c r="E68" s="499"/>
      <c r="F68" s="757"/>
      <c r="G68" s="757"/>
      <c r="H68" s="757"/>
      <c r="I68" s="757"/>
      <c r="J68" s="757"/>
      <c r="K68" s="499"/>
      <c r="L68" s="161"/>
    </row>
    <row r="69" spans="2:14" x14ac:dyDescent="0.2">
      <c r="B69" s="157"/>
      <c r="C69" s="158"/>
      <c r="D69" s="158"/>
      <c r="E69" s="158"/>
      <c r="F69" s="307"/>
      <c r="G69" s="307"/>
      <c r="H69" s="307"/>
      <c r="I69" s="307"/>
      <c r="J69" s="307"/>
      <c r="K69" s="158"/>
      <c r="L69" s="161"/>
    </row>
    <row r="70" spans="2:14" ht="15" x14ac:dyDescent="0.25">
      <c r="B70" s="172"/>
      <c r="C70" s="173"/>
      <c r="D70" s="173"/>
      <c r="E70" s="173"/>
      <c r="F70" s="313"/>
      <c r="G70" s="314"/>
      <c r="H70" s="314"/>
      <c r="I70" s="314"/>
      <c r="J70" s="314"/>
      <c r="K70" s="175" t="s">
        <v>423</v>
      </c>
      <c r="L70" s="176"/>
      <c r="M70" s="34"/>
      <c r="N70" s="34"/>
    </row>
    <row r="71" spans="2:14" x14ac:dyDescent="0.2">
      <c r="B71" s="34"/>
      <c r="C71" s="34"/>
      <c r="D71" s="34"/>
      <c r="E71" s="34"/>
      <c r="F71" s="79"/>
      <c r="G71" s="80"/>
      <c r="H71" s="80"/>
      <c r="I71" s="80"/>
      <c r="J71" s="80"/>
      <c r="K71" s="34"/>
      <c r="L71" s="34"/>
      <c r="M71" s="34"/>
      <c r="N71" s="34"/>
    </row>
    <row r="72" spans="2:14" x14ac:dyDescent="0.2">
      <c r="B72" s="34"/>
      <c r="C72" s="34"/>
      <c r="D72" s="34"/>
      <c r="E72" s="34"/>
      <c r="F72" s="79"/>
      <c r="G72" s="79"/>
      <c r="H72" s="79"/>
      <c r="I72" s="79"/>
      <c r="J72" s="79"/>
      <c r="K72" s="34"/>
      <c r="L72" s="34"/>
      <c r="M72" s="34"/>
      <c r="N72" s="34"/>
    </row>
    <row r="73" spans="2:14" x14ac:dyDescent="0.2">
      <c r="B73" s="34"/>
      <c r="C73" s="34"/>
      <c r="D73" s="34"/>
      <c r="E73" s="34"/>
      <c r="F73" s="79"/>
      <c r="G73" s="79"/>
      <c r="H73" s="79"/>
      <c r="I73" s="79"/>
      <c r="J73" s="79"/>
      <c r="K73" s="34"/>
      <c r="L73" s="34"/>
      <c r="M73" s="34"/>
      <c r="N73" s="34"/>
    </row>
    <row r="74" spans="2:14" x14ac:dyDescent="0.2">
      <c r="B74" s="34"/>
      <c r="C74" s="34"/>
      <c r="D74" s="34"/>
      <c r="E74" s="34"/>
      <c r="F74" s="79"/>
      <c r="G74" s="79"/>
      <c r="H74" s="79"/>
      <c r="I74" s="79"/>
      <c r="J74" s="79"/>
      <c r="K74" s="34"/>
      <c r="L74" s="34"/>
      <c r="M74" s="34"/>
      <c r="N74" s="34"/>
    </row>
    <row r="75" spans="2:14" x14ac:dyDescent="0.2">
      <c r="B75" s="34"/>
      <c r="C75" s="34"/>
      <c r="D75" s="34"/>
      <c r="E75" s="34"/>
      <c r="F75" s="79"/>
      <c r="G75" s="79"/>
      <c r="H75" s="79"/>
      <c r="I75" s="79"/>
      <c r="J75" s="79"/>
      <c r="K75" s="34"/>
      <c r="L75" s="34"/>
      <c r="M75" s="34"/>
      <c r="N75" s="34"/>
    </row>
    <row r="76" spans="2:14" x14ac:dyDescent="0.2">
      <c r="B76" s="34"/>
      <c r="C76" s="34"/>
      <c r="D76" s="34"/>
      <c r="E76" s="34"/>
      <c r="F76" s="79"/>
      <c r="G76" s="79"/>
      <c r="H76" s="79"/>
      <c r="I76" s="79"/>
      <c r="J76" s="79"/>
      <c r="K76" s="34"/>
      <c r="L76" s="34"/>
      <c r="M76" s="34"/>
      <c r="N76" s="34"/>
    </row>
    <row r="77" spans="2:14" x14ac:dyDescent="0.2">
      <c r="B77" s="34"/>
      <c r="C77" s="34"/>
      <c r="D77" s="34"/>
      <c r="E77" s="34"/>
      <c r="F77" s="79"/>
      <c r="G77" s="79"/>
      <c r="H77" s="79"/>
      <c r="I77" s="79"/>
      <c r="J77" s="79"/>
      <c r="K77" s="34"/>
      <c r="L77" s="34"/>
      <c r="M77" s="34"/>
      <c r="N77" s="34"/>
    </row>
    <row r="78" spans="2:14" x14ac:dyDescent="0.2">
      <c r="B78" s="34"/>
      <c r="C78" s="34"/>
      <c r="D78" s="34"/>
      <c r="E78" s="34"/>
      <c r="F78" s="79"/>
      <c r="G78" s="79"/>
      <c r="H78" s="79"/>
      <c r="I78" s="79"/>
      <c r="J78" s="79"/>
      <c r="K78" s="34"/>
      <c r="L78" s="34"/>
      <c r="M78" s="34"/>
      <c r="N78" s="34"/>
    </row>
    <row r="79" spans="2:14" x14ac:dyDescent="0.2">
      <c r="B79" s="34"/>
      <c r="C79" s="34"/>
      <c r="D79" s="34"/>
      <c r="E79" s="34"/>
      <c r="F79" s="79"/>
      <c r="G79" s="79"/>
      <c r="H79" s="79"/>
      <c r="I79" s="79"/>
      <c r="J79" s="79"/>
      <c r="K79" s="34"/>
      <c r="L79" s="34"/>
      <c r="M79" s="34"/>
      <c r="N79" s="34"/>
    </row>
    <row r="80" spans="2:14" x14ac:dyDescent="0.2">
      <c r="B80" s="34"/>
      <c r="C80" s="34"/>
      <c r="D80" s="34"/>
      <c r="E80" s="34"/>
      <c r="F80" s="79"/>
      <c r="G80" s="79"/>
      <c r="H80" s="79"/>
      <c r="I80" s="79"/>
      <c r="J80" s="79"/>
      <c r="K80" s="34"/>
      <c r="L80" s="34"/>
      <c r="M80" s="34"/>
      <c r="N80" s="34"/>
    </row>
    <row r="81" spans="2:14" x14ac:dyDescent="0.2">
      <c r="B81" s="34"/>
      <c r="C81" s="34"/>
      <c r="D81" s="34"/>
      <c r="E81" s="34"/>
      <c r="F81" s="79"/>
      <c r="G81" s="79"/>
      <c r="H81" s="79"/>
      <c r="I81" s="79"/>
      <c r="J81" s="79"/>
      <c r="K81" s="34"/>
      <c r="L81" s="34"/>
      <c r="M81" s="34"/>
      <c r="N81" s="34"/>
    </row>
    <row r="82" spans="2:14" x14ac:dyDescent="0.2">
      <c r="B82" s="34"/>
      <c r="C82" s="34"/>
      <c r="D82" s="34"/>
      <c r="E82" s="34"/>
      <c r="F82" s="79"/>
      <c r="G82" s="79"/>
      <c r="H82" s="79"/>
      <c r="I82" s="79"/>
      <c r="J82" s="79"/>
      <c r="K82" s="34"/>
      <c r="L82" s="34"/>
      <c r="M82" s="34"/>
      <c r="N82" s="34"/>
    </row>
    <row r="83" spans="2:14" x14ac:dyDescent="0.2">
      <c r="B83" s="34"/>
      <c r="C83" s="34"/>
      <c r="D83" s="34"/>
      <c r="E83" s="34"/>
      <c r="F83" s="79"/>
      <c r="G83" s="79"/>
      <c r="H83" s="79"/>
      <c r="I83" s="79"/>
      <c r="J83" s="79"/>
      <c r="K83" s="34"/>
      <c r="L83" s="34"/>
      <c r="M83" s="34"/>
      <c r="N83" s="34"/>
    </row>
    <row r="84" spans="2:14" x14ac:dyDescent="0.2">
      <c r="B84" s="34"/>
      <c r="C84" s="34"/>
      <c r="D84" s="34"/>
      <c r="E84" s="34"/>
      <c r="F84" s="79"/>
      <c r="G84" s="79"/>
      <c r="H84" s="79"/>
      <c r="I84" s="79"/>
      <c r="J84" s="79"/>
      <c r="K84" s="34"/>
      <c r="L84" s="34"/>
      <c r="M84" s="34"/>
      <c r="N84" s="34"/>
    </row>
    <row r="85" spans="2:14" x14ac:dyDescent="0.2">
      <c r="B85" s="34"/>
      <c r="C85" s="34"/>
      <c r="D85" s="34"/>
      <c r="E85" s="34"/>
      <c r="F85" s="79"/>
      <c r="G85" s="79"/>
      <c r="H85" s="79"/>
      <c r="I85" s="79"/>
      <c r="J85" s="79"/>
      <c r="K85" s="34"/>
      <c r="L85" s="34"/>
      <c r="M85" s="34"/>
      <c r="N85" s="34"/>
    </row>
    <row r="86" spans="2:14" x14ac:dyDescent="0.2">
      <c r="B86" s="34"/>
      <c r="C86" s="34"/>
      <c r="D86" s="34"/>
      <c r="E86" s="34"/>
      <c r="F86" s="79"/>
      <c r="G86" s="79"/>
      <c r="H86" s="79"/>
      <c r="I86" s="79"/>
      <c r="J86" s="79"/>
      <c r="K86" s="34"/>
      <c r="L86" s="34"/>
      <c r="M86" s="34"/>
      <c r="N86" s="34"/>
    </row>
    <row r="87" spans="2:14" x14ac:dyDescent="0.2">
      <c r="B87" s="34"/>
      <c r="C87" s="34"/>
      <c r="D87" s="34"/>
      <c r="E87" s="34"/>
      <c r="F87" s="79"/>
      <c r="G87" s="79"/>
      <c r="H87" s="79"/>
      <c r="I87" s="79"/>
      <c r="J87" s="79"/>
      <c r="K87" s="34"/>
      <c r="L87" s="34"/>
      <c r="M87" s="34"/>
      <c r="N87" s="34"/>
    </row>
    <row r="88" spans="2:14" x14ac:dyDescent="0.2">
      <c r="B88" s="34"/>
      <c r="C88" s="34"/>
      <c r="D88" s="34"/>
      <c r="E88" s="34"/>
      <c r="F88" s="79"/>
      <c r="G88" s="79"/>
      <c r="H88" s="79"/>
      <c r="I88" s="79"/>
      <c r="J88" s="79"/>
      <c r="K88" s="34"/>
      <c r="L88" s="34"/>
      <c r="M88" s="34"/>
      <c r="N88" s="34"/>
    </row>
    <row r="89" spans="2:14" x14ac:dyDescent="0.2">
      <c r="B89" s="34"/>
      <c r="C89" s="34"/>
      <c r="D89" s="34"/>
      <c r="E89" s="34"/>
      <c r="F89" s="79"/>
      <c r="G89" s="79"/>
      <c r="H89" s="79"/>
      <c r="I89" s="79"/>
      <c r="J89" s="79"/>
      <c r="K89" s="34"/>
      <c r="L89" s="34"/>
      <c r="M89" s="34"/>
      <c r="N89" s="34"/>
    </row>
    <row r="90" spans="2:14" x14ac:dyDescent="0.2">
      <c r="B90" s="34"/>
      <c r="C90" s="34"/>
      <c r="D90" s="34"/>
      <c r="E90" s="34"/>
      <c r="F90" s="79"/>
      <c r="G90" s="79"/>
      <c r="H90" s="79"/>
      <c r="I90" s="79"/>
      <c r="J90" s="79"/>
      <c r="K90" s="34"/>
      <c r="L90" s="34"/>
      <c r="M90" s="34"/>
      <c r="N90" s="34"/>
    </row>
    <row r="91" spans="2:14" x14ac:dyDescent="0.2">
      <c r="B91" s="34"/>
      <c r="C91" s="34"/>
      <c r="D91" s="34"/>
      <c r="E91" s="34"/>
      <c r="F91" s="79"/>
      <c r="G91" s="79"/>
      <c r="H91" s="79"/>
      <c r="I91" s="79"/>
      <c r="J91" s="79"/>
      <c r="K91" s="34"/>
      <c r="L91" s="34"/>
      <c r="M91" s="34"/>
      <c r="N91" s="34"/>
    </row>
    <row r="92" spans="2:14" x14ac:dyDescent="0.2">
      <c r="B92" s="34"/>
      <c r="C92" s="34"/>
      <c r="D92" s="34"/>
      <c r="E92" s="34"/>
      <c r="F92" s="79"/>
      <c r="G92" s="79"/>
      <c r="H92" s="79"/>
      <c r="I92" s="79"/>
      <c r="J92" s="79"/>
      <c r="K92" s="34"/>
      <c r="L92" s="34"/>
      <c r="M92" s="34"/>
      <c r="N92" s="34"/>
    </row>
    <row r="93" spans="2:14" x14ac:dyDescent="0.2">
      <c r="B93" s="34"/>
      <c r="C93" s="34"/>
      <c r="D93" s="34"/>
      <c r="E93" s="34"/>
      <c r="F93" s="79"/>
      <c r="G93" s="79"/>
      <c r="H93" s="79"/>
      <c r="I93" s="79"/>
      <c r="J93" s="79"/>
      <c r="K93" s="34"/>
      <c r="L93" s="34"/>
      <c r="M93" s="34"/>
      <c r="N93" s="34"/>
    </row>
    <row r="94" spans="2:14" x14ac:dyDescent="0.2">
      <c r="B94" s="34"/>
      <c r="C94" s="34"/>
      <c r="D94" s="34"/>
      <c r="E94" s="34"/>
      <c r="F94" s="79"/>
      <c r="G94" s="79"/>
      <c r="H94" s="79"/>
      <c r="I94" s="79"/>
      <c r="J94" s="79"/>
      <c r="K94" s="34"/>
      <c r="L94" s="34"/>
      <c r="M94" s="34"/>
      <c r="N94" s="34"/>
    </row>
    <row r="95" spans="2:14" x14ac:dyDescent="0.2">
      <c r="B95" s="34"/>
      <c r="C95" s="34"/>
      <c r="D95" s="34"/>
      <c r="E95" s="34"/>
      <c r="F95" s="79"/>
      <c r="G95" s="79"/>
      <c r="H95" s="79"/>
      <c r="I95" s="79"/>
      <c r="J95" s="79"/>
      <c r="K95" s="34"/>
      <c r="L95" s="34"/>
      <c r="M95" s="34"/>
      <c r="N95" s="34"/>
    </row>
    <row r="96" spans="2:14" x14ac:dyDescent="0.2">
      <c r="B96" s="34"/>
      <c r="C96" s="34"/>
      <c r="D96" s="34"/>
      <c r="E96" s="34"/>
      <c r="F96" s="79"/>
      <c r="G96" s="79"/>
      <c r="H96" s="79"/>
      <c r="I96" s="79"/>
      <c r="J96" s="79"/>
      <c r="K96" s="34"/>
      <c r="L96" s="34"/>
      <c r="M96" s="34"/>
      <c r="N96" s="34"/>
    </row>
    <row r="97" spans="2:14" x14ac:dyDescent="0.2">
      <c r="B97" s="34"/>
      <c r="C97" s="34"/>
      <c r="D97" s="34"/>
      <c r="E97" s="34"/>
      <c r="F97" s="79"/>
      <c r="G97" s="79"/>
      <c r="H97" s="79"/>
      <c r="I97" s="79"/>
      <c r="J97" s="79"/>
      <c r="K97" s="34"/>
      <c r="L97" s="34"/>
      <c r="M97" s="34"/>
      <c r="N97" s="34"/>
    </row>
    <row r="98" spans="2:14" x14ac:dyDescent="0.2">
      <c r="B98" s="34"/>
      <c r="C98" s="34"/>
      <c r="D98" s="34"/>
      <c r="E98" s="34"/>
      <c r="F98" s="79"/>
      <c r="G98" s="79"/>
      <c r="H98" s="79"/>
      <c r="I98" s="79"/>
      <c r="J98" s="79"/>
      <c r="K98" s="34"/>
      <c r="L98" s="34"/>
      <c r="M98" s="34"/>
      <c r="N98" s="34"/>
    </row>
    <row r="99" spans="2:14" x14ac:dyDescent="0.2">
      <c r="B99" s="34"/>
      <c r="C99" s="34"/>
      <c r="D99" s="34"/>
      <c r="E99" s="34"/>
      <c r="F99" s="79"/>
      <c r="G99" s="79"/>
      <c r="H99" s="79"/>
      <c r="I99" s="79"/>
      <c r="J99" s="79"/>
      <c r="K99" s="34"/>
      <c r="L99" s="34"/>
      <c r="M99" s="34"/>
      <c r="N99" s="34"/>
    </row>
    <row r="100" spans="2:14" x14ac:dyDescent="0.2">
      <c r="B100" s="34"/>
      <c r="C100" s="34"/>
      <c r="D100" s="34"/>
      <c r="E100" s="34"/>
      <c r="F100" s="79"/>
      <c r="G100" s="79"/>
      <c r="H100" s="79"/>
      <c r="I100" s="79"/>
      <c r="J100" s="79"/>
      <c r="K100" s="34"/>
      <c r="L100" s="34"/>
      <c r="M100" s="34"/>
      <c r="N100" s="34"/>
    </row>
    <row r="101" spans="2:14" x14ac:dyDescent="0.2">
      <c r="B101" s="34"/>
      <c r="C101" s="34"/>
      <c r="D101" s="34"/>
      <c r="E101" s="34"/>
      <c r="F101" s="79"/>
      <c r="G101" s="79"/>
      <c r="H101" s="79"/>
      <c r="I101" s="79"/>
      <c r="J101" s="79"/>
      <c r="K101" s="34"/>
      <c r="L101" s="34"/>
      <c r="M101" s="34"/>
      <c r="N101" s="34"/>
    </row>
    <row r="102" spans="2:14" x14ac:dyDescent="0.2">
      <c r="B102" s="34"/>
      <c r="C102" s="34"/>
      <c r="D102" s="34"/>
      <c r="E102" s="34"/>
      <c r="F102" s="79"/>
      <c r="G102" s="79"/>
      <c r="H102" s="79"/>
      <c r="I102" s="79"/>
      <c r="J102" s="79"/>
      <c r="K102" s="34"/>
      <c r="L102" s="34"/>
      <c r="M102" s="34"/>
      <c r="N102" s="34"/>
    </row>
    <row r="103" spans="2:14" x14ac:dyDescent="0.2">
      <c r="B103" s="34"/>
      <c r="C103" s="34"/>
      <c r="D103" s="34"/>
      <c r="E103" s="34"/>
      <c r="F103" s="79"/>
      <c r="G103" s="79"/>
      <c r="H103" s="79"/>
      <c r="I103" s="79"/>
      <c r="J103" s="79"/>
      <c r="K103" s="34"/>
      <c r="L103" s="34"/>
      <c r="M103" s="34"/>
      <c r="N103" s="34"/>
    </row>
    <row r="104" spans="2:14" x14ac:dyDescent="0.2">
      <c r="B104" s="34"/>
      <c r="C104" s="34"/>
      <c r="D104" s="34"/>
      <c r="E104" s="34"/>
      <c r="F104" s="79"/>
      <c r="G104" s="79"/>
      <c r="H104" s="79"/>
      <c r="I104" s="79"/>
      <c r="J104" s="79"/>
      <c r="K104" s="34"/>
      <c r="L104" s="34"/>
      <c r="M104" s="34"/>
      <c r="N104" s="34"/>
    </row>
    <row r="105" spans="2:14" x14ac:dyDescent="0.2">
      <c r="B105" s="34"/>
      <c r="C105" s="34"/>
      <c r="D105" s="34"/>
      <c r="E105" s="34"/>
      <c r="F105" s="79"/>
      <c r="G105" s="79"/>
      <c r="H105" s="79"/>
      <c r="I105" s="79"/>
      <c r="J105" s="79"/>
      <c r="K105" s="34"/>
      <c r="L105" s="34"/>
      <c r="M105" s="34"/>
      <c r="N105" s="34"/>
    </row>
    <row r="106" spans="2:14" x14ac:dyDescent="0.2">
      <c r="B106" s="34"/>
      <c r="C106" s="34"/>
      <c r="D106" s="34"/>
      <c r="E106" s="34"/>
      <c r="F106" s="79"/>
      <c r="G106" s="79"/>
      <c r="H106" s="79"/>
      <c r="I106" s="79"/>
      <c r="J106" s="79"/>
      <c r="K106" s="34"/>
      <c r="L106" s="34"/>
      <c r="M106" s="34"/>
      <c r="N106" s="34"/>
    </row>
    <row r="107" spans="2:14" x14ac:dyDescent="0.2">
      <c r="B107" s="34"/>
      <c r="C107" s="34"/>
      <c r="D107" s="34"/>
      <c r="E107" s="34"/>
      <c r="F107" s="79"/>
      <c r="G107" s="79"/>
      <c r="H107" s="79"/>
      <c r="I107" s="79"/>
      <c r="J107" s="79"/>
      <c r="K107" s="34"/>
      <c r="L107" s="34"/>
      <c r="M107" s="34"/>
      <c r="N107" s="34"/>
    </row>
    <row r="108" spans="2:14" x14ac:dyDescent="0.2">
      <c r="B108" s="34"/>
      <c r="C108" s="34"/>
      <c r="D108" s="34"/>
      <c r="E108" s="34"/>
      <c r="F108" s="79"/>
      <c r="G108" s="79"/>
      <c r="H108" s="79"/>
      <c r="I108" s="79"/>
      <c r="J108" s="79"/>
      <c r="K108" s="34"/>
      <c r="L108" s="34"/>
      <c r="M108" s="34"/>
      <c r="N108" s="34"/>
    </row>
    <row r="109" spans="2:14" x14ac:dyDescent="0.2">
      <c r="B109" s="34"/>
      <c r="C109" s="34"/>
      <c r="D109" s="34"/>
      <c r="E109" s="34"/>
      <c r="F109" s="79"/>
      <c r="G109" s="79"/>
      <c r="H109" s="79"/>
      <c r="I109" s="79"/>
      <c r="J109" s="79"/>
      <c r="K109" s="34"/>
      <c r="L109" s="34"/>
      <c r="M109" s="34"/>
      <c r="N109" s="34"/>
    </row>
    <row r="110" spans="2:14" x14ac:dyDescent="0.2">
      <c r="B110" s="34"/>
      <c r="C110" s="34"/>
      <c r="D110" s="34"/>
      <c r="E110" s="34"/>
      <c r="F110" s="79"/>
      <c r="G110" s="79"/>
      <c r="H110" s="79"/>
      <c r="I110" s="79"/>
      <c r="J110" s="79"/>
      <c r="K110" s="34"/>
      <c r="L110" s="34"/>
      <c r="M110" s="34"/>
      <c r="N110" s="34"/>
    </row>
    <row r="111" spans="2:14" x14ac:dyDescent="0.2">
      <c r="B111" s="34"/>
      <c r="C111" s="34"/>
      <c r="D111" s="34"/>
      <c r="E111" s="34"/>
      <c r="F111" s="79"/>
      <c r="G111" s="79"/>
      <c r="H111" s="79"/>
      <c r="I111" s="79"/>
      <c r="J111" s="79"/>
      <c r="K111" s="34"/>
      <c r="L111" s="34"/>
      <c r="M111" s="34"/>
      <c r="N111" s="34"/>
    </row>
    <row r="112" spans="2:14" x14ac:dyDescent="0.2">
      <c r="B112" s="34"/>
      <c r="C112" s="34"/>
      <c r="D112" s="34"/>
      <c r="E112" s="34"/>
      <c r="F112" s="79"/>
      <c r="G112" s="79"/>
      <c r="H112" s="79"/>
      <c r="I112" s="79"/>
      <c r="J112" s="79"/>
      <c r="K112" s="34"/>
      <c r="L112" s="34"/>
      <c r="M112" s="34"/>
      <c r="N112" s="34"/>
    </row>
    <row r="113" spans="2:14" x14ac:dyDescent="0.2">
      <c r="B113" s="34"/>
      <c r="C113" s="34"/>
      <c r="D113" s="34"/>
      <c r="E113" s="34"/>
      <c r="F113" s="79"/>
      <c r="G113" s="79"/>
      <c r="H113" s="79"/>
      <c r="I113" s="79"/>
      <c r="J113" s="79"/>
      <c r="K113" s="34"/>
      <c r="L113" s="34"/>
      <c r="M113" s="34"/>
      <c r="N113" s="34"/>
    </row>
    <row r="114" spans="2:14" x14ac:dyDescent="0.2">
      <c r="B114" s="34"/>
      <c r="C114" s="34"/>
      <c r="D114" s="34"/>
      <c r="E114" s="34"/>
      <c r="F114" s="79"/>
      <c r="G114" s="79"/>
      <c r="H114" s="79"/>
      <c r="I114" s="79"/>
      <c r="J114" s="79"/>
      <c r="K114" s="34"/>
      <c r="L114" s="34"/>
      <c r="M114" s="34"/>
      <c r="N114" s="34"/>
    </row>
    <row r="115" spans="2:14" x14ac:dyDescent="0.2">
      <c r="B115" s="34"/>
      <c r="C115" s="34"/>
      <c r="D115" s="34"/>
      <c r="E115" s="34"/>
      <c r="F115" s="79"/>
      <c r="G115" s="79"/>
      <c r="H115" s="79"/>
      <c r="I115" s="79"/>
      <c r="J115" s="79"/>
      <c r="K115" s="34"/>
      <c r="L115" s="34"/>
      <c r="M115" s="34"/>
      <c r="N115" s="34"/>
    </row>
    <row r="116" spans="2:14" x14ac:dyDescent="0.2">
      <c r="B116" s="34"/>
      <c r="C116" s="34"/>
      <c r="D116" s="34"/>
      <c r="E116" s="34"/>
      <c r="F116" s="79"/>
      <c r="G116" s="79"/>
      <c r="H116" s="79"/>
      <c r="I116" s="79"/>
      <c r="J116" s="79"/>
      <c r="K116" s="34"/>
      <c r="L116" s="34"/>
      <c r="M116" s="34"/>
      <c r="N116" s="34"/>
    </row>
    <row r="117" spans="2:14" x14ac:dyDescent="0.2">
      <c r="B117" s="34"/>
      <c r="C117" s="34"/>
      <c r="D117" s="34"/>
      <c r="E117" s="34"/>
      <c r="F117" s="79"/>
      <c r="G117" s="79"/>
      <c r="H117" s="79"/>
      <c r="I117" s="79"/>
      <c r="J117" s="79"/>
      <c r="K117" s="34"/>
      <c r="L117" s="34"/>
      <c r="M117" s="34"/>
      <c r="N117" s="34"/>
    </row>
    <row r="118" spans="2:14" x14ac:dyDescent="0.2">
      <c r="B118" s="34"/>
      <c r="C118" s="34"/>
      <c r="D118" s="34"/>
      <c r="E118" s="34"/>
      <c r="F118" s="79"/>
      <c r="G118" s="79"/>
      <c r="H118" s="79"/>
      <c r="I118" s="79"/>
      <c r="J118" s="79"/>
      <c r="K118" s="34"/>
      <c r="L118" s="34"/>
      <c r="M118" s="34"/>
      <c r="N118" s="34"/>
    </row>
    <row r="119" spans="2:14" x14ac:dyDescent="0.2">
      <c r="B119" s="34"/>
      <c r="C119" s="34"/>
      <c r="D119" s="34"/>
      <c r="E119" s="34"/>
      <c r="F119" s="79"/>
      <c r="G119" s="79"/>
      <c r="H119" s="79"/>
      <c r="I119" s="79"/>
      <c r="J119" s="79"/>
      <c r="K119" s="34"/>
      <c r="L119" s="34"/>
      <c r="M119" s="34"/>
      <c r="N119" s="34"/>
    </row>
    <row r="120" spans="2:14" x14ac:dyDescent="0.2">
      <c r="B120" s="34"/>
      <c r="C120" s="34"/>
      <c r="D120" s="34"/>
      <c r="E120" s="34"/>
      <c r="F120" s="79"/>
      <c r="G120" s="79"/>
      <c r="H120" s="79"/>
      <c r="I120" s="79"/>
      <c r="J120" s="79"/>
      <c r="K120" s="34"/>
      <c r="L120" s="34"/>
      <c r="M120" s="34"/>
      <c r="N120" s="34"/>
    </row>
    <row r="121" spans="2:14" x14ac:dyDescent="0.2">
      <c r="B121" s="34"/>
      <c r="C121" s="34"/>
      <c r="D121" s="34"/>
      <c r="E121" s="34"/>
      <c r="F121" s="79"/>
      <c r="G121" s="79"/>
      <c r="H121" s="79"/>
      <c r="I121" s="79"/>
      <c r="J121" s="79"/>
      <c r="K121" s="34"/>
      <c r="L121" s="34"/>
      <c r="M121" s="34"/>
      <c r="N121" s="34"/>
    </row>
    <row r="122" spans="2:14" x14ac:dyDescent="0.2">
      <c r="B122" s="34"/>
      <c r="C122" s="34"/>
      <c r="D122" s="34"/>
      <c r="E122" s="34"/>
      <c r="F122" s="79"/>
      <c r="G122" s="79"/>
      <c r="H122" s="79"/>
      <c r="I122" s="79"/>
      <c r="J122" s="79"/>
      <c r="K122" s="34"/>
      <c r="L122" s="34"/>
      <c r="M122" s="34"/>
      <c r="N122" s="34"/>
    </row>
    <row r="123" spans="2:14" x14ac:dyDescent="0.2">
      <c r="B123" s="34"/>
      <c r="C123" s="34"/>
      <c r="D123" s="34"/>
      <c r="E123" s="34"/>
      <c r="F123" s="79"/>
      <c r="G123" s="79"/>
      <c r="H123" s="79"/>
      <c r="I123" s="79"/>
      <c r="J123" s="79"/>
      <c r="K123" s="34"/>
      <c r="L123" s="34"/>
      <c r="M123" s="34"/>
      <c r="N123" s="34"/>
    </row>
    <row r="124" spans="2:14" x14ac:dyDescent="0.2">
      <c r="B124" s="34"/>
      <c r="C124" s="34"/>
      <c r="D124" s="34"/>
      <c r="E124" s="34"/>
      <c r="F124" s="79"/>
      <c r="G124" s="79"/>
      <c r="H124" s="79"/>
      <c r="I124" s="79"/>
      <c r="J124" s="79"/>
      <c r="K124" s="34"/>
      <c r="L124" s="34"/>
      <c r="M124" s="34"/>
      <c r="N124" s="34"/>
    </row>
    <row r="125" spans="2:14" x14ac:dyDescent="0.2">
      <c r="B125" s="34"/>
      <c r="C125" s="34"/>
      <c r="D125" s="34"/>
      <c r="E125" s="34"/>
      <c r="F125" s="79"/>
      <c r="G125" s="79"/>
      <c r="H125" s="79"/>
      <c r="I125" s="79"/>
      <c r="J125" s="79"/>
      <c r="K125" s="34"/>
      <c r="L125" s="34"/>
      <c r="M125" s="34"/>
      <c r="N125" s="34"/>
    </row>
    <row r="126" spans="2:14" x14ac:dyDescent="0.2">
      <c r="B126" s="34"/>
      <c r="C126" s="34"/>
      <c r="D126" s="34"/>
      <c r="E126" s="34"/>
      <c r="F126" s="79"/>
      <c r="G126" s="79"/>
      <c r="H126" s="79"/>
      <c r="I126" s="79"/>
      <c r="J126" s="79"/>
      <c r="K126" s="34"/>
      <c r="L126" s="34"/>
      <c r="M126" s="34"/>
      <c r="N126" s="34"/>
    </row>
    <row r="127" spans="2:14" x14ac:dyDescent="0.2">
      <c r="B127" s="34"/>
      <c r="C127" s="34"/>
      <c r="D127" s="34"/>
      <c r="E127" s="34"/>
      <c r="F127" s="79"/>
      <c r="G127" s="79"/>
      <c r="H127" s="79"/>
      <c r="I127" s="79"/>
      <c r="J127" s="79"/>
      <c r="K127" s="34"/>
      <c r="L127" s="34"/>
      <c r="M127" s="34"/>
      <c r="N127" s="34"/>
    </row>
    <row r="128" spans="2:14" x14ac:dyDescent="0.2">
      <c r="B128" s="34"/>
      <c r="C128" s="34"/>
      <c r="D128" s="34"/>
      <c r="E128" s="34"/>
      <c r="F128" s="79"/>
      <c r="G128" s="79"/>
      <c r="H128" s="79"/>
      <c r="I128" s="79"/>
      <c r="J128" s="79"/>
      <c r="K128" s="34"/>
      <c r="L128" s="34"/>
      <c r="M128" s="34"/>
      <c r="N128" s="34"/>
    </row>
    <row r="129" spans="2:14" x14ac:dyDescent="0.2">
      <c r="B129" s="34"/>
      <c r="C129" s="34"/>
      <c r="D129" s="34"/>
      <c r="E129" s="34"/>
      <c r="F129" s="79"/>
      <c r="G129" s="79"/>
      <c r="H129" s="79"/>
      <c r="I129" s="79"/>
      <c r="J129" s="79"/>
      <c r="K129" s="34"/>
      <c r="L129" s="34"/>
      <c r="M129" s="34"/>
      <c r="N129" s="34"/>
    </row>
    <row r="130" spans="2:14" x14ac:dyDescent="0.2">
      <c r="B130" s="34"/>
      <c r="C130" s="34"/>
      <c r="D130" s="34"/>
      <c r="E130" s="34"/>
      <c r="F130" s="79"/>
      <c r="G130" s="79"/>
      <c r="H130" s="79"/>
      <c r="I130" s="79"/>
      <c r="J130" s="79"/>
      <c r="K130" s="34"/>
      <c r="L130" s="34"/>
      <c r="M130" s="34"/>
      <c r="N130" s="34"/>
    </row>
    <row r="131" spans="2:14" x14ac:dyDescent="0.2">
      <c r="B131" s="34"/>
      <c r="C131" s="34"/>
      <c r="D131" s="34"/>
      <c r="E131" s="34"/>
      <c r="F131" s="79"/>
      <c r="G131" s="79"/>
      <c r="H131" s="79"/>
      <c r="I131" s="79"/>
      <c r="J131" s="79"/>
      <c r="K131" s="34"/>
      <c r="L131" s="34"/>
      <c r="M131" s="34"/>
      <c r="N131" s="34"/>
    </row>
    <row r="132" spans="2:14" x14ac:dyDescent="0.2">
      <c r="B132" s="34"/>
      <c r="C132" s="34"/>
      <c r="D132" s="34"/>
      <c r="E132" s="34"/>
      <c r="F132" s="79"/>
      <c r="G132" s="79"/>
      <c r="H132" s="79"/>
      <c r="I132" s="79"/>
      <c r="J132" s="79"/>
      <c r="K132" s="34"/>
      <c r="L132" s="34"/>
      <c r="M132" s="34"/>
      <c r="N132" s="34"/>
    </row>
    <row r="133" spans="2:14" x14ac:dyDescent="0.2">
      <c r="B133" s="34"/>
      <c r="C133" s="34"/>
      <c r="D133" s="34"/>
      <c r="E133" s="34"/>
      <c r="F133" s="79"/>
      <c r="G133" s="79"/>
      <c r="H133" s="79"/>
      <c r="I133" s="79"/>
      <c r="J133" s="79"/>
      <c r="K133" s="34"/>
      <c r="L133" s="34"/>
      <c r="M133" s="34"/>
      <c r="N133" s="34"/>
    </row>
    <row r="134" spans="2:14" x14ac:dyDescent="0.2">
      <c r="B134" s="34"/>
      <c r="C134" s="34"/>
      <c r="D134" s="34"/>
      <c r="E134" s="34"/>
      <c r="F134" s="79"/>
      <c r="G134" s="79"/>
      <c r="H134" s="79"/>
      <c r="I134" s="79"/>
      <c r="J134" s="79"/>
      <c r="K134" s="34"/>
      <c r="L134" s="34"/>
      <c r="M134" s="34"/>
      <c r="N134" s="34"/>
    </row>
    <row r="135" spans="2:14" x14ac:dyDescent="0.2">
      <c r="B135" s="34"/>
      <c r="C135" s="34"/>
      <c r="D135" s="34"/>
      <c r="E135" s="34"/>
      <c r="F135" s="79"/>
      <c r="G135" s="79"/>
      <c r="H135" s="79"/>
      <c r="I135" s="79"/>
      <c r="J135" s="79"/>
      <c r="K135" s="34"/>
      <c r="L135" s="34"/>
      <c r="M135" s="34"/>
      <c r="N135" s="34"/>
    </row>
    <row r="136" spans="2:14" x14ac:dyDescent="0.2">
      <c r="B136" s="34"/>
      <c r="C136" s="34"/>
      <c r="D136" s="34"/>
      <c r="E136" s="34"/>
      <c r="F136" s="79"/>
      <c r="G136" s="79"/>
      <c r="H136" s="79"/>
      <c r="I136" s="79"/>
      <c r="J136" s="79"/>
      <c r="K136" s="34"/>
      <c r="L136" s="34"/>
      <c r="M136" s="34"/>
      <c r="N136" s="34"/>
    </row>
    <row r="137" spans="2:14" x14ac:dyDescent="0.2">
      <c r="B137" s="34"/>
      <c r="C137" s="34"/>
      <c r="D137" s="34"/>
      <c r="E137" s="34"/>
      <c r="F137" s="79"/>
      <c r="G137" s="79"/>
      <c r="H137" s="79"/>
      <c r="I137" s="79"/>
      <c r="J137" s="79"/>
      <c r="K137" s="34"/>
      <c r="L137" s="34"/>
      <c r="M137" s="34"/>
      <c r="N137" s="34"/>
    </row>
    <row r="138" spans="2:14" x14ac:dyDescent="0.2">
      <c r="B138" s="34"/>
      <c r="C138" s="34"/>
      <c r="D138" s="34"/>
      <c r="E138" s="34"/>
      <c r="F138" s="79"/>
      <c r="G138" s="79"/>
      <c r="H138" s="79"/>
      <c r="I138" s="79"/>
      <c r="J138" s="79"/>
      <c r="K138" s="34"/>
      <c r="L138" s="34"/>
      <c r="M138" s="34"/>
      <c r="N138" s="34"/>
    </row>
    <row r="139" spans="2:14" x14ac:dyDescent="0.2">
      <c r="B139" s="34"/>
      <c r="C139" s="34"/>
      <c r="D139" s="34"/>
      <c r="E139" s="34"/>
      <c r="F139" s="79"/>
      <c r="G139" s="79"/>
      <c r="H139" s="79"/>
      <c r="I139" s="79"/>
      <c r="J139" s="79"/>
      <c r="K139" s="34"/>
      <c r="L139" s="34"/>
      <c r="M139" s="34"/>
      <c r="N139" s="34"/>
    </row>
    <row r="140" spans="2:14" x14ac:dyDescent="0.2">
      <c r="B140" s="34"/>
      <c r="C140" s="34"/>
      <c r="D140" s="34"/>
      <c r="E140" s="34"/>
      <c r="F140" s="79"/>
      <c r="G140" s="79"/>
      <c r="H140" s="79"/>
      <c r="I140" s="79"/>
      <c r="J140" s="79"/>
      <c r="K140" s="34"/>
      <c r="L140" s="34"/>
      <c r="M140" s="34"/>
      <c r="N140" s="34"/>
    </row>
    <row r="141" spans="2:14" x14ac:dyDescent="0.2">
      <c r="B141" s="34"/>
      <c r="C141" s="34"/>
      <c r="D141" s="34"/>
      <c r="E141" s="34"/>
      <c r="F141" s="79"/>
      <c r="G141" s="79"/>
      <c r="H141" s="79"/>
      <c r="I141" s="79"/>
      <c r="J141" s="79"/>
      <c r="K141" s="34"/>
      <c r="L141" s="34"/>
      <c r="M141" s="34"/>
      <c r="N141" s="34"/>
    </row>
    <row r="142" spans="2:14" x14ac:dyDescent="0.2">
      <c r="B142" s="34"/>
      <c r="C142" s="34"/>
      <c r="D142" s="34"/>
      <c r="E142" s="34"/>
      <c r="F142" s="79"/>
      <c r="G142" s="79"/>
      <c r="H142" s="79"/>
      <c r="I142" s="79"/>
      <c r="J142" s="79"/>
      <c r="K142" s="34"/>
      <c r="L142" s="34"/>
      <c r="M142" s="34"/>
      <c r="N142" s="34"/>
    </row>
    <row r="143" spans="2:14" x14ac:dyDescent="0.2">
      <c r="B143" s="34"/>
      <c r="C143" s="34"/>
      <c r="D143" s="34"/>
      <c r="E143" s="34"/>
      <c r="F143" s="79"/>
      <c r="G143" s="79"/>
      <c r="H143" s="79"/>
      <c r="I143" s="79"/>
      <c r="J143" s="79"/>
      <c r="K143" s="34"/>
      <c r="L143" s="34"/>
      <c r="M143" s="34"/>
      <c r="N143" s="34"/>
    </row>
    <row r="144" spans="2:14" x14ac:dyDescent="0.2">
      <c r="B144" s="34"/>
      <c r="C144" s="34"/>
      <c r="D144" s="34"/>
      <c r="E144" s="34"/>
      <c r="F144" s="79"/>
      <c r="G144" s="79"/>
      <c r="H144" s="79"/>
      <c r="I144" s="79"/>
      <c r="J144" s="79"/>
      <c r="K144" s="34"/>
      <c r="L144" s="34"/>
      <c r="M144" s="34"/>
      <c r="N144" s="34"/>
    </row>
    <row r="145" spans="2:14" x14ac:dyDescent="0.2">
      <c r="B145" s="34"/>
      <c r="C145" s="34"/>
      <c r="D145" s="34"/>
      <c r="E145" s="34"/>
      <c r="F145" s="79"/>
      <c r="G145" s="79"/>
      <c r="H145" s="79"/>
      <c r="I145" s="79"/>
      <c r="J145" s="79"/>
      <c r="K145" s="34"/>
      <c r="L145" s="34"/>
      <c r="M145" s="34"/>
      <c r="N145" s="34"/>
    </row>
    <row r="146" spans="2:14" x14ac:dyDescent="0.2">
      <c r="B146" s="34"/>
      <c r="C146" s="34"/>
      <c r="D146" s="34"/>
      <c r="E146" s="34"/>
      <c r="F146" s="79"/>
      <c r="G146" s="79"/>
      <c r="H146" s="79"/>
      <c r="I146" s="79"/>
      <c r="J146" s="79"/>
      <c r="K146" s="34"/>
      <c r="L146" s="34"/>
      <c r="M146" s="34"/>
      <c r="N146" s="34"/>
    </row>
    <row r="147" spans="2:14" x14ac:dyDescent="0.2">
      <c r="B147" s="34"/>
      <c r="C147" s="34"/>
      <c r="D147" s="34"/>
      <c r="E147" s="34"/>
      <c r="F147" s="79"/>
      <c r="G147" s="79"/>
      <c r="H147" s="79"/>
      <c r="I147" s="79"/>
      <c r="J147" s="79"/>
      <c r="K147" s="34"/>
      <c r="L147" s="34"/>
      <c r="M147" s="34"/>
      <c r="N147" s="34"/>
    </row>
    <row r="148" spans="2:14" x14ac:dyDescent="0.2">
      <c r="B148" s="34"/>
      <c r="C148" s="34"/>
      <c r="D148" s="34"/>
      <c r="E148" s="34"/>
      <c r="F148" s="79"/>
      <c r="G148" s="79"/>
      <c r="H148" s="79"/>
      <c r="I148" s="79"/>
      <c r="J148" s="79"/>
      <c r="K148" s="34"/>
      <c r="L148" s="34"/>
      <c r="M148" s="34"/>
      <c r="N148" s="34"/>
    </row>
    <row r="149" spans="2:14" x14ac:dyDescent="0.2">
      <c r="B149" s="34"/>
      <c r="C149" s="34"/>
      <c r="D149" s="34"/>
      <c r="E149" s="34"/>
      <c r="F149" s="79"/>
      <c r="G149" s="79"/>
      <c r="H149" s="79"/>
      <c r="I149" s="79"/>
      <c r="J149" s="79"/>
      <c r="K149" s="34"/>
      <c r="L149" s="34"/>
      <c r="M149" s="34"/>
      <c r="N149" s="34"/>
    </row>
    <row r="150" spans="2:14" x14ac:dyDescent="0.2">
      <c r="B150" s="34"/>
      <c r="C150" s="34"/>
      <c r="D150" s="34"/>
      <c r="E150" s="34"/>
      <c r="F150" s="79"/>
      <c r="G150" s="79"/>
      <c r="H150" s="79"/>
      <c r="I150" s="79"/>
      <c r="J150" s="79"/>
      <c r="K150" s="34"/>
      <c r="L150" s="34"/>
      <c r="M150" s="34"/>
      <c r="N150" s="34"/>
    </row>
    <row r="151" spans="2:14" x14ac:dyDescent="0.2">
      <c r="B151" s="34"/>
      <c r="C151" s="34"/>
      <c r="D151" s="34"/>
      <c r="E151" s="34"/>
      <c r="F151" s="79"/>
      <c r="G151" s="79"/>
      <c r="H151" s="79"/>
      <c r="I151" s="79"/>
      <c r="J151" s="79"/>
      <c r="K151" s="34"/>
      <c r="L151" s="34"/>
      <c r="M151" s="34"/>
      <c r="N151" s="34"/>
    </row>
    <row r="152" spans="2:14" x14ac:dyDescent="0.2">
      <c r="B152" s="34"/>
      <c r="C152" s="34"/>
      <c r="D152" s="34"/>
      <c r="E152" s="34"/>
      <c r="F152" s="79"/>
      <c r="G152" s="79"/>
      <c r="H152" s="79"/>
      <c r="I152" s="79"/>
      <c r="J152" s="79"/>
      <c r="K152" s="34"/>
      <c r="L152" s="34"/>
      <c r="M152" s="34"/>
      <c r="N152" s="34"/>
    </row>
    <row r="153" spans="2:14" x14ac:dyDescent="0.2">
      <c r="B153" s="34"/>
      <c r="C153" s="34"/>
      <c r="D153" s="34"/>
      <c r="E153" s="34"/>
      <c r="F153" s="79"/>
      <c r="G153" s="79"/>
      <c r="H153" s="79"/>
      <c r="I153" s="79"/>
      <c r="J153" s="79"/>
      <c r="K153" s="34"/>
      <c r="L153" s="34"/>
      <c r="M153" s="34"/>
      <c r="N153" s="34"/>
    </row>
    <row r="154" spans="2:14" x14ac:dyDescent="0.2">
      <c r="B154" s="34"/>
      <c r="C154" s="34"/>
      <c r="D154" s="34"/>
      <c r="E154" s="34"/>
      <c r="F154" s="79"/>
      <c r="G154" s="79"/>
      <c r="H154" s="79"/>
      <c r="I154" s="79"/>
      <c r="J154" s="79"/>
      <c r="K154" s="34"/>
      <c r="L154" s="34"/>
      <c r="M154" s="34"/>
      <c r="N154" s="34"/>
    </row>
    <row r="155" spans="2:14" x14ac:dyDescent="0.2">
      <c r="B155" s="34"/>
      <c r="C155" s="34"/>
      <c r="D155" s="34"/>
      <c r="E155" s="34"/>
      <c r="F155" s="79"/>
      <c r="G155" s="79"/>
      <c r="H155" s="79"/>
      <c r="I155" s="79"/>
      <c r="J155" s="79"/>
      <c r="K155" s="34"/>
      <c r="L155" s="34"/>
      <c r="M155" s="34"/>
      <c r="N155" s="34"/>
    </row>
    <row r="156" spans="2:14" x14ac:dyDescent="0.2">
      <c r="B156" s="34"/>
      <c r="C156" s="34"/>
      <c r="D156" s="34"/>
      <c r="E156" s="34"/>
      <c r="F156" s="79"/>
      <c r="G156" s="79"/>
      <c r="H156" s="79"/>
      <c r="I156" s="79"/>
      <c r="J156" s="79"/>
      <c r="K156" s="34"/>
      <c r="L156" s="34"/>
      <c r="M156" s="34"/>
      <c r="N156" s="34"/>
    </row>
    <row r="157" spans="2:14" x14ac:dyDescent="0.2">
      <c r="B157" s="34"/>
      <c r="C157" s="34"/>
      <c r="D157" s="34"/>
      <c r="E157" s="34"/>
      <c r="F157" s="79"/>
      <c r="G157" s="79"/>
      <c r="H157" s="79"/>
      <c r="I157" s="79"/>
      <c r="J157" s="79"/>
      <c r="K157" s="34"/>
      <c r="L157" s="34"/>
      <c r="M157" s="34"/>
      <c r="N157" s="34"/>
    </row>
    <row r="158" spans="2:14" x14ac:dyDescent="0.2">
      <c r="B158" s="34"/>
      <c r="C158" s="34"/>
      <c r="D158" s="34"/>
      <c r="E158" s="34"/>
      <c r="F158" s="79"/>
      <c r="G158" s="79"/>
      <c r="H158" s="79"/>
      <c r="I158" s="79"/>
      <c r="J158" s="79"/>
      <c r="K158" s="34"/>
      <c r="L158" s="34"/>
      <c r="M158" s="34"/>
      <c r="N158" s="34"/>
    </row>
    <row r="159" spans="2:14" x14ac:dyDescent="0.2">
      <c r="B159" s="34"/>
      <c r="C159" s="34"/>
      <c r="D159" s="34"/>
      <c r="E159" s="34"/>
      <c r="F159" s="79"/>
      <c r="G159" s="79"/>
      <c r="H159" s="79"/>
      <c r="I159" s="79"/>
      <c r="J159" s="79"/>
      <c r="K159" s="34"/>
      <c r="L159" s="34"/>
      <c r="M159" s="34"/>
      <c r="N159" s="34"/>
    </row>
    <row r="160" spans="2:14" x14ac:dyDescent="0.2">
      <c r="B160" s="34"/>
      <c r="C160" s="34"/>
      <c r="D160" s="34"/>
      <c r="E160" s="34"/>
      <c r="F160" s="79"/>
      <c r="G160" s="79"/>
      <c r="H160" s="79"/>
      <c r="I160" s="79"/>
      <c r="J160" s="79"/>
      <c r="K160" s="34"/>
      <c r="L160" s="34"/>
      <c r="M160" s="34"/>
      <c r="N160" s="34"/>
    </row>
    <row r="161" spans="2:14" x14ac:dyDescent="0.2">
      <c r="B161" s="34"/>
      <c r="C161" s="34"/>
      <c r="D161" s="34"/>
      <c r="E161" s="34"/>
      <c r="F161" s="79"/>
      <c r="G161" s="79"/>
      <c r="H161" s="79"/>
      <c r="I161" s="79"/>
      <c r="J161" s="79"/>
      <c r="K161" s="34"/>
      <c r="L161" s="34"/>
      <c r="M161" s="34"/>
      <c r="N161" s="34"/>
    </row>
    <row r="162" spans="2:14" x14ac:dyDescent="0.2">
      <c r="B162" s="34"/>
      <c r="C162" s="34"/>
      <c r="D162" s="34"/>
      <c r="E162" s="34"/>
      <c r="F162" s="79"/>
      <c r="G162" s="79"/>
      <c r="H162" s="79"/>
      <c r="I162" s="79"/>
      <c r="J162" s="79"/>
      <c r="K162" s="34"/>
      <c r="L162" s="34"/>
      <c r="M162" s="34"/>
      <c r="N162" s="34"/>
    </row>
    <row r="163" spans="2:14" x14ac:dyDescent="0.2">
      <c r="B163" s="34"/>
      <c r="C163" s="34"/>
      <c r="D163" s="34"/>
      <c r="E163" s="34"/>
      <c r="F163" s="79"/>
      <c r="G163" s="79"/>
      <c r="H163" s="79"/>
      <c r="I163" s="79"/>
      <c r="J163" s="79"/>
      <c r="K163" s="34"/>
      <c r="L163" s="34"/>
      <c r="M163" s="34"/>
      <c r="N163" s="34"/>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&amp;L&amp;"Arial,Vet"&amp;9&amp;F&amp;R&amp;"Arial,Vet"&amp;9&amp;A</oddHeader>
    <oddFooter>&amp;L&amp;"Arial,Vet"&amp;9PO-Raad&amp;C&amp;"Arial,Vet"&amp;9pagina &amp;P&amp;R&amp;"Arial,Vet"&amp;9&amp;D</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168"/>
  <sheetViews>
    <sheetView showGridLines="0" zoomScale="85" zoomScaleNormal="85" workbookViewId="0">
      <pane ySplit="9" topLeftCell="A10" activePane="bottomLeft" state="frozen"/>
      <selection activeCell="B3" sqref="A1:IV65536"/>
      <selection pane="bottomLeft" activeCell="B2" sqref="B2"/>
    </sheetView>
  </sheetViews>
  <sheetFormatPr defaultColWidth="9.140625" defaultRowHeight="12.75" x14ac:dyDescent="0.2"/>
  <cols>
    <col min="1" max="1" width="3.7109375" style="33" customWidth="1"/>
    <col min="2" max="3" width="2.7109375" style="33" customWidth="1"/>
    <col min="4" max="4" width="45.7109375" style="33" customWidth="1"/>
    <col min="5" max="5" width="1.7109375" style="33" customWidth="1"/>
    <col min="6" max="6" width="8.7109375" style="42" customWidth="1"/>
    <col min="7" max="7" width="2.7109375" style="33" customWidth="1"/>
    <col min="8" max="8" width="12.85546875" style="33" customWidth="1"/>
    <col min="9" max="10" width="12.85546875" style="42" customWidth="1"/>
    <col min="11" max="12" width="12.85546875" style="42" hidden="1" customWidth="1"/>
    <col min="13" max="14" width="2.7109375" style="33" customWidth="1"/>
    <col min="15" max="16384" width="9.140625" style="33"/>
  </cols>
  <sheetData>
    <row r="2" spans="2:16" x14ac:dyDescent="0.2">
      <c r="B2" s="153"/>
      <c r="C2" s="154"/>
      <c r="D2" s="154"/>
      <c r="E2" s="154"/>
      <c r="F2" s="155"/>
      <c r="G2" s="154"/>
      <c r="H2" s="154"/>
      <c r="I2" s="155"/>
      <c r="J2" s="155"/>
      <c r="K2" s="155"/>
      <c r="L2" s="155"/>
      <c r="M2" s="154"/>
      <c r="N2" s="156"/>
    </row>
    <row r="3" spans="2:16" x14ac:dyDescent="0.2">
      <c r="B3" s="157"/>
      <c r="C3" s="158"/>
      <c r="D3" s="159"/>
      <c r="E3" s="158"/>
      <c r="F3" s="160"/>
      <c r="G3" s="158"/>
      <c r="H3" s="158"/>
      <c r="I3" s="160"/>
      <c r="J3" s="160"/>
      <c r="K3" s="160"/>
      <c r="L3" s="160"/>
      <c r="M3" s="158"/>
      <c r="N3" s="161"/>
    </row>
    <row r="4" spans="2:16" s="68" customFormat="1" ht="18.75" x14ac:dyDescent="0.3">
      <c r="B4" s="190"/>
      <c r="C4" s="183" t="s">
        <v>284</v>
      </c>
      <c r="D4" s="191"/>
      <c r="E4" s="191"/>
      <c r="F4" s="192"/>
      <c r="G4" s="191"/>
      <c r="H4" s="191"/>
      <c r="I4" s="192"/>
      <c r="J4" s="192"/>
      <c r="K4" s="192"/>
      <c r="L4" s="192"/>
      <c r="M4" s="191"/>
      <c r="N4" s="193"/>
    </row>
    <row r="5" spans="2:16" s="38" customFormat="1" ht="18.75" x14ac:dyDescent="0.3">
      <c r="B5" s="162"/>
      <c r="C5" s="194" t="str">
        <f>geg!F10</f>
        <v>Zorgzaam</v>
      </c>
      <c r="D5" s="317"/>
      <c r="E5" s="164"/>
      <c r="F5" s="165"/>
      <c r="G5" s="164"/>
      <c r="H5" s="164"/>
      <c r="I5" s="165"/>
      <c r="J5" s="165"/>
      <c r="K5" s="165"/>
      <c r="L5" s="165"/>
      <c r="M5" s="164"/>
      <c r="N5" s="166"/>
    </row>
    <row r="6" spans="2:16" x14ac:dyDescent="0.2">
      <c r="B6" s="157"/>
      <c r="C6" s="158"/>
      <c r="D6" s="159"/>
      <c r="E6" s="158"/>
      <c r="F6" s="160"/>
      <c r="G6" s="158"/>
      <c r="H6" s="158"/>
      <c r="I6" s="160"/>
      <c r="J6" s="160"/>
      <c r="K6" s="160"/>
      <c r="L6" s="160"/>
      <c r="M6" s="158"/>
      <c r="N6" s="161"/>
    </row>
    <row r="7" spans="2:16" x14ac:dyDescent="0.2">
      <c r="B7" s="157"/>
      <c r="C7" s="158"/>
      <c r="D7" s="159"/>
      <c r="E7" s="158"/>
      <c r="F7" s="160"/>
      <c r="G7" s="158"/>
      <c r="H7" s="158"/>
      <c r="I7" s="160"/>
      <c r="J7" s="469"/>
      <c r="K7" s="160"/>
      <c r="L7" s="160"/>
      <c r="M7" s="158"/>
      <c r="N7" s="161"/>
    </row>
    <row r="8" spans="2:16" s="75" customFormat="1" x14ac:dyDescent="0.2">
      <c r="B8" s="195"/>
      <c r="C8" s="196"/>
      <c r="D8" s="196"/>
      <c r="E8" s="196"/>
      <c r="F8" s="184" t="s">
        <v>186</v>
      </c>
      <c r="G8" s="185"/>
      <c r="H8" s="320">
        <f>tab!C4</f>
        <v>2012</v>
      </c>
      <c r="I8" s="320">
        <f>tab!D4</f>
        <v>2013</v>
      </c>
      <c r="J8" s="528">
        <v>41851</v>
      </c>
      <c r="K8" s="320">
        <f>tab!F4</f>
        <v>2015</v>
      </c>
      <c r="L8" s="320">
        <f>tab!G4</f>
        <v>2016</v>
      </c>
      <c r="M8" s="196"/>
      <c r="N8" s="197"/>
      <c r="O8" s="48"/>
      <c r="P8" s="48"/>
    </row>
    <row r="9" spans="2:16" x14ac:dyDescent="0.2">
      <c r="B9" s="157"/>
      <c r="C9" s="158"/>
      <c r="D9" s="158"/>
      <c r="E9" s="158"/>
      <c r="F9" s="160"/>
      <c r="G9" s="158"/>
      <c r="H9" s="158"/>
      <c r="I9" s="160"/>
      <c r="J9" s="160"/>
      <c r="K9" s="160"/>
      <c r="L9" s="160"/>
      <c r="M9" s="158"/>
      <c r="N9" s="161"/>
      <c r="O9" s="34"/>
      <c r="P9" s="34"/>
    </row>
    <row r="10" spans="2:16" x14ac:dyDescent="0.2">
      <c r="B10" s="157"/>
      <c r="C10" s="499"/>
      <c r="D10" s="502"/>
      <c r="E10" s="499"/>
      <c r="F10" s="681"/>
      <c r="G10" s="499"/>
      <c r="H10" s="499"/>
      <c r="I10" s="681"/>
      <c r="J10" s="681"/>
      <c r="K10" s="681"/>
      <c r="L10" s="681"/>
      <c r="M10" s="499"/>
      <c r="N10" s="161"/>
      <c r="O10" s="34"/>
      <c r="P10" s="34"/>
    </row>
    <row r="11" spans="2:16" x14ac:dyDescent="0.2">
      <c r="B11" s="157"/>
      <c r="C11" s="499"/>
      <c r="D11" s="682" t="s">
        <v>115</v>
      </c>
      <c r="E11" s="499"/>
      <c r="F11" s="681"/>
      <c r="G11" s="499"/>
      <c r="H11" s="499"/>
      <c r="I11" s="681"/>
      <c r="J11" s="681"/>
      <c r="K11" s="681"/>
      <c r="L11" s="681"/>
      <c r="M11" s="499"/>
      <c r="N11" s="161"/>
      <c r="O11" s="34"/>
      <c r="P11" s="34"/>
    </row>
    <row r="12" spans="2:16" x14ac:dyDescent="0.2">
      <c r="B12" s="157"/>
      <c r="C12" s="499"/>
      <c r="D12" s="502"/>
      <c r="E12" s="499"/>
      <c r="F12" s="681"/>
      <c r="G12" s="499"/>
      <c r="H12" s="499"/>
      <c r="I12" s="681"/>
      <c r="J12" s="681"/>
      <c r="K12" s="681"/>
      <c r="L12" s="681"/>
      <c r="M12" s="499"/>
      <c r="N12" s="161"/>
      <c r="O12" s="34"/>
      <c r="P12" s="34"/>
    </row>
    <row r="13" spans="2:16" x14ac:dyDescent="0.2">
      <c r="B13" s="157"/>
      <c r="C13" s="499"/>
      <c r="D13" s="499" t="s">
        <v>130</v>
      </c>
      <c r="E13" s="499"/>
      <c r="F13" s="681"/>
      <c r="G13" s="499"/>
      <c r="H13" s="629">
        <f>ROUND(geg!F21*tab!$C$61,0)</f>
        <v>43500</v>
      </c>
      <c r="I13" s="629">
        <f>ROUND(geg!G21*tab!$D$61,0)</f>
        <v>44280</v>
      </c>
      <c r="J13" s="629">
        <f>ROUND(geg!H21*tab!$E$61,0)*7/12</f>
        <v>26180</v>
      </c>
      <c r="K13" s="608">
        <f>ROUND(geg!I21*tab!$D$61,0)</f>
        <v>44280</v>
      </c>
      <c r="L13" s="608">
        <f>ROUND(geg!J21*tab!$D$61,0)</f>
        <v>44280</v>
      </c>
      <c r="M13" s="499"/>
      <c r="N13" s="161"/>
      <c r="O13" s="34"/>
      <c r="P13" s="34"/>
    </row>
    <row r="14" spans="2:16" x14ac:dyDescent="0.2">
      <c r="B14" s="157"/>
      <c r="C14" s="499"/>
      <c r="D14" s="502"/>
      <c r="E14" s="499"/>
      <c r="F14" s="681"/>
      <c r="G14" s="499"/>
      <c r="H14" s="499"/>
      <c r="I14" s="681"/>
      <c r="J14" s="681"/>
      <c r="K14" s="681"/>
      <c r="L14" s="681"/>
      <c r="M14" s="499"/>
      <c r="N14" s="161"/>
      <c r="O14" s="34"/>
      <c r="P14" s="34"/>
    </row>
    <row r="15" spans="2:16" x14ac:dyDescent="0.2">
      <c r="B15" s="157"/>
      <c r="C15" s="499"/>
      <c r="D15" s="500" t="s">
        <v>116</v>
      </c>
      <c r="E15" s="499"/>
      <c r="F15" s="681"/>
      <c r="G15" s="499"/>
      <c r="H15" s="499"/>
      <c r="I15" s="681"/>
      <c r="J15" s="681"/>
      <c r="K15" s="681"/>
      <c r="L15" s="681"/>
      <c r="M15" s="499"/>
      <c r="N15" s="161"/>
      <c r="O15" s="34"/>
      <c r="P15" s="34"/>
    </row>
    <row r="16" spans="2:16" x14ac:dyDescent="0.2">
      <c r="B16" s="157"/>
      <c r="C16" s="499"/>
      <c r="D16" s="847"/>
      <c r="E16" s="499"/>
      <c r="F16" s="681"/>
      <c r="G16" s="499"/>
      <c r="H16" s="777">
        <v>0</v>
      </c>
      <c r="I16" s="777">
        <v>0</v>
      </c>
      <c r="J16" s="777">
        <v>0</v>
      </c>
      <c r="K16" s="769">
        <f t="shared" ref="K16:L18" si="0">J16</f>
        <v>0</v>
      </c>
      <c r="L16" s="769">
        <f t="shared" si="0"/>
        <v>0</v>
      </c>
      <c r="M16" s="770"/>
      <c r="N16" s="161"/>
      <c r="O16" s="34"/>
      <c r="P16" s="34"/>
    </row>
    <row r="17" spans="2:16" x14ac:dyDescent="0.2">
      <c r="B17" s="157"/>
      <c r="C17" s="499"/>
      <c r="D17" s="847"/>
      <c r="E17" s="499"/>
      <c r="F17" s="681"/>
      <c r="G17" s="499"/>
      <c r="H17" s="777">
        <v>0</v>
      </c>
      <c r="I17" s="777">
        <v>0</v>
      </c>
      <c r="J17" s="777">
        <v>0</v>
      </c>
      <c r="K17" s="769">
        <f t="shared" si="0"/>
        <v>0</v>
      </c>
      <c r="L17" s="769">
        <f t="shared" si="0"/>
        <v>0</v>
      </c>
      <c r="M17" s="770"/>
      <c r="N17" s="161"/>
      <c r="O17" s="34"/>
      <c r="P17" s="34"/>
    </row>
    <row r="18" spans="2:16" s="41" customFormat="1" x14ac:dyDescent="0.2">
      <c r="B18" s="170"/>
      <c r="C18" s="499"/>
      <c r="D18" s="847"/>
      <c r="E18" s="499"/>
      <c r="F18" s="681"/>
      <c r="G18" s="499"/>
      <c r="H18" s="777">
        <v>0</v>
      </c>
      <c r="I18" s="777">
        <v>0</v>
      </c>
      <c r="J18" s="777">
        <v>0</v>
      </c>
      <c r="K18" s="769">
        <f t="shared" si="0"/>
        <v>0</v>
      </c>
      <c r="L18" s="769">
        <f t="shared" si="0"/>
        <v>0</v>
      </c>
      <c r="M18" s="770"/>
      <c r="N18" s="171"/>
      <c r="O18" s="35"/>
      <c r="P18" s="35"/>
    </row>
    <row r="19" spans="2:16" x14ac:dyDescent="0.2">
      <c r="B19" s="157"/>
      <c r="C19" s="499"/>
      <c r="D19" s="754"/>
      <c r="E19" s="499"/>
      <c r="F19" s="681"/>
      <c r="G19" s="499"/>
      <c r="H19" s="853">
        <f>SUM(H16:H18)</f>
        <v>0</v>
      </c>
      <c r="I19" s="853">
        <f>SUM(I16:I18)</f>
        <v>0</v>
      </c>
      <c r="J19" s="853">
        <f>SUM(J16:J18)</f>
        <v>0</v>
      </c>
      <c r="K19" s="806">
        <f>SUM(K16:K18)</f>
        <v>0</v>
      </c>
      <c r="L19" s="806">
        <f>SUM(L16:L18)</f>
        <v>0</v>
      </c>
      <c r="M19" s="851"/>
      <c r="N19" s="161"/>
      <c r="O19" s="34"/>
      <c r="P19" s="34"/>
    </row>
    <row r="20" spans="2:16" x14ac:dyDescent="0.2">
      <c r="B20" s="157"/>
      <c r="C20" s="499"/>
      <c r="D20" s="502"/>
      <c r="E20" s="499"/>
      <c r="F20" s="681"/>
      <c r="G20" s="499"/>
      <c r="H20" s="681"/>
      <c r="I20" s="681"/>
      <c r="J20" s="681"/>
      <c r="K20" s="681"/>
      <c r="L20" s="681"/>
      <c r="M20" s="681"/>
      <c r="N20" s="161"/>
      <c r="O20" s="34"/>
      <c r="P20" s="34"/>
    </row>
    <row r="21" spans="2:16" x14ac:dyDescent="0.2">
      <c r="B21" s="157"/>
      <c r="C21" s="499"/>
      <c r="D21" s="502" t="s">
        <v>169</v>
      </c>
      <c r="E21" s="499"/>
      <c r="F21" s="681"/>
      <c r="G21" s="499"/>
      <c r="H21" s="821">
        <f>H13+H19</f>
        <v>43500</v>
      </c>
      <c r="I21" s="821">
        <f>I13+I19</f>
        <v>44280</v>
      </c>
      <c r="J21" s="821">
        <f>J13+J19</f>
        <v>26180</v>
      </c>
      <c r="K21" s="809">
        <f>K13+K19</f>
        <v>44280</v>
      </c>
      <c r="L21" s="809">
        <f>L13+L19</f>
        <v>44280</v>
      </c>
      <c r="M21" s="806"/>
      <c r="N21" s="161"/>
      <c r="O21" s="34"/>
      <c r="P21" s="34"/>
    </row>
    <row r="22" spans="2:16" s="41" customFormat="1" x14ac:dyDescent="0.2">
      <c r="B22" s="170"/>
      <c r="C22" s="499"/>
      <c r="D22" s="502"/>
      <c r="E22" s="499"/>
      <c r="F22" s="681"/>
      <c r="G22" s="499"/>
      <c r="H22" s="499"/>
      <c r="I22" s="502"/>
      <c r="J22" s="502"/>
      <c r="K22" s="502"/>
      <c r="L22" s="502"/>
      <c r="M22" s="502"/>
      <c r="N22" s="171"/>
      <c r="O22" s="35"/>
      <c r="P22" s="35"/>
    </row>
    <row r="23" spans="2:16" x14ac:dyDescent="0.2">
      <c r="B23" s="157"/>
      <c r="C23" s="158"/>
      <c r="D23" s="158"/>
      <c r="E23" s="158"/>
      <c r="F23" s="160"/>
      <c r="G23" s="158"/>
      <c r="H23" s="158"/>
      <c r="I23" s="160"/>
      <c r="J23" s="160"/>
      <c r="K23" s="160"/>
      <c r="L23" s="160"/>
      <c r="M23" s="158"/>
      <c r="N23" s="161"/>
      <c r="O23" s="34"/>
      <c r="P23" s="34"/>
    </row>
    <row r="24" spans="2:16" x14ac:dyDescent="0.2">
      <c r="B24" s="157"/>
      <c r="C24" s="499"/>
      <c r="D24" s="502"/>
      <c r="E24" s="499"/>
      <c r="F24" s="681"/>
      <c r="G24" s="499"/>
      <c r="H24" s="499"/>
      <c r="I24" s="681"/>
      <c r="J24" s="681"/>
      <c r="K24" s="681"/>
      <c r="L24" s="681"/>
      <c r="M24" s="499"/>
      <c r="N24" s="161"/>
      <c r="O24" s="34"/>
      <c r="P24" s="34"/>
    </row>
    <row r="25" spans="2:16" x14ac:dyDescent="0.2">
      <c r="B25" s="157"/>
      <c r="C25" s="499"/>
      <c r="D25" s="682" t="s">
        <v>277</v>
      </c>
      <c r="E25" s="499"/>
      <c r="F25" s="681"/>
      <c r="G25" s="499"/>
      <c r="H25" s="499"/>
      <c r="I25" s="681"/>
      <c r="J25" s="681"/>
      <c r="K25" s="681"/>
      <c r="L25" s="681"/>
      <c r="M25" s="499"/>
      <c r="N25" s="161"/>
      <c r="O25" s="34"/>
      <c r="P25" s="34"/>
    </row>
    <row r="26" spans="2:16" x14ac:dyDescent="0.2">
      <c r="B26" s="157"/>
      <c r="C26" s="499"/>
      <c r="D26" s="502"/>
      <c r="E26" s="499"/>
      <c r="F26" s="681"/>
      <c r="G26" s="499"/>
      <c r="H26" s="499"/>
      <c r="I26" s="681"/>
      <c r="J26" s="681"/>
      <c r="K26" s="681"/>
      <c r="L26" s="681"/>
      <c r="M26" s="499"/>
      <c r="N26" s="161"/>
      <c r="O26" s="34"/>
      <c r="P26" s="34"/>
    </row>
    <row r="27" spans="2:16" x14ac:dyDescent="0.2">
      <c r="B27" s="157"/>
      <c r="C27" s="499"/>
      <c r="D27" s="847" t="s">
        <v>132</v>
      </c>
      <c r="E27" s="499"/>
      <c r="F27" s="681"/>
      <c r="G27" s="499"/>
      <c r="H27" s="777">
        <v>0</v>
      </c>
      <c r="I27" s="777">
        <v>0</v>
      </c>
      <c r="J27" s="777">
        <v>0</v>
      </c>
      <c r="K27" s="769">
        <f t="shared" ref="K27:L29" si="1">J27</f>
        <v>0</v>
      </c>
      <c r="L27" s="769">
        <f t="shared" si="1"/>
        <v>0</v>
      </c>
      <c r="M27" s="770"/>
      <c r="N27" s="161"/>
      <c r="O27" s="34"/>
      <c r="P27" s="34"/>
    </row>
    <row r="28" spans="2:16" s="41" customFormat="1" x14ac:dyDescent="0.2">
      <c r="B28" s="170"/>
      <c r="C28" s="499"/>
      <c r="D28" s="847"/>
      <c r="E28" s="499"/>
      <c r="F28" s="681"/>
      <c r="G28" s="499"/>
      <c r="H28" s="777">
        <v>0</v>
      </c>
      <c r="I28" s="777">
        <v>0</v>
      </c>
      <c r="J28" s="777">
        <v>0</v>
      </c>
      <c r="K28" s="769">
        <f t="shared" si="1"/>
        <v>0</v>
      </c>
      <c r="L28" s="769">
        <f t="shared" si="1"/>
        <v>0</v>
      </c>
      <c r="M28" s="770"/>
      <c r="N28" s="171"/>
      <c r="O28" s="35"/>
      <c r="P28" s="35"/>
    </row>
    <row r="29" spans="2:16" x14ac:dyDescent="0.2">
      <c r="B29" s="157"/>
      <c r="C29" s="499"/>
      <c r="D29" s="847"/>
      <c r="E29" s="499"/>
      <c r="F29" s="681"/>
      <c r="G29" s="499"/>
      <c r="H29" s="777">
        <v>0</v>
      </c>
      <c r="I29" s="777">
        <v>0</v>
      </c>
      <c r="J29" s="777">
        <v>0</v>
      </c>
      <c r="K29" s="769">
        <f t="shared" si="1"/>
        <v>0</v>
      </c>
      <c r="L29" s="769">
        <f t="shared" si="1"/>
        <v>0</v>
      </c>
      <c r="M29" s="770"/>
      <c r="N29" s="161"/>
      <c r="O29" s="34"/>
      <c r="P29" s="34"/>
    </row>
    <row r="30" spans="2:16" x14ac:dyDescent="0.2">
      <c r="B30" s="157"/>
      <c r="C30" s="499"/>
      <c r="D30" s="502"/>
      <c r="E30" s="499"/>
      <c r="F30" s="681"/>
      <c r="G30" s="499"/>
      <c r="H30" s="681"/>
      <c r="I30" s="681"/>
      <c r="J30" s="681"/>
      <c r="K30" s="681"/>
      <c r="L30" s="681"/>
      <c r="M30" s="681"/>
      <c r="N30" s="161"/>
      <c r="O30" s="34"/>
      <c r="P30" s="34"/>
    </row>
    <row r="31" spans="2:16" x14ac:dyDescent="0.2">
      <c r="B31" s="157"/>
      <c r="C31" s="499"/>
      <c r="D31" s="502" t="s">
        <v>169</v>
      </c>
      <c r="E31" s="499"/>
      <c r="F31" s="681"/>
      <c r="G31" s="499"/>
      <c r="H31" s="821">
        <f>SUM(H27:H29)</f>
        <v>0</v>
      </c>
      <c r="I31" s="821">
        <f>SUM(I27:I29)</f>
        <v>0</v>
      </c>
      <c r="J31" s="821">
        <f>SUM(J27:J29)</f>
        <v>0</v>
      </c>
      <c r="K31" s="809">
        <f>SUM(K27:K29)</f>
        <v>0</v>
      </c>
      <c r="L31" s="809">
        <f>SUM(L27:L29)</f>
        <v>0</v>
      </c>
      <c r="M31" s="806"/>
      <c r="N31" s="161"/>
      <c r="O31" s="34"/>
      <c r="P31" s="34"/>
    </row>
    <row r="32" spans="2:16" x14ac:dyDescent="0.2">
      <c r="B32" s="157"/>
      <c r="C32" s="499"/>
      <c r="D32" s="502"/>
      <c r="E32" s="499"/>
      <c r="F32" s="681"/>
      <c r="G32" s="499"/>
      <c r="H32" s="499"/>
      <c r="I32" s="681"/>
      <c r="J32" s="681"/>
      <c r="K32" s="681"/>
      <c r="L32" s="681"/>
      <c r="M32" s="499"/>
      <c r="N32" s="161"/>
      <c r="O32" s="34"/>
      <c r="P32" s="34"/>
    </row>
    <row r="33" spans="2:16" x14ac:dyDescent="0.2">
      <c r="B33" s="157"/>
      <c r="C33" s="158"/>
      <c r="D33" s="158"/>
      <c r="E33" s="158"/>
      <c r="F33" s="160"/>
      <c r="G33" s="158"/>
      <c r="H33" s="158"/>
      <c r="I33" s="160"/>
      <c r="J33" s="160"/>
      <c r="K33" s="160"/>
      <c r="L33" s="160"/>
      <c r="M33" s="158"/>
      <c r="N33" s="161"/>
      <c r="O33" s="34"/>
      <c r="P33" s="34"/>
    </row>
    <row r="34" spans="2:16" x14ac:dyDescent="0.2">
      <c r="B34" s="157"/>
      <c r="C34" s="499"/>
      <c r="D34" s="502"/>
      <c r="E34" s="499"/>
      <c r="F34" s="681"/>
      <c r="G34" s="499"/>
      <c r="H34" s="499"/>
      <c r="I34" s="681"/>
      <c r="J34" s="681"/>
      <c r="K34" s="681"/>
      <c r="L34" s="681"/>
      <c r="M34" s="499"/>
      <c r="N34" s="161"/>
      <c r="O34" s="34"/>
      <c r="P34" s="34"/>
    </row>
    <row r="35" spans="2:16" x14ac:dyDescent="0.2">
      <c r="B35" s="157"/>
      <c r="C35" s="499"/>
      <c r="D35" s="682" t="s">
        <v>278</v>
      </c>
      <c r="E35" s="499"/>
      <c r="F35" s="681"/>
      <c r="G35" s="499"/>
      <c r="H35" s="499"/>
      <c r="I35" s="681"/>
      <c r="J35" s="681"/>
      <c r="K35" s="681"/>
      <c r="L35" s="681"/>
      <c r="M35" s="499"/>
      <c r="N35" s="161"/>
      <c r="O35" s="34"/>
      <c r="P35" s="34"/>
    </row>
    <row r="36" spans="2:16" x14ac:dyDescent="0.2">
      <c r="B36" s="157"/>
      <c r="C36" s="499"/>
      <c r="D36" s="502"/>
      <c r="E36" s="499"/>
      <c r="F36" s="681"/>
      <c r="G36" s="499"/>
      <c r="H36" s="499"/>
      <c r="I36" s="681"/>
      <c r="J36" s="681"/>
      <c r="K36" s="681"/>
      <c r="L36" s="681"/>
      <c r="M36" s="499"/>
      <c r="N36" s="161"/>
      <c r="O36" s="34"/>
      <c r="P36" s="34"/>
    </row>
    <row r="37" spans="2:16" x14ac:dyDescent="0.2">
      <c r="B37" s="157"/>
      <c r="C37" s="499"/>
      <c r="D37" s="499" t="s">
        <v>180</v>
      </c>
      <c r="E37" s="499"/>
      <c r="F37" s="681"/>
      <c r="G37" s="499"/>
      <c r="H37" s="775">
        <f>ROUND(+geg!F72*(tab!$C$59+tab!$C$60)+geg!F73*tab!$C$60,0)</f>
        <v>0</v>
      </c>
      <c r="I37" s="775">
        <f>ROUND(+geg!G72*(tab!$D$59+tab!$D$60)+geg!G73*tab!$D$60,0)</f>
        <v>0</v>
      </c>
      <c r="J37" s="775">
        <f>ROUND(+geg!H72*(tab!$E$59+tab!$E$60)+geg!H73*tab!$E$60,0)*7/12</f>
        <v>0</v>
      </c>
      <c r="K37" s="770">
        <f>ROUND(+geg!I72*(tab!$D$59+tab!$D$60)+geg!I73*tab!$D$60,0)</f>
        <v>0</v>
      </c>
      <c r="L37" s="770">
        <f>ROUND(+geg!J72*(tab!$D$59+tab!$D$60)+geg!J73*tab!$D$60,0)</f>
        <v>0</v>
      </c>
      <c r="M37" s="770"/>
      <c r="N37" s="161"/>
      <c r="O37" s="34"/>
      <c r="P37" s="34"/>
    </row>
    <row r="38" spans="2:16" x14ac:dyDescent="0.2">
      <c r="B38" s="157"/>
      <c r="C38" s="499"/>
      <c r="D38" s="499" t="s">
        <v>279</v>
      </c>
      <c r="E38" s="499"/>
      <c r="F38" s="681"/>
      <c r="G38" s="499"/>
      <c r="H38" s="777">
        <v>0</v>
      </c>
      <c r="I38" s="777">
        <v>0</v>
      </c>
      <c r="J38" s="777">
        <v>0</v>
      </c>
      <c r="K38" s="769">
        <f t="shared" ref="K38:L41" si="2">J38</f>
        <v>0</v>
      </c>
      <c r="L38" s="769">
        <f t="shared" si="2"/>
        <v>0</v>
      </c>
      <c r="M38" s="770"/>
      <c r="N38" s="161"/>
      <c r="O38" s="34"/>
      <c r="P38" s="34"/>
    </row>
    <row r="39" spans="2:16" x14ac:dyDescent="0.2">
      <c r="B39" s="157"/>
      <c r="C39" s="499"/>
      <c r="D39" s="847" t="s">
        <v>280</v>
      </c>
      <c r="E39" s="499"/>
      <c r="F39" s="681"/>
      <c r="G39" s="499"/>
      <c r="H39" s="777">
        <v>0</v>
      </c>
      <c r="I39" s="777">
        <v>0</v>
      </c>
      <c r="J39" s="777">
        <v>0</v>
      </c>
      <c r="K39" s="769">
        <f t="shared" si="2"/>
        <v>0</v>
      </c>
      <c r="L39" s="769">
        <f t="shared" si="2"/>
        <v>0</v>
      </c>
      <c r="M39" s="770"/>
      <c r="N39" s="161"/>
      <c r="O39" s="34"/>
      <c r="P39" s="34"/>
    </row>
    <row r="40" spans="2:16" x14ac:dyDescent="0.2">
      <c r="B40" s="157"/>
      <c r="C40" s="499"/>
      <c r="D40" s="847"/>
      <c r="E40" s="499"/>
      <c r="F40" s="681"/>
      <c r="G40" s="499"/>
      <c r="H40" s="777">
        <v>0</v>
      </c>
      <c r="I40" s="777">
        <v>0</v>
      </c>
      <c r="J40" s="777">
        <v>0</v>
      </c>
      <c r="K40" s="769">
        <f t="shared" si="2"/>
        <v>0</v>
      </c>
      <c r="L40" s="769">
        <f t="shared" si="2"/>
        <v>0</v>
      </c>
      <c r="M40" s="770"/>
      <c r="N40" s="161"/>
      <c r="O40" s="34"/>
      <c r="P40" s="34"/>
    </row>
    <row r="41" spans="2:16" x14ac:dyDescent="0.2">
      <c r="B41" s="157"/>
      <c r="C41" s="499"/>
      <c r="D41" s="847"/>
      <c r="E41" s="499"/>
      <c r="F41" s="681"/>
      <c r="G41" s="499"/>
      <c r="H41" s="777">
        <v>0</v>
      </c>
      <c r="I41" s="777">
        <v>0</v>
      </c>
      <c r="J41" s="777">
        <v>0</v>
      </c>
      <c r="K41" s="769">
        <f t="shared" si="2"/>
        <v>0</v>
      </c>
      <c r="L41" s="769">
        <f t="shared" si="2"/>
        <v>0</v>
      </c>
      <c r="M41" s="770"/>
      <c r="N41" s="161"/>
      <c r="O41" s="34"/>
      <c r="P41" s="34"/>
    </row>
    <row r="42" spans="2:16" x14ac:dyDescent="0.2">
      <c r="B42" s="157"/>
      <c r="C42" s="499"/>
      <c r="D42" s="502"/>
      <c r="E42" s="499"/>
      <c r="F42" s="681"/>
      <c r="G42" s="499"/>
      <c r="H42" s="681"/>
      <c r="I42" s="681"/>
      <c r="J42" s="681"/>
      <c r="K42" s="681"/>
      <c r="L42" s="681"/>
      <c r="M42" s="499"/>
      <c r="N42" s="161"/>
      <c r="O42" s="34"/>
      <c r="P42" s="34"/>
    </row>
    <row r="43" spans="2:16" x14ac:dyDescent="0.2">
      <c r="B43" s="157"/>
      <c r="C43" s="499"/>
      <c r="D43" s="502" t="s">
        <v>169</v>
      </c>
      <c r="E43" s="499"/>
      <c r="F43" s="681"/>
      <c r="G43" s="499"/>
      <c r="H43" s="821">
        <f>SUM(H37:H41)</f>
        <v>0</v>
      </c>
      <c r="I43" s="821">
        <f>SUM(I37:I41)</f>
        <v>0</v>
      </c>
      <c r="J43" s="821">
        <f>SUM(J37:J41)</f>
        <v>0</v>
      </c>
      <c r="K43" s="809">
        <f>SUM(K37:K41)</f>
        <v>0</v>
      </c>
      <c r="L43" s="809">
        <f>SUM(L37:L41)</f>
        <v>0</v>
      </c>
      <c r="M43" s="499"/>
      <c r="N43" s="161"/>
      <c r="O43" s="34"/>
      <c r="P43" s="34"/>
    </row>
    <row r="44" spans="2:16" x14ac:dyDescent="0.2">
      <c r="B44" s="157"/>
      <c r="C44" s="499"/>
      <c r="D44" s="502"/>
      <c r="E44" s="499"/>
      <c r="F44" s="681"/>
      <c r="G44" s="499"/>
      <c r="H44" s="499"/>
      <c r="I44" s="681"/>
      <c r="J44" s="681"/>
      <c r="K44" s="681"/>
      <c r="L44" s="681"/>
      <c r="M44" s="499"/>
      <c r="N44" s="161"/>
      <c r="O44" s="34"/>
      <c r="P44" s="34"/>
    </row>
    <row r="45" spans="2:16" x14ac:dyDescent="0.2">
      <c r="B45" s="157"/>
      <c r="C45" s="158"/>
      <c r="D45" s="158"/>
      <c r="E45" s="158"/>
      <c r="F45" s="160"/>
      <c r="G45" s="158"/>
      <c r="H45" s="158"/>
      <c r="I45" s="160"/>
      <c r="J45" s="160"/>
      <c r="K45" s="160"/>
      <c r="L45" s="160"/>
      <c r="M45" s="158"/>
      <c r="N45" s="161"/>
      <c r="O45" s="34"/>
      <c r="P45" s="34"/>
    </row>
    <row r="46" spans="2:16" x14ac:dyDescent="0.2">
      <c r="B46" s="157"/>
      <c r="C46" s="499"/>
      <c r="D46" s="502"/>
      <c r="E46" s="499"/>
      <c r="F46" s="681"/>
      <c r="G46" s="499"/>
      <c r="H46" s="499"/>
      <c r="I46" s="681"/>
      <c r="J46" s="681"/>
      <c r="K46" s="681"/>
      <c r="L46" s="681"/>
      <c r="M46" s="499"/>
      <c r="N46" s="161"/>
      <c r="O46" s="34"/>
      <c r="P46" s="34"/>
    </row>
    <row r="47" spans="2:16" x14ac:dyDescent="0.2">
      <c r="B47" s="157"/>
      <c r="C47" s="499"/>
      <c r="D47" s="502" t="s">
        <v>294</v>
      </c>
      <c r="E47" s="499"/>
      <c r="F47" s="681"/>
      <c r="G47" s="499"/>
      <c r="H47" s="821">
        <f>H21+H31+H43</f>
        <v>43500</v>
      </c>
      <c r="I47" s="821">
        <f>I21+I31+I43</f>
        <v>44280</v>
      </c>
      <c r="J47" s="821">
        <f>J21+J31+J43</f>
        <v>26180</v>
      </c>
      <c r="K47" s="809">
        <f>K21+K31+K43</f>
        <v>44280</v>
      </c>
      <c r="L47" s="809">
        <f>L21+L31+L43</f>
        <v>44280</v>
      </c>
      <c r="M47" s="499"/>
      <c r="N47" s="161"/>
      <c r="O47" s="34"/>
      <c r="P47" s="34"/>
    </row>
    <row r="48" spans="2:16" x14ac:dyDescent="0.2">
      <c r="B48" s="157"/>
      <c r="C48" s="499"/>
      <c r="D48" s="502"/>
      <c r="E48" s="499"/>
      <c r="F48" s="681"/>
      <c r="G48" s="499"/>
      <c r="H48" s="499"/>
      <c r="I48" s="681"/>
      <c r="J48" s="681"/>
      <c r="K48" s="681"/>
      <c r="L48" s="681"/>
      <c r="M48" s="499"/>
      <c r="N48" s="161"/>
      <c r="O48" s="34"/>
      <c r="P48" s="34"/>
    </row>
    <row r="49" spans="2:16" x14ac:dyDescent="0.2">
      <c r="B49" s="157"/>
      <c r="C49" s="158"/>
      <c r="D49" s="158"/>
      <c r="E49" s="158"/>
      <c r="F49" s="160"/>
      <c r="G49" s="158"/>
      <c r="H49" s="158"/>
      <c r="I49" s="160"/>
      <c r="J49" s="160"/>
      <c r="K49" s="160"/>
      <c r="L49" s="160"/>
      <c r="M49" s="158"/>
      <c r="N49" s="161"/>
      <c r="O49" s="34"/>
      <c r="P49" s="34"/>
    </row>
    <row r="50" spans="2:16" x14ac:dyDescent="0.2">
      <c r="B50" s="157"/>
      <c r="C50" s="158"/>
      <c r="D50" s="158"/>
      <c r="E50" s="158"/>
      <c r="F50" s="160"/>
      <c r="G50" s="158"/>
      <c r="H50" s="158"/>
      <c r="I50" s="160"/>
      <c r="J50" s="160"/>
      <c r="K50" s="160"/>
      <c r="L50" s="160"/>
      <c r="M50" s="158"/>
      <c r="N50" s="161"/>
      <c r="O50" s="34"/>
      <c r="P50" s="34"/>
    </row>
    <row r="51" spans="2:16" x14ac:dyDescent="0.2">
      <c r="B51" s="157"/>
      <c r="C51" s="499"/>
      <c r="D51" s="499"/>
      <c r="E51" s="499"/>
      <c r="F51" s="681"/>
      <c r="G51" s="499"/>
      <c r="H51" s="499"/>
      <c r="I51" s="681"/>
      <c r="J51" s="681"/>
      <c r="K51" s="681"/>
      <c r="L51" s="681"/>
      <c r="M51" s="499"/>
      <c r="N51" s="161"/>
      <c r="O51" s="34"/>
      <c r="P51" s="34"/>
    </row>
    <row r="52" spans="2:16" x14ac:dyDescent="0.2">
      <c r="B52" s="157"/>
      <c r="C52" s="499"/>
      <c r="D52" s="682" t="s">
        <v>118</v>
      </c>
      <c r="E52" s="499"/>
      <c r="F52" s="650" t="s">
        <v>338</v>
      </c>
      <c r="G52" s="499"/>
      <c r="H52" s="499"/>
      <c r="I52" s="681"/>
      <c r="J52" s="681"/>
      <c r="K52" s="681"/>
      <c r="L52" s="681"/>
      <c r="M52" s="499"/>
      <c r="N52" s="161"/>
      <c r="O52" s="34"/>
      <c r="P52" s="34"/>
    </row>
    <row r="53" spans="2:16" x14ac:dyDescent="0.2">
      <c r="B53" s="157"/>
      <c r="C53" s="499"/>
      <c r="D53" s="499"/>
      <c r="E53" s="499"/>
      <c r="F53" s="681"/>
      <c r="G53" s="499"/>
      <c r="H53" s="499"/>
      <c r="I53" s="681"/>
      <c r="J53" s="681"/>
      <c r="K53" s="681"/>
      <c r="L53" s="681"/>
      <c r="M53" s="499"/>
      <c r="N53" s="161"/>
      <c r="O53" s="34"/>
      <c r="P53" s="34"/>
    </row>
    <row r="54" spans="2:16" x14ac:dyDescent="0.2">
      <c r="B54" s="157"/>
      <c r="C54" s="499"/>
      <c r="D54" s="695" t="s">
        <v>125</v>
      </c>
      <c r="E54" s="499"/>
      <c r="F54" s="854"/>
      <c r="G54" s="499"/>
      <c r="H54" s="775">
        <f>act!F30+act!F36</f>
        <v>0</v>
      </c>
      <c r="I54" s="775">
        <f>act!G30+act!G36</f>
        <v>0</v>
      </c>
      <c r="J54" s="775">
        <f>act!H30+act!H36</f>
        <v>0</v>
      </c>
      <c r="K54" s="770">
        <f>act!I30+act!I36</f>
        <v>0</v>
      </c>
      <c r="L54" s="770">
        <f>act!J30+act!J36</f>
        <v>0</v>
      </c>
      <c r="M54" s="499"/>
      <c r="N54" s="161"/>
      <c r="O54" s="34"/>
      <c r="P54" s="34"/>
    </row>
    <row r="55" spans="2:16" x14ac:dyDescent="0.2">
      <c r="B55" s="157"/>
      <c r="C55" s="499"/>
      <c r="D55" s="695" t="s">
        <v>126</v>
      </c>
      <c r="E55" s="499"/>
      <c r="F55" s="854"/>
      <c r="G55" s="499"/>
      <c r="H55" s="775">
        <f>act!F31+act!F37</f>
        <v>0</v>
      </c>
      <c r="I55" s="775">
        <f>act!G31+act!G37</f>
        <v>0</v>
      </c>
      <c r="J55" s="775">
        <f>act!H31+act!H37</f>
        <v>0</v>
      </c>
      <c r="K55" s="770">
        <f>act!I31+act!I37</f>
        <v>0</v>
      </c>
      <c r="L55" s="770">
        <f>act!J31+act!J37</f>
        <v>0</v>
      </c>
      <c r="M55" s="499"/>
      <c r="N55" s="161"/>
      <c r="O55" s="34"/>
      <c r="P55" s="34"/>
    </row>
    <row r="56" spans="2:16" x14ac:dyDescent="0.2">
      <c r="B56" s="157"/>
      <c r="C56" s="499"/>
      <c r="D56" s="695" t="s">
        <v>127</v>
      </c>
      <c r="E56" s="499"/>
      <c r="F56" s="854"/>
      <c r="G56" s="499"/>
      <c r="H56" s="775">
        <f>act!F32+act!F38</f>
        <v>0</v>
      </c>
      <c r="I56" s="775">
        <f>act!G32+act!G38</f>
        <v>0</v>
      </c>
      <c r="J56" s="775">
        <f>act!H32+act!H38</f>
        <v>0</v>
      </c>
      <c r="K56" s="770">
        <f>act!I32+act!I38</f>
        <v>0</v>
      </c>
      <c r="L56" s="770">
        <f>act!J32+act!J38</f>
        <v>0</v>
      </c>
      <c r="M56" s="499"/>
      <c r="N56" s="161"/>
      <c r="O56" s="34"/>
      <c r="P56" s="34"/>
    </row>
    <row r="57" spans="2:16" x14ac:dyDescent="0.2">
      <c r="B57" s="157"/>
      <c r="C57" s="499"/>
      <c r="D57" s="695" t="s">
        <v>128</v>
      </c>
      <c r="E57" s="499"/>
      <c r="F57" s="854"/>
      <c r="G57" s="499"/>
      <c r="H57" s="775">
        <f>act!F33+act!F39</f>
        <v>0</v>
      </c>
      <c r="I57" s="775">
        <f>act!G33+act!G39</f>
        <v>0</v>
      </c>
      <c r="J57" s="775">
        <f>act!H33+act!H39</f>
        <v>0</v>
      </c>
      <c r="K57" s="770">
        <f>act!I33+act!I39</f>
        <v>0</v>
      </c>
      <c r="L57" s="770">
        <f>act!J33+act!J39</f>
        <v>0</v>
      </c>
      <c r="M57" s="499"/>
      <c r="N57" s="161"/>
      <c r="O57" s="34"/>
      <c r="P57" s="34"/>
    </row>
    <row r="58" spans="2:16" x14ac:dyDescent="0.2">
      <c r="B58" s="157"/>
      <c r="C58" s="499"/>
      <c r="D58" s="499"/>
      <c r="E58" s="499"/>
      <c r="F58" s="681"/>
      <c r="G58" s="499"/>
      <c r="H58" s="681"/>
      <c r="I58" s="681"/>
      <c r="J58" s="681"/>
      <c r="K58" s="681"/>
      <c r="L58" s="681"/>
      <c r="M58" s="499"/>
      <c r="N58" s="161"/>
      <c r="O58" s="34"/>
      <c r="P58" s="34"/>
    </row>
    <row r="59" spans="2:16" x14ac:dyDescent="0.2">
      <c r="B59" s="157"/>
      <c r="C59" s="499"/>
      <c r="D59" s="502" t="s">
        <v>169</v>
      </c>
      <c r="E59" s="499"/>
      <c r="F59" s="681"/>
      <c r="G59" s="499"/>
      <c r="H59" s="821">
        <f>SUM(H54:H57)</f>
        <v>0</v>
      </c>
      <c r="I59" s="821">
        <f>SUM(I54:I57)</f>
        <v>0</v>
      </c>
      <c r="J59" s="821">
        <f>SUM(J54:J57)</f>
        <v>0</v>
      </c>
      <c r="K59" s="809">
        <f>SUM(K54:K57)</f>
        <v>0</v>
      </c>
      <c r="L59" s="809">
        <f>SUM(L54:L57)</f>
        <v>0</v>
      </c>
      <c r="M59" s="499"/>
      <c r="N59" s="161"/>
      <c r="O59" s="34"/>
      <c r="P59" s="34"/>
    </row>
    <row r="60" spans="2:16" x14ac:dyDescent="0.2">
      <c r="B60" s="157"/>
      <c r="C60" s="499"/>
      <c r="D60" s="499"/>
      <c r="E60" s="499"/>
      <c r="F60" s="681"/>
      <c r="G60" s="499"/>
      <c r="H60" s="499"/>
      <c r="I60" s="681"/>
      <c r="J60" s="681"/>
      <c r="K60" s="681"/>
      <c r="L60" s="681"/>
      <c r="M60" s="499"/>
      <c r="N60" s="161"/>
      <c r="O60" s="34"/>
      <c r="P60" s="34"/>
    </row>
    <row r="61" spans="2:16" x14ac:dyDescent="0.2">
      <c r="B61" s="157"/>
      <c r="C61" s="158"/>
      <c r="D61" s="158"/>
      <c r="E61" s="158"/>
      <c r="F61" s="160"/>
      <c r="G61" s="158"/>
      <c r="H61" s="158"/>
      <c r="I61" s="160"/>
      <c r="J61" s="160"/>
      <c r="K61" s="160"/>
      <c r="L61" s="160"/>
      <c r="M61" s="158"/>
      <c r="N61" s="161"/>
      <c r="O61" s="34"/>
      <c r="P61" s="34"/>
    </row>
    <row r="62" spans="2:16" x14ac:dyDescent="0.2">
      <c r="B62" s="157"/>
      <c r="C62" s="499"/>
      <c r="D62" s="499"/>
      <c r="E62" s="499"/>
      <c r="F62" s="681"/>
      <c r="G62" s="499"/>
      <c r="H62" s="499"/>
      <c r="I62" s="681"/>
      <c r="J62" s="681"/>
      <c r="K62" s="681"/>
      <c r="L62" s="681"/>
      <c r="M62" s="499"/>
      <c r="N62" s="161"/>
      <c r="O62" s="34"/>
      <c r="P62" s="34"/>
    </row>
    <row r="63" spans="2:16" x14ac:dyDescent="0.2">
      <c r="B63" s="157"/>
      <c r="C63" s="499"/>
      <c r="D63" s="682" t="s">
        <v>119</v>
      </c>
      <c r="E63" s="499"/>
      <c r="F63" s="681"/>
      <c r="G63" s="499"/>
      <c r="H63" s="499"/>
      <c r="I63" s="681"/>
      <c r="J63" s="681"/>
      <c r="K63" s="681"/>
      <c r="L63" s="681"/>
      <c r="M63" s="499"/>
      <c r="N63" s="161"/>
      <c r="O63" s="34"/>
      <c r="P63" s="34"/>
    </row>
    <row r="64" spans="2:16" x14ac:dyDescent="0.2">
      <c r="B64" s="157"/>
      <c r="C64" s="499"/>
      <c r="D64" s="499"/>
      <c r="E64" s="499"/>
      <c r="F64" s="681"/>
      <c r="G64" s="499"/>
      <c r="H64" s="499"/>
      <c r="I64" s="681"/>
      <c r="J64" s="681"/>
      <c r="K64" s="681"/>
      <c r="L64" s="681"/>
      <c r="M64" s="499"/>
      <c r="N64" s="161"/>
      <c r="O64" s="34"/>
      <c r="P64" s="34"/>
    </row>
    <row r="65" spans="2:16" x14ac:dyDescent="0.2">
      <c r="B65" s="157"/>
      <c r="C65" s="499"/>
      <c r="D65" s="847"/>
      <c r="E65" s="499"/>
      <c r="F65" s="854"/>
      <c r="G65" s="499"/>
      <c r="H65" s="777">
        <v>0</v>
      </c>
      <c r="I65" s="777">
        <v>0</v>
      </c>
      <c r="J65" s="777">
        <v>0</v>
      </c>
      <c r="K65" s="769">
        <f t="shared" ref="K65:L67" si="3">J65</f>
        <v>0</v>
      </c>
      <c r="L65" s="769">
        <f t="shared" si="3"/>
        <v>0</v>
      </c>
      <c r="M65" s="499"/>
      <c r="N65" s="161"/>
      <c r="O65" s="34"/>
      <c r="P65" s="34"/>
    </row>
    <row r="66" spans="2:16" x14ac:dyDescent="0.2">
      <c r="B66" s="157"/>
      <c r="C66" s="499"/>
      <c r="D66" s="847"/>
      <c r="E66" s="499"/>
      <c r="F66" s="854"/>
      <c r="G66" s="499"/>
      <c r="H66" s="777">
        <v>0</v>
      </c>
      <c r="I66" s="777">
        <v>0</v>
      </c>
      <c r="J66" s="777">
        <v>0</v>
      </c>
      <c r="K66" s="769">
        <f t="shared" si="3"/>
        <v>0</v>
      </c>
      <c r="L66" s="769">
        <f t="shared" si="3"/>
        <v>0</v>
      </c>
      <c r="M66" s="499"/>
      <c r="N66" s="161"/>
      <c r="O66" s="34"/>
      <c r="P66" s="34"/>
    </row>
    <row r="67" spans="2:16" x14ac:dyDescent="0.2">
      <c r="B67" s="157"/>
      <c r="C67" s="499"/>
      <c r="D67" s="847"/>
      <c r="E67" s="499"/>
      <c r="F67" s="854"/>
      <c r="G67" s="499"/>
      <c r="H67" s="777">
        <v>0</v>
      </c>
      <c r="I67" s="777">
        <v>0</v>
      </c>
      <c r="J67" s="777">
        <v>0</v>
      </c>
      <c r="K67" s="769">
        <f t="shared" si="3"/>
        <v>0</v>
      </c>
      <c r="L67" s="769">
        <f t="shared" si="3"/>
        <v>0</v>
      </c>
      <c r="M67" s="499"/>
      <c r="N67" s="161"/>
      <c r="O67" s="34"/>
      <c r="P67" s="34"/>
    </row>
    <row r="68" spans="2:16" x14ac:dyDescent="0.2">
      <c r="B68" s="157"/>
      <c r="C68" s="499"/>
      <c r="D68" s="502"/>
      <c r="E68" s="499"/>
      <c r="F68" s="681"/>
      <c r="G68" s="499"/>
      <c r="H68" s="681"/>
      <c r="I68" s="681"/>
      <c r="J68" s="681"/>
      <c r="K68" s="681"/>
      <c r="L68" s="681"/>
      <c r="M68" s="499"/>
      <c r="N68" s="161"/>
      <c r="O68" s="34"/>
      <c r="P68" s="34"/>
    </row>
    <row r="69" spans="2:16" x14ac:dyDescent="0.2">
      <c r="B69" s="157"/>
      <c r="C69" s="499"/>
      <c r="D69" s="502" t="s">
        <v>169</v>
      </c>
      <c r="E69" s="499"/>
      <c r="F69" s="681"/>
      <c r="G69" s="499"/>
      <c r="H69" s="821">
        <f>SUM(H65:H67)</f>
        <v>0</v>
      </c>
      <c r="I69" s="821">
        <f>SUM(I65:I67)</f>
        <v>0</v>
      </c>
      <c r="J69" s="821">
        <f>SUM(J65:J67)</f>
        <v>0</v>
      </c>
      <c r="K69" s="809">
        <f>SUM(K65:K67)</f>
        <v>0</v>
      </c>
      <c r="L69" s="809">
        <f>SUM(L65:L67)</f>
        <v>0</v>
      </c>
      <c r="M69" s="499"/>
      <c r="N69" s="161"/>
      <c r="O69" s="34"/>
      <c r="P69" s="34"/>
    </row>
    <row r="70" spans="2:16" x14ac:dyDescent="0.2">
      <c r="B70" s="157"/>
      <c r="C70" s="499"/>
      <c r="D70" s="499"/>
      <c r="E70" s="499"/>
      <c r="F70" s="681"/>
      <c r="G70" s="499"/>
      <c r="H70" s="499"/>
      <c r="I70" s="681"/>
      <c r="J70" s="681"/>
      <c r="K70" s="681"/>
      <c r="L70" s="681"/>
      <c r="M70" s="499"/>
      <c r="N70" s="161"/>
      <c r="O70" s="34"/>
      <c r="P70" s="34"/>
    </row>
    <row r="71" spans="2:16" x14ac:dyDescent="0.2">
      <c r="B71" s="157"/>
      <c r="C71" s="158"/>
      <c r="D71" s="158"/>
      <c r="E71" s="158"/>
      <c r="F71" s="160"/>
      <c r="G71" s="158"/>
      <c r="H71" s="158"/>
      <c r="I71" s="160"/>
      <c r="J71" s="160"/>
      <c r="K71" s="160"/>
      <c r="L71" s="160"/>
      <c r="M71" s="158"/>
      <c r="N71" s="161"/>
      <c r="O71" s="34"/>
      <c r="P71" s="34"/>
    </row>
    <row r="72" spans="2:16" x14ac:dyDescent="0.2">
      <c r="B72" s="157"/>
      <c r="C72" s="499"/>
      <c r="D72" s="499"/>
      <c r="E72" s="499"/>
      <c r="F72" s="681"/>
      <c r="G72" s="499"/>
      <c r="H72" s="499"/>
      <c r="I72" s="681"/>
      <c r="J72" s="681"/>
      <c r="K72" s="681"/>
      <c r="L72" s="681"/>
      <c r="M72" s="499"/>
      <c r="N72" s="161"/>
      <c r="O72" s="34"/>
      <c r="P72" s="34"/>
    </row>
    <row r="73" spans="2:16" x14ac:dyDescent="0.2">
      <c r="B73" s="157"/>
      <c r="C73" s="499"/>
      <c r="D73" s="682" t="s">
        <v>291</v>
      </c>
      <c r="E73" s="499"/>
      <c r="F73" s="681"/>
      <c r="G73" s="499"/>
      <c r="H73" s="499"/>
      <c r="I73" s="681"/>
      <c r="J73" s="681"/>
      <c r="K73" s="681"/>
      <c r="L73" s="681"/>
      <c r="M73" s="499"/>
      <c r="N73" s="161"/>
      <c r="O73" s="34"/>
      <c r="P73" s="34"/>
    </row>
    <row r="74" spans="2:16" x14ac:dyDescent="0.2">
      <c r="B74" s="157"/>
      <c r="C74" s="499"/>
      <c r="D74" s="499"/>
      <c r="E74" s="499"/>
      <c r="F74" s="681"/>
      <c r="G74" s="499"/>
      <c r="H74" s="499"/>
      <c r="I74" s="681"/>
      <c r="J74" s="681"/>
      <c r="K74" s="681"/>
      <c r="L74" s="681"/>
      <c r="M74" s="499"/>
      <c r="N74" s="161"/>
      <c r="O74" s="34"/>
      <c r="P74" s="34"/>
    </row>
    <row r="75" spans="2:16" x14ac:dyDescent="0.2">
      <c r="B75" s="157"/>
      <c r="C75" s="499"/>
      <c r="D75" s="499" t="s">
        <v>211</v>
      </c>
      <c r="E75" s="499"/>
      <c r="F75" s="854"/>
      <c r="G75" s="499"/>
      <c r="H75" s="775">
        <f>'overdracht aan sbo'!F67</f>
        <v>21736</v>
      </c>
      <c r="I75" s="775">
        <f>'overdracht aan sbo'!G67</f>
        <v>22129</v>
      </c>
      <c r="J75" s="775">
        <f>'overdracht aan sbo'!H67</f>
        <v>13091.166666666668</v>
      </c>
      <c r="K75" s="770">
        <f>'overdracht aan sbo'!I67</f>
        <v>22129</v>
      </c>
      <c r="L75" s="770">
        <f>'overdracht aan sbo'!J67</f>
        <v>22129</v>
      </c>
      <c r="M75" s="499"/>
      <c r="N75" s="161"/>
      <c r="O75" s="34"/>
      <c r="P75" s="34"/>
    </row>
    <row r="76" spans="2:16" x14ac:dyDescent="0.2">
      <c r="B76" s="157"/>
      <c r="C76" s="499"/>
      <c r="D76" s="499" t="s">
        <v>181</v>
      </c>
      <c r="E76" s="499"/>
      <c r="F76" s="854"/>
      <c r="G76" s="499"/>
      <c r="H76" s="775">
        <f>ROUND(+geg!F76*(tab!$C$59+tab!$C$60)+geg!F77*tab!$C$60,0)</f>
        <v>0</v>
      </c>
      <c r="I76" s="775">
        <f>ROUND(+geg!G76*(tab!$D$59+tab!$D$60)+geg!G77*tab!$D$60,0)</f>
        <v>0</v>
      </c>
      <c r="J76" s="775">
        <f>ROUND(+geg!H76*(tab!$E$59+tab!$E$60)+geg!H77*tab!$E$60,0)*7/12</f>
        <v>0</v>
      </c>
      <c r="K76" s="770">
        <f>ROUND(+geg!I76*(tab!$D$59+tab!$D$60)+geg!I77*tab!$D$60,0)</f>
        <v>0</v>
      </c>
      <c r="L76" s="770">
        <f>ROUND(+geg!J76*(tab!$D$59+tab!$D$60)+geg!J77*tab!$D$60,0)</f>
        <v>0</v>
      </c>
      <c r="M76" s="499"/>
      <c r="N76" s="161"/>
      <c r="O76" s="34"/>
      <c r="P76" s="34"/>
    </row>
    <row r="77" spans="2:16" x14ac:dyDescent="0.2">
      <c r="B77" s="157"/>
      <c r="C77" s="499"/>
      <c r="D77" s="847" t="s">
        <v>183</v>
      </c>
      <c r="E77" s="499"/>
      <c r="F77" s="854"/>
      <c r="G77" s="499"/>
      <c r="H77" s="777">
        <v>0</v>
      </c>
      <c r="I77" s="777">
        <v>0</v>
      </c>
      <c r="J77" s="777">
        <v>0</v>
      </c>
      <c r="K77" s="769">
        <f t="shared" ref="K77:L82" si="4">J77</f>
        <v>0</v>
      </c>
      <c r="L77" s="769">
        <f t="shared" si="4"/>
        <v>0</v>
      </c>
      <c r="M77" s="499"/>
      <c r="N77" s="161"/>
      <c r="O77" s="34"/>
      <c r="P77" s="34"/>
    </row>
    <row r="78" spans="2:16" x14ac:dyDescent="0.2">
      <c r="B78" s="157"/>
      <c r="C78" s="499"/>
      <c r="D78" s="847" t="s">
        <v>131</v>
      </c>
      <c r="E78" s="499"/>
      <c r="F78" s="854"/>
      <c r="G78" s="499"/>
      <c r="H78" s="777">
        <v>0</v>
      </c>
      <c r="I78" s="777">
        <v>0</v>
      </c>
      <c r="J78" s="777">
        <v>0</v>
      </c>
      <c r="K78" s="769">
        <f t="shared" si="4"/>
        <v>0</v>
      </c>
      <c r="L78" s="769">
        <f t="shared" si="4"/>
        <v>0</v>
      </c>
      <c r="M78" s="499"/>
      <c r="N78" s="161"/>
      <c r="O78" s="34"/>
      <c r="P78" s="34"/>
    </row>
    <row r="79" spans="2:16" x14ac:dyDescent="0.2">
      <c r="B79" s="157"/>
      <c r="C79" s="499"/>
      <c r="D79" s="847" t="s">
        <v>185</v>
      </c>
      <c r="E79" s="499"/>
      <c r="F79" s="854"/>
      <c r="G79" s="499"/>
      <c r="H79" s="777">
        <v>0</v>
      </c>
      <c r="I79" s="777">
        <v>0</v>
      </c>
      <c r="J79" s="777">
        <v>0</v>
      </c>
      <c r="K79" s="769">
        <f t="shared" si="4"/>
        <v>0</v>
      </c>
      <c r="L79" s="769">
        <f t="shared" si="4"/>
        <v>0</v>
      </c>
      <c r="M79" s="499"/>
      <c r="N79" s="161"/>
      <c r="O79" s="34"/>
      <c r="P79" s="34"/>
    </row>
    <row r="80" spans="2:16" x14ac:dyDescent="0.2">
      <c r="B80" s="157"/>
      <c r="C80" s="499"/>
      <c r="D80" s="847" t="s">
        <v>184</v>
      </c>
      <c r="E80" s="499"/>
      <c r="F80" s="854"/>
      <c r="G80" s="499"/>
      <c r="H80" s="777">
        <v>0</v>
      </c>
      <c r="I80" s="777">
        <v>0</v>
      </c>
      <c r="J80" s="777">
        <v>0</v>
      </c>
      <c r="K80" s="769">
        <f t="shared" si="4"/>
        <v>0</v>
      </c>
      <c r="L80" s="769">
        <f t="shared" si="4"/>
        <v>0</v>
      </c>
      <c r="M80" s="499"/>
      <c r="N80" s="161"/>
      <c r="O80" s="34"/>
      <c r="P80" s="34"/>
    </row>
    <row r="81" spans="2:16" x14ac:dyDescent="0.2">
      <c r="B81" s="157"/>
      <c r="C81" s="499"/>
      <c r="D81" s="847" t="s">
        <v>120</v>
      </c>
      <c r="E81" s="499"/>
      <c r="F81" s="854"/>
      <c r="G81" s="499"/>
      <c r="H81" s="777">
        <v>0</v>
      </c>
      <c r="I81" s="777">
        <v>0</v>
      </c>
      <c r="J81" s="777">
        <v>0</v>
      </c>
      <c r="K81" s="769">
        <f t="shared" si="4"/>
        <v>0</v>
      </c>
      <c r="L81" s="769">
        <f t="shared" si="4"/>
        <v>0</v>
      </c>
      <c r="M81" s="499"/>
      <c r="N81" s="161"/>
      <c r="O81" s="34"/>
      <c r="P81" s="34"/>
    </row>
    <row r="82" spans="2:16" x14ac:dyDescent="0.2">
      <c r="B82" s="157"/>
      <c r="C82" s="499"/>
      <c r="D82" s="847"/>
      <c r="E82" s="499"/>
      <c r="F82" s="854"/>
      <c r="G82" s="499"/>
      <c r="H82" s="777">
        <v>0</v>
      </c>
      <c r="I82" s="777">
        <v>0</v>
      </c>
      <c r="J82" s="777">
        <v>0</v>
      </c>
      <c r="K82" s="769">
        <f t="shared" si="4"/>
        <v>0</v>
      </c>
      <c r="L82" s="769">
        <f t="shared" si="4"/>
        <v>0</v>
      </c>
      <c r="M82" s="499"/>
      <c r="N82" s="161"/>
      <c r="O82" s="34"/>
      <c r="P82" s="34"/>
    </row>
    <row r="83" spans="2:16" x14ac:dyDescent="0.2">
      <c r="B83" s="157"/>
      <c r="C83" s="499"/>
      <c r="D83" s="847"/>
      <c r="E83" s="499"/>
      <c r="F83" s="854"/>
      <c r="G83" s="499"/>
      <c r="H83" s="777">
        <v>0</v>
      </c>
      <c r="I83" s="777">
        <v>0</v>
      </c>
      <c r="J83" s="777">
        <v>0</v>
      </c>
      <c r="K83" s="769">
        <f t="shared" ref="K83:L84" si="5">J83</f>
        <v>0</v>
      </c>
      <c r="L83" s="769">
        <f t="shared" si="5"/>
        <v>0</v>
      </c>
      <c r="M83" s="499"/>
      <c r="N83" s="161"/>
      <c r="O83" s="34"/>
      <c r="P83" s="34"/>
    </row>
    <row r="84" spans="2:16" x14ac:dyDescent="0.2">
      <c r="B84" s="157"/>
      <c r="C84" s="499"/>
      <c r="D84" s="847"/>
      <c r="E84" s="499"/>
      <c r="F84" s="854"/>
      <c r="G84" s="499"/>
      <c r="H84" s="777">
        <v>0</v>
      </c>
      <c r="I84" s="777">
        <v>0</v>
      </c>
      <c r="J84" s="777">
        <v>0</v>
      </c>
      <c r="K84" s="769">
        <f t="shared" si="5"/>
        <v>0</v>
      </c>
      <c r="L84" s="769">
        <f t="shared" si="5"/>
        <v>0</v>
      </c>
      <c r="M84" s="499"/>
      <c r="N84" s="161"/>
      <c r="O84" s="34"/>
      <c r="P84" s="34"/>
    </row>
    <row r="85" spans="2:16" x14ac:dyDescent="0.2">
      <c r="B85" s="157"/>
      <c r="C85" s="499"/>
      <c r="D85" s="502"/>
      <c r="E85" s="499"/>
      <c r="F85" s="681"/>
      <c r="G85" s="499"/>
      <c r="H85" s="681"/>
      <c r="I85" s="681"/>
      <c r="J85" s="681"/>
      <c r="K85" s="681"/>
      <c r="L85" s="681"/>
      <c r="M85" s="499"/>
      <c r="N85" s="161"/>
      <c r="O85" s="34"/>
      <c r="P85" s="34"/>
    </row>
    <row r="86" spans="2:16" x14ac:dyDescent="0.2">
      <c r="B86" s="157"/>
      <c r="C86" s="499"/>
      <c r="D86" s="502" t="s">
        <v>169</v>
      </c>
      <c r="E86" s="499"/>
      <c r="F86" s="681"/>
      <c r="G86" s="499"/>
      <c r="H86" s="821">
        <f>SUM(H75:H84)</f>
        <v>21736</v>
      </c>
      <c r="I86" s="821">
        <f>SUM(I75:I84)</f>
        <v>22129</v>
      </c>
      <c r="J86" s="821">
        <f>SUM(J75:J84)</f>
        <v>13091.166666666668</v>
      </c>
      <c r="K86" s="809">
        <f>SUM(K75:K84)</f>
        <v>22129</v>
      </c>
      <c r="L86" s="809">
        <f>SUM(L75:L84)</f>
        <v>22129</v>
      </c>
      <c r="M86" s="499"/>
      <c r="N86" s="161"/>
      <c r="O86" s="34"/>
      <c r="P86" s="34"/>
    </row>
    <row r="87" spans="2:16" x14ac:dyDescent="0.2">
      <c r="B87" s="157"/>
      <c r="C87" s="499"/>
      <c r="D87" s="499"/>
      <c r="E87" s="499"/>
      <c r="F87" s="681"/>
      <c r="G87" s="499"/>
      <c r="H87" s="499"/>
      <c r="I87" s="681"/>
      <c r="J87" s="681"/>
      <c r="K87" s="681"/>
      <c r="L87" s="681"/>
      <c r="M87" s="499"/>
      <c r="N87" s="161"/>
      <c r="O87" s="34"/>
      <c r="P87" s="34"/>
    </row>
    <row r="88" spans="2:16" x14ac:dyDescent="0.2">
      <c r="B88" s="157"/>
      <c r="C88" s="158"/>
      <c r="D88" s="158"/>
      <c r="E88" s="158"/>
      <c r="F88" s="160"/>
      <c r="G88" s="158"/>
      <c r="H88" s="158"/>
      <c r="I88" s="160"/>
      <c r="J88" s="160"/>
      <c r="K88" s="160"/>
      <c r="L88" s="160"/>
      <c r="M88" s="158"/>
      <c r="N88" s="161"/>
      <c r="O88" s="34"/>
      <c r="P88" s="34"/>
    </row>
    <row r="89" spans="2:16" x14ac:dyDescent="0.2">
      <c r="B89" s="157"/>
      <c r="C89" s="499"/>
      <c r="D89" s="499"/>
      <c r="E89" s="499"/>
      <c r="F89" s="681"/>
      <c r="G89" s="499"/>
      <c r="H89" s="499"/>
      <c r="I89" s="681"/>
      <c r="J89" s="681"/>
      <c r="K89" s="681"/>
      <c r="L89" s="681"/>
      <c r="M89" s="499"/>
      <c r="N89" s="161"/>
      <c r="O89" s="34"/>
      <c r="P89" s="34"/>
    </row>
    <row r="90" spans="2:16" x14ac:dyDescent="0.2">
      <c r="B90" s="157"/>
      <c r="C90" s="499"/>
      <c r="D90" s="502" t="s">
        <v>292</v>
      </c>
      <c r="E90" s="499"/>
      <c r="F90" s="681"/>
      <c r="G90" s="499"/>
      <c r="H90" s="821">
        <f>H59+H69+H86</f>
        <v>21736</v>
      </c>
      <c r="I90" s="821">
        <f>I59+I69+I86</f>
        <v>22129</v>
      </c>
      <c r="J90" s="821">
        <f>J59+J69+J86</f>
        <v>13091.166666666668</v>
      </c>
      <c r="K90" s="809">
        <f>K59+K69+K86</f>
        <v>22129</v>
      </c>
      <c r="L90" s="809">
        <f>L59+L69+L86</f>
        <v>22129</v>
      </c>
      <c r="M90" s="499"/>
      <c r="N90" s="161"/>
      <c r="O90" s="34"/>
      <c r="P90" s="34"/>
    </row>
    <row r="91" spans="2:16" x14ac:dyDescent="0.2">
      <c r="B91" s="157"/>
      <c r="C91" s="499"/>
      <c r="D91" s="499"/>
      <c r="E91" s="499"/>
      <c r="F91" s="681"/>
      <c r="G91" s="499"/>
      <c r="H91" s="681"/>
      <c r="I91" s="681"/>
      <c r="J91" s="681"/>
      <c r="K91" s="681"/>
      <c r="L91" s="681"/>
      <c r="M91" s="499"/>
      <c r="N91" s="161"/>
      <c r="O91" s="34"/>
      <c r="P91" s="34"/>
    </row>
    <row r="92" spans="2:16" x14ac:dyDescent="0.2">
      <c r="B92" s="157"/>
      <c r="C92" s="158"/>
      <c r="D92" s="158"/>
      <c r="E92" s="158"/>
      <c r="F92" s="160"/>
      <c r="G92" s="158"/>
      <c r="H92" s="158"/>
      <c r="I92" s="160"/>
      <c r="J92" s="160"/>
      <c r="K92" s="160"/>
      <c r="L92" s="160"/>
      <c r="M92" s="158"/>
      <c r="N92" s="161"/>
      <c r="O92" s="34"/>
      <c r="P92" s="34"/>
    </row>
    <row r="93" spans="2:16" x14ac:dyDescent="0.2">
      <c r="B93" s="157"/>
      <c r="C93" s="499"/>
      <c r="D93" s="499"/>
      <c r="E93" s="499"/>
      <c r="F93" s="681"/>
      <c r="G93" s="499"/>
      <c r="H93" s="681"/>
      <c r="I93" s="681"/>
      <c r="J93" s="681"/>
      <c r="K93" s="681"/>
      <c r="L93" s="681"/>
      <c r="M93" s="499"/>
      <c r="N93" s="161"/>
      <c r="O93" s="34"/>
      <c r="P93" s="34"/>
    </row>
    <row r="94" spans="2:16" x14ac:dyDescent="0.2">
      <c r="B94" s="157"/>
      <c r="C94" s="499"/>
      <c r="D94" s="682" t="s">
        <v>293</v>
      </c>
      <c r="E94" s="499"/>
      <c r="F94" s="681"/>
      <c r="G94" s="499"/>
      <c r="H94" s="821">
        <f>H47-H90</f>
        <v>21764</v>
      </c>
      <c r="I94" s="821">
        <f>I47-I90</f>
        <v>22151</v>
      </c>
      <c r="J94" s="821">
        <f>J47-J90</f>
        <v>13088.833333333332</v>
      </c>
      <c r="K94" s="809">
        <f>K47-K90</f>
        <v>22151</v>
      </c>
      <c r="L94" s="809">
        <f>L47-L90</f>
        <v>22151</v>
      </c>
      <c r="M94" s="499"/>
      <c r="N94" s="161"/>
      <c r="O94" s="34"/>
      <c r="P94" s="34"/>
    </row>
    <row r="95" spans="2:16" x14ac:dyDescent="0.2">
      <c r="B95" s="157"/>
      <c r="C95" s="499"/>
      <c r="D95" s="499"/>
      <c r="E95" s="499"/>
      <c r="F95" s="681"/>
      <c r="G95" s="499"/>
      <c r="H95" s="499"/>
      <c r="I95" s="681"/>
      <c r="J95" s="681"/>
      <c r="K95" s="681"/>
      <c r="L95" s="681"/>
      <c r="M95" s="499"/>
      <c r="N95" s="161"/>
      <c r="O95" s="34"/>
      <c r="P95" s="34"/>
    </row>
    <row r="96" spans="2:16" x14ac:dyDescent="0.2">
      <c r="B96" s="157"/>
      <c r="C96" s="158"/>
      <c r="D96" s="158"/>
      <c r="E96" s="158"/>
      <c r="F96" s="160"/>
      <c r="G96" s="158"/>
      <c r="H96" s="158"/>
      <c r="I96" s="160"/>
      <c r="J96" s="160"/>
      <c r="K96" s="160"/>
      <c r="L96" s="160"/>
      <c r="M96" s="158"/>
      <c r="N96" s="161"/>
      <c r="O96" s="34"/>
      <c r="P96" s="34"/>
    </row>
    <row r="97" spans="2:17" ht="15" x14ac:dyDescent="0.25">
      <c r="B97" s="172"/>
      <c r="C97" s="173"/>
      <c r="D97" s="173"/>
      <c r="E97" s="173"/>
      <c r="F97" s="174"/>
      <c r="G97" s="173"/>
      <c r="H97" s="173"/>
      <c r="I97" s="198"/>
      <c r="J97" s="198"/>
      <c r="K97" s="198"/>
      <c r="L97" s="198"/>
      <c r="M97" s="175" t="s">
        <v>423</v>
      </c>
      <c r="N97" s="176"/>
      <c r="O97" s="34"/>
      <c r="P97" s="34"/>
    </row>
    <row r="98" spans="2:17" ht="12.75" customHeight="1" x14ac:dyDescent="0.2">
      <c r="B98" s="34"/>
      <c r="C98" s="34"/>
      <c r="D98" s="34"/>
      <c r="E98" s="34"/>
      <c r="F98" s="34"/>
      <c r="G98" s="34"/>
      <c r="H98" s="34"/>
      <c r="I98" s="34"/>
      <c r="J98" s="34"/>
      <c r="K98" s="34"/>
      <c r="L98" s="34"/>
      <c r="M98" s="34"/>
      <c r="N98" s="34"/>
      <c r="O98" s="34"/>
      <c r="P98" s="34"/>
      <c r="Q98" s="34"/>
    </row>
    <row r="99" spans="2:17" ht="12.75" customHeight="1" x14ac:dyDescent="0.2">
      <c r="B99" s="34"/>
      <c r="C99" s="34"/>
      <c r="D99" s="34"/>
      <c r="E99" s="34"/>
      <c r="F99" s="34"/>
      <c r="G99" s="34"/>
      <c r="H99" s="34"/>
      <c r="I99" s="34"/>
      <c r="J99" s="34"/>
      <c r="K99" s="34"/>
      <c r="L99" s="34"/>
      <c r="M99" s="34"/>
      <c r="N99" s="34"/>
      <c r="O99" s="34"/>
      <c r="P99" s="34"/>
      <c r="Q99" s="34"/>
    </row>
    <row r="100" spans="2:17" ht="12.75" customHeight="1" x14ac:dyDescent="0.2">
      <c r="B100" s="34"/>
      <c r="C100" s="34"/>
      <c r="D100" s="34"/>
      <c r="E100" s="34"/>
      <c r="F100" s="34"/>
      <c r="G100" s="34"/>
      <c r="H100" s="34"/>
      <c r="I100" s="34"/>
      <c r="J100" s="34"/>
      <c r="K100" s="34"/>
      <c r="L100" s="34"/>
      <c r="M100" s="34"/>
      <c r="N100" s="34"/>
      <c r="O100" s="34"/>
      <c r="P100" s="34"/>
      <c r="Q100" s="34"/>
    </row>
    <row r="101" spans="2:17" ht="12.75" customHeight="1" x14ac:dyDescent="0.2">
      <c r="B101" s="34"/>
      <c r="C101" s="34"/>
      <c r="D101" s="34"/>
      <c r="E101" s="34"/>
      <c r="F101" s="34"/>
      <c r="G101" s="34"/>
      <c r="H101" s="34"/>
      <c r="I101" s="34"/>
      <c r="J101" s="34"/>
      <c r="K101" s="34"/>
      <c r="L101" s="34"/>
      <c r="M101" s="34"/>
      <c r="N101" s="34"/>
      <c r="O101" s="34"/>
      <c r="P101" s="34"/>
      <c r="Q101" s="34"/>
    </row>
    <row r="102" spans="2:17" ht="12.75" customHeight="1" x14ac:dyDescent="0.3">
      <c r="B102" s="46"/>
      <c r="D102" s="400"/>
      <c r="E102" s="400"/>
      <c r="F102" s="400"/>
      <c r="G102" s="400"/>
      <c r="H102" s="400"/>
      <c r="I102" s="368"/>
      <c r="J102" s="368"/>
      <c r="K102" s="368"/>
      <c r="L102" s="368"/>
      <c r="M102" s="34"/>
      <c r="N102" s="34"/>
      <c r="O102" s="34"/>
      <c r="P102" s="34"/>
      <c r="Q102" s="34"/>
    </row>
    <row r="103" spans="2:17" x14ac:dyDescent="0.2">
      <c r="B103" s="34"/>
      <c r="C103" s="34"/>
      <c r="D103" s="401"/>
      <c r="E103" s="402"/>
      <c r="F103" s="403"/>
      <c r="G103" s="403"/>
      <c r="H103" s="404" t="str">
        <f>+tab!C2</f>
        <v>2012/13</v>
      </c>
      <c r="I103" s="404" t="str">
        <f>+tab!D2</f>
        <v>2013/14</v>
      </c>
      <c r="J103" s="463" t="str">
        <f>+tab!E2</f>
        <v>2014/15</v>
      </c>
      <c r="K103" s="404" t="str">
        <f>+tab!F2</f>
        <v>2015/16</v>
      </c>
      <c r="L103" s="404" t="str">
        <f>+tab!G2</f>
        <v>2016/17</v>
      </c>
      <c r="M103" s="76"/>
      <c r="N103" s="54"/>
      <c r="O103" s="34"/>
      <c r="P103" s="34"/>
      <c r="Q103" s="34"/>
    </row>
    <row r="104" spans="2:17" x14ac:dyDescent="0.2">
      <c r="B104" s="34"/>
      <c r="C104" s="34"/>
      <c r="D104" s="405" t="s">
        <v>384</v>
      </c>
      <c r="E104" s="368"/>
      <c r="F104" s="406"/>
      <c r="G104" s="368"/>
      <c r="H104" s="407"/>
      <c r="I104" s="407"/>
      <c r="J104" s="464"/>
      <c r="K104" s="407"/>
      <c r="L104" s="368"/>
      <c r="M104" s="34"/>
      <c r="N104" s="34"/>
      <c r="O104" s="34"/>
      <c r="P104" s="34"/>
      <c r="Q104" s="34"/>
    </row>
    <row r="105" spans="2:17" x14ac:dyDescent="0.2">
      <c r="B105" s="34"/>
      <c r="C105" s="34"/>
      <c r="D105" s="408" t="s">
        <v>115</v>
      </c>
      <c r="E105" s="368"/>
      <c r="F105" s="406"/>
      <c r="G105" s="368"/>
      <c r="H105" s="852">
        <f>0.416666666666667*H21+0.583333333333333*I21</f>
        <v>43955</v>
      </c>
      <c r="I105" s="409">
        <f>0.416666666666667*I21+J21</f>
        <v>44630.000000000015</v>
      </c>
      <c r="J105" s="465">
        <f>0.416666666666667*J21+0.583333333333333*K21</f>
        <v>36738.333333333328</v>
      </c>
      <c r="K105" s="409">
        <f>0.416666666666667*K21+0.583333333333333*L21</f>
        <v>44280</v>
      </c>
      <c r="L105" s="409">
        <f>L21</f>
        <v>44280</v>
      </c>
      <c r="M105" s="78"/>
      <c r="N105" s="34"/>
      <c r="O105" s="34"/>
      <c r="P105" s="34"/>
      <c r="Q105" s="34"/>
    </row>
    <row r="106" spans="2:17" x14ac:dyDescent="0.2">
      <c r="B106" s="34"/>
      <c r="C106" s="34"/>
      <c r="D106" s="408" t="s">
        <v>277</v>
      </c>
      <c r="E106" s="368"/>
      <c r="F106" s="406"/>
      <c r="G106" s="368"/>
      <c r="H106" s="409">
        <f>0.416666666666667*H31+0.583333333333333*I31</f>
        <v>0</v>
      </c>
      <c r="I106" s="409">
        <f>0.416666666666667*I31+J31</f>
        <v>0</v>
      </c>
      <c r="J106" s="465">
        <f>0.416666666666667*J31+0.583333333333333*K31</f>
        <v>0</v>
      </c>
      <c r="K106" s="409">
        <f>0.416666666666667*K31+0.583333333333333*L31</f>
        <v>0</v>
      </c>
      <c r="L106" s="409">
        <f>L31</f>
        <v>0</v>
      </c>
      <c r="M106" s="78"/>
      <c r="N106" s="34"/>
      <c r="O106" s="34"/>
      <c r="P106" s="34"/>
      <c r="Q106" s="34"/>
    </row>
    <row r="107" spans="2:17" hidden="1" x14ac:dyDescent="0.2">
      <c r="B107" s="34"/>
      <c r="C107" s="34"/>
      <c r="D107" s="408" t="s">
        <v>297</v>
      </c>
      <c r="E107" s="368"/>
      <c r="F107" s="406"/>
      <c r="G107" s="368"/>
      <c r="H107" s="407"/>
      <c r="I107" s="407"/>
      <c r="J107" s="464"/>
      <c r="K107" s="407"/>
      <c r="L107" s="407"/>
      <c r="M107" s="34"/>
      <c r="N107" s="34"/>
      <c r="O107" s="34"/>
      <c r="P107" s="34"/>
      <c r="Q107" s="34"/>
    </row>
    <row r="108" spans="2:17" x14ac:dyDescent="0.2">
      <c r="B108" s="34"/>
      <c r="C108" s="34"/>
      <c r="D108" s="408" t="s">
        <v>298</v>
      </c>
      <c r="E108" s="368"/>
      <c r="F108" s="406"/>
      <c r="G108" s="368"/>
      <c r="H108" s="409">
        <f>0.416666666666667*H38+0.583333333333333*I38</f>
        <v>0</v>
      </c>
      <c r="I108" s="409">
        <f>0.416666666666667*I38+J38</f>
        <v>0</v>
      </c>
      <c r="J108" s="465">
        <f>0.416666666666667*J38+0.583333333333333*K38</f>
        <v>0</v>
      </c>
      <c r="K108" s="409">
        <f>0.416666666666667*K38+0.583333333333333*L38</f>
        <v>0</v>
      </c>
      <c r="L108" s="409">
        <f>L38</f>
        <v>0</v>
      </c>
      <c r="M108" s="78"/>
      <c r="N108" s="34"/>
      <c r="O108" s="34"/>
      <c r="P108" s="34"/>
      <c r="Q108" s="34"/>
    </row>
    <row r="109" spans="2:17" x14ac:dyDescent="0.2">
      <c r="B109" s="34"/>
      <c r="C109" s="34"/>
      <c r="D109" s="408" t="s">
        <v>117</v>
      </c>
      <c r="E109" s="368"/>
      <c r="F109" s="406"/>
      <c r="G109" s="368"/>
      <c r="H109" s="409">
        <f>0.416666666666667*(H43-H38)+0.583333333333333*(I43-I38)</f>
        <v>0</v>
      </c>
      <c r="I109" s="409">
        <f>0.416666666666667*(I43-I38)+(J43-J38)</f>
        <v>0</v>
      </c>
      <c r="J109" s="465">
        <f>0.416666666666667*(J43-J38)+0.583333333333333*(K43-K38)</f>
        <v>0</v>
      </c>
      <c r="K109" s="409">
        <f>0.416666666666667*(K43-K38)+0.583333333333333*(L43-L38)</f>
        <v>0</v>
      </c>
      <c r="L109" s="409">
        <f>(L43-L38)</f>
        <v>0</v>
      </c>
      <c r="M109" s="78"/>
      <c r="N109" s="34"/>
      <c r="O109" s="34"/>
      <c r="P109" s="34"/>
      <c r="Q109" s="34"/>
    </row>
    <row r="110" spans="2:17" x14ac:dyDescent="0.2">
      <c r="B110" s="34"/>
      <c r="C110" s="34"/>
      <c r="D110" s="410"/>
      <c r="E110" s="368"/>
      <c r="F110" s="406"/>
      <c r="G110" s="368"/>
      <c r="H110" s="409">
        <f>SUM(H105:H109)</f>
        <v>43955</v>
      </c>
      <c r="I110" s="409">
        <f>SUM(I105:I109)</f>
        <v>44630.000000000015</v>
      </c>
      <c r="J110" s="465">
        <f>SUM(J105:J109)</f>
        <v>36738.333333333328</v>
      </c>
      <c r="K110" s="409">
        <f>SUM(K105:K109)</f>
        <v>44280</v>
      </c>
      <c r="L110" s="409">
        <f>SUM(L105:L109)</f>
        <v>44280</v>
      </c>
      <c r="M110" s="78"/>
      <c r="N110" s="34"/>
      <c r="O110" s="34"/>
      <c r="P110" s="34"/>
      <c r="Q110" s="34"/>
    </row>
    <row r="111" spans="2:17" x14ac:dyDescent="0.2">
      <c r="B111" s="55"/>
      <c r="C111" s="55"/>
      <c r="D111" s="405" t="s">
        <v>299</v>
      </c>
      <c r="E111" s="368"/>
      <c r="F111" s="406"/>
      <c r="G111" s="368"/>
      <c r="H111" s="407"/>
      <c r="I111" s="407"/>
      <c r="J111" s="464"/>
      <c r="K111" s="407"/>
      <c r="L111" s="407"/>
      <c r="M111" s="34"/>
      <c r="N111" s="34"/>
      <c r="O111" s="34"/>
      <c r="P111" s="34"/>
      <c r="Q111" s="34"/>
    </row>
    <row r="112" spans="2:17" x14ac:dyDescent="0.2">
      <c r="B112" s="34"/>
      <c r="C112" s="34"/>
      <c r="D112" s="368" t="s">
        <v>118</v>
      </c>
      <c r="E112" s="368"/>
      <c r="F112" s="406"/>
      <c r="G112" s="368"/>
      <c r="H112" s="409">
        <f>0.416666666666667*H59+0.583333333333333*I59</f>
        <v>0</v>
      </c>
      <c r="I112" s="409">
        <f>0.416666666666667*I59+J59</f>
        <v>0</v>
      </c>
      <c r="J112" s="465">
        <f>0.416666666666667*J59+0.583333333333333*K59</f>
        <v>0</v>
      </c>
      <c r="K112" s="409">
        <f>0.416666666666667*K59+0.583333333333333*L59</f>
        <v>0</v>
      </c>
      <c r="L112" s="409">
        <f>L59</f>
        <v>0</v>
      </c>
      <c r="M112" s="78"/>
      <c r="N112" s="34"/>
      <c r="O112" s="34"/>
      <c r="P112" s="34"/>
      <c r="Q112" s="34"/>
    </row>
    <row r="113" spans="2:17" x14ac:dyDescent="0.2">
      <c r="B113" s="34"/>
      <c r="C113" s="34"/>
      <c r="D113" s="368" t="s">
        <v>119</v>
      </c>
      <c r="E113" s="368"/>
      <c r="F113" s="406"/>
      <c r="G113" s="368"/>
      <c r="H113" s="409">
        <f>0.416666666666667*H69+0.583333333333333*I69</f>
        <v>0</v>
      </c>
      <c r="I113" s="409">
        <f>0.416666666666667*I69+0.583333333333333*J69</f>
        <v>0</v>
      </c>
      <c r="J113" s="465">
        <f>0.416666666666667*J69+0.583333333333333*K69</f>
        <v>0</v>
      </c>
      <c r="K113" s="409">
        <f>0.416666666666667*K69+0.583333333333333*L69</f>
        <v>0</v>
      </c>
      <c r="L113" s="409">
        <f>L69</f>
        <v>0</v>
      </c>
      <c r="M113" s="78"/>
      <c r="N113" s="34"/>
      <c r="O113" s="34"/>
      <c r="P113" s="34"/>
      <c r="Q113" s="34"/>
    </row>
    <row r="114" spans="2:17" x14ac:dyDescent="0.2">
      <c r="B114" s="34"/>
      <c r="C114" s="34"/>
      <c r="D114" s="368" t="s">
        <v>300</v>
      </c>
      <c r="E114" s="368"/>
      <c r="F114" s="406"/>
      <c r="G114" s="368"/>
      <c r="H114" s="409">
        <f>0.416666666666667*H86+0.583333333333333*I86</f>
        <v>21965.25</v>
      </c>
      <c r="I114" s="409">
        <f>0.416666666666667*I86+J86</f>
        <v>22311.583333333343</v>
      </c>
      <c r="J114" s="465">
        <f>0.416666666666667*J86+0.583333333333333*K86</f>
        <v>18363.236111111109</v>
      </c>
      <c r="K114" s="409">
        <f>0.416666666666667*K86+0.583333333333333*L86</f>
        <v>22129</v>
      </c>
      <c r="L114" s="409">
        <f>L86</f>
        <v>22129</v>
      </c>
      <c r="M114" s="78"/>
      <c r="N114" s="34"/>
      <c r="O114" s="34"/>
      <c r="P114" s="34"/>
      <c r="Q114" s="34"/>
    </row>
    <row r="115" spans="2:17" x14ac:dyDescent="0.2">
      <c r="B115" s="34"/>
      <c r="C115" s="34"/>
      <c r="D115" s="410"/>
      <c r="E115" s="368"/>
      <c r="F115" s="406"/>
      <c r="G115" s="368"/>
      <c r="H115" s="409">
        <f>SUM(H112:H114)</f>
        <v>21965.25</v>
      </c>
      <c r="I115" s="409">
        <f>SUM(I112:I114)</f>
        <v>22311.583333333343</v>
      </c>
      <c r="J115" s="465">
        <f>SUM(J112:J114)</f>
        <v>18363.236111111109</v>
      </c>
      <c r="K115" s="409">
        <f>SUM(K112:K114)</f>
        <v>22129</v>
      </c>
      <c r="L115" s="409">
        <f>SUM(L112:L114)</f>
        <v>22129</v>
      </c>
      <c r="M115" s="78"/>
      <c r="N115" s="34"/>
      <c r="O115" s="34"/>
      <c r="P115" s="34"/>
      <c r="Q115" s="34"/>
    </row>
    <row r="116" spans="2:17" x14ac:dyDescent="0.2">
      <c r="B116" s="34"/>
      <c r="C116" s="34"/>
      <c r="D116" s="411"/>
      <c r="E116" s="368"/>
      <c r="F116" s="406"/>
      <c r="G116" s="368"/>
      <c r="H116" s="407"/>
      <c r="I116" s="407"/>
      <c r="J116" s="464"/>
      <c r="K116" s="407"/>
      <c r="L116" s="407"/>
      <c r="M116" s="34"/>
      <c r="N116" s="34"/>
      <c r="O116" s="34"/>
      <c r="P116" s="34"/>
      <c r="Q116" s="34"/>
    </row>
    <row r="117" spans="2:17" x14ac:dyDescent="0.2">
      <c r="B117" s="35"/>
      <c r="C117" s="35"/>
      <c r="D117" s="410" t="s">
        <v>301</v>
      </c>
      <c r="E117" s="368"/>
      <c r="F117" s="406"/>
      <c r="G117" s="368"/>
      <c r="H117" s="409">
        <f>+H110-H115</f>
        <v>21989.75</v>
      </c>
      <c r="I117" s="409">
        <f>+I110-I115</f>
        <v>22318.416666666672</v>
      </c>
      <c r="J117" s="465">
        <f>+J110-J115</f>
        <v>18375.097222222219</v>
      </c>
      <c r="K117" s="409">
        <f>+K110-K115</f>
        <v>22151</v>
      </c>
      <c r="L117" s="409">
        <f>+L110-L115</f>
        <v>22151</v>
      </c>
      <c r="M117" s="78"/>
      <c r="N117" s="34"/>
      <c r="O117" s="34"/>
      <c r="P117" s="34"/>
      <c r="Q117" s="34"/>
    </row>
    <row r="118" spans="2:17" x14ac:dyDescent="0.2">
      <c r="B118" s="34"/>
      <c r="C118" s="34"/>
      <c r="D118" s="63"/>
      <c r="E118" s="34"/>
      <c r="F118" s="36"/>
      <c r="G118" s="34"/>
      <c r="H118" s="77"/>
      <c r="I118" s="77"/>
      <c r="J118" s="77"/>
      <c r="K118" s="77"/>
      <c r="L118" s="34"/>
      <c r="M118" s="34"/>
      <c r="N118" s="34"/>
      <c r="O118" s="34"/>
      <c r="P118" s="34"/>
      <c r="Q118" s="34"/>
    </row>
    <row r="119" spans="2:17" x14ac:dyDescent="0.2">
      <c r="B119" s="34"/>
      <c r="C119" s="34"/>
      <c r="D119" s="63"/>
      <c r="E119" s="34"/>
      <c r="F119" s="36"/>
      <c r="G119" s="34"/>
      <c r="H119" s="77"/>
      <c r="I119" s="77"/>
      <c r="J119" s="77"/>
      <c r="K119" s="77"/>
      <c r="L119" s="34"/>
      <c r="M119" s="34"/>
      <c r="N119" s="34"/>
      <c r="O119" s="34"/>
      <c r="P119" s="34"/>
      <c r="Q119" s="34"/>
    </row>
    <row r="120" spans="2:17" x14ac:dyDescent="0.2">
      <c r="B120" s="34"/>
      <c r="C120" s="34"/>
      <c r="D120" s="56"/>
      <c r="E120" s="34"/>
      <c r="F120" s="36"/>
      <c r="G120" s="34"/>
      <c r="H120" s="77"/>
      <c r="I120" s="77"/>
      <c r="J120" s="77"/>
      <c r="K120" s="77"/>
      <c r="L120" s="34"/>
      <c r="M120" s="34"/>
      <c r="N120" s="34"/>
      <c r="O120" s="34"/>
      <c r="P120" s="34"/>
      <c r="Q120" s="34"/>
    </row>
    <row r="121" spans="2:17" x14ac:dyDescent="0.2">
      <c r="B121" s="34"/>
      <c r="C121" s="34"/>
      <c r="D121" s="34"/>
      <c r="E121" s="34"/>
      <c r="F121" s="36"/>
      <c r="G121" s="34"/>
      <c r="H121" s="34"/>
      <c r="I121" s="36"/>
      <c r="J121" s="36"/>
      <c r="K121" s="36"/>
      <c r="L121" s="36"/>
      <c r="M121" s="34"/>
      <c r="N121" s="34"/>
      <c r="O121" s="34"/>
      <c r="P121" s="34"/>
    </row>
    <row r="122" spans="2:17" x14ac:dyDescent="0.2">
      <c r="B122" s="34"/>
      <c r="C122" s="34"/>
      <c r="D122" s="34"/>
      <c r="E122" s="34"/>
      <c r="F122" s="36"/>
      <c r="G122" s="34"/>
      <c r="H122" s="34"/>
      <c r="I122" s="36"/>
      <c r="J122" s="36"/>
      <c r="K122" s="36"/>
      <c r="L122" s="36"/>
      <c r="M122" s="34"/>
      <c r="N122" s="34"/>
      <c r="O122" s="34"/>
      <c r="P122" s="34"/>
    </row>
    <row r="123" spans="2:17" x14ac:dyDescent="0.2">
      <c r="B123" s="34"/>
      <c r="C123" s="34"/>
      <c r="D123" s="34"/>
      <c r="E123" s="34"/>
      <c r="F123" s="36"/>
      <c r="G123" s="34"/>
      <c r="H123" s="34"/>
      <c r="I123" s="36"/>
      <c r="J123" s="36"/>
      <c r="K123" s="36"/>
      <c r="L123" s="36"/>
      <c r="M123" s="34"/>
      <c r="N123" s="34"/>
      <c r="O123" s="34"/>
      <c r="P123" s="34"/>
    </row>
    <row r="124" spans="2:17" x14ac:dyDescent="0.2">
      <c r="B124" s="34"/>
      <c r="C124" s="34"/>
      <c r="D124" s="34"/>
      <c r="E124" s="34"/>
      <c r="F124" s="36"/>
      <c r="G124" s="34"/>
      <c r="H124" s="34"/>
      <c r="I124" s="36"/>
      <c r="J124" s="36"/>
      <c r="K124" s="36"/>
      <c r="L124" s="36"/>
      <c r="M124" s="34"/>
      <c r="N124" s="34"/>
      <c r="O124" s="34"/>
      <c r="P124" s="34"/>
    </row>
    <row r="125" spans="2:17" x14ac:dyDescent="0.2">
      <c r="B125" s="34"/>
      <c r="C125" s="34"/>
      <c r="D125" s="34"/>
      <c r="E125" s="34"/>
      <c r="F125" s="36"/>
      <c r="G125" s="34"/>
      <c r="H125" s="34"/>
      <c r="I125" s="36"/>
      <c r="J125" s="36"/>
      <c r="K125" s="36"/>
      <c r="L125" s="36"/>
      <c r="M125" s="34"/>
      <c r="N125" s="34"/>
      <c r="O125" s="34"/>
      <c r="P125" s="34"/>
    </row>
    <row r="126" spans="2:17" x14ac:dyDescent="0.2">
      <c r="B126" s="34"/>
      <c r="C126" s="34"/>
      <c r="D126" s="34"/>
      <c r="E126" s="34"/>
      <c r="F126" s="36"/>
      <c r="G126" s="34"/>
      <c r="H126" s="34"/>
      <c r="I126" s="36"/>
      <c r="J126" s="36"/>
      <c r="K126" s="36"/>
      <c r="L126" s="36"/>
      <c r="M126" s="34"/>
      <c r="N126" s="34"/>
      <c r="O126" s="34"/>
      <c r="P126" s="34"/>
    </row>
    <row r="127" spans="2:17" x14ac:dyDescent="0.2">
      <c r="B127" s="34"/>
      <c r="C127" s="34"/>
      <c r="D127" s="34"/>
      <c r="E127" s="34"/>
      <c r="F127" s="36"/>
      <c r="G127" s="34"/>
      <c r="H127" s="34"/>
      <c r="I127" s="36"/>
      <c r="J127" s="36"/>
      <c r="K127" s="36"/>
      <c r="L127" s="36"/>
      <c r="M127" s="34"/>
      <c r="N127" s="34"/>
      <c r="O127" s="34"/>
      <c r="P127" s="34"/>
    </row>
    <row r="128" spans="2:17" x14ac:dyDescent="0.2">
      <c r="B128" s="34"/>
      <c r="C128" s="34"/>
      <c r="D128" s="34"/>
      <c r="E128" s="34"/>
      <c r="F128" s="36"/>
      <c r="G128" s="34"/>
      <c r="H128" s="34"/>
      <c r="I128" s="36"/>
      <c r="J128" s="36"/>
      <c r="K128" s="36"/>
      <c r="L128" s="36"/>
      <c r="M128" s="34"/>
      <c r="N128" s="34"/>
      <c r="O128" s="34"/>
      <c r="P128" s="34"/>
    </row>
    <row r="129" spans="2:16" x14ac:dyDescent="0.2">
      <c r="B129" s="34"/>
      <c r="C129" s="34"/>
      <c r="D129" s="34"/>
      <c r="E129" s="34"/>
      <c r="F129" s="36"/>
      <c r="G129" s="34"/>
      <c r="H129" s="34"/>
      <c r="I129" s="36"/>
      <c r="J129" s="36"/>
      <c r="K129" s="36"/>
      <c r="L129" s="36"/>
      <c r="M129" s="34"/>
      <c r="N129" s="34"/>
      <c r="O129" s="34"/>
      <c r="P129" s="34"/>
    </row>
    <row r="130" spans="2:16" x14ac:dyDescent="0.2">
      <c r="B130" s="34"/>
      <c r="C130" s="34"/>
      <c r="D130" s="34"/>
      <c r="E130" s="34"/>
      <c r="F130" s="36"/>
      <c r="G130" s="34"/>
      <c r="H130" s="34"/>
      <c r="I130" s="36"/>
      <c r="J130" s="36"/>
      <c r="K130" s="36"/>
      <c r="L130" s="36"/>
      <c r="M130" s="34"/>
      <c r="N130" s="34"/>
      <c r="O130" s="34"/>
      <c r="P130" s="34"/>
    </row>
    <row r="131" spans="2:16" x14ac:dyDescent="0.2">
      <c r="B131" s="34"/>
      <c r="C131" s="34"/>
      <c r="D131" s="34"/>
      <c r="E131" s="34"/>
      <c r="F131" s="36"/>
      <c r="G131" s="34"/>
      <c r="H131" s="34"/>
      <c r="I131" s="36"/>
      <c r="J131" s="36"/>
      <c r="K131" s="36"/>
      <c r="L131" s="36"/>
      <c r="M131" s="34"/>
      <c r="N131" s="34"/>
      <c r="O131" s="34"/>
      <c r="P131" s="34"/>
    </row>
    <row r="132" spans="2:16" x14ac:dyDescent="0.2">
      <c r="B132" s="34"/>
      <c r="C132" s="34"/>
      <c r="D132" s="34"/>
      <c r="E132" s="34"/>
      <c r="F132" s="36"/>
      <c r="G132" s="34"/>
      <c r="H132" s="34"/>
      <c r="I132" s="36"/>
      <c r="J132" s="36"/>
      <c r="K132" s="36"/>
      <c r="L132" s="36"/>
      <c r="M132" s="34"/>
      <c r="N132" s="34"/>
      <c r="O132" s="34"/>
      <c r="P132" s="34"/>
    </row>
    <row r="133" spans="2:16" x14ac:dyDescent="0.2">
      <c r="B133" s="34"/>
      <c r="C133" s="34"/>
      <c r="D133" s="34"/>
      <c r="E133" s="34"/>
      <c r="F133" s="36"/>
      <c r="G133" s="34"/>
      <c r="H133" s="34"/>
      <c r="I133" s="36"/>
      <c r="J133" s="36"/>
      <c r="K133" s="36"/>
      <c r="L133" s="36"/>
      <c r="M133" s="34"/>
      <c r="N133" s="34"/>
      <c r="O133" s="34"/>
      <c r="P133" s="34"/>
    </row>
    <row r="134" spans="2:16" x14ac:dyDescent="0.2">
      <c r="B134" s="34"/>
      <c r="C134" s="34"/>
      <c r="D134" s="34"/>
      <c r="E134" s="34"/>
      <c r="F134" s="36"/>
      <c r="G134" s="34"/>
      <c r="H134" s="34"/>
      <c r="I134" s="36"/>
      <c r="J134" s="36"/>
      <c r="K134" s="36"/>
      <c r="L134" s="36"/>
      <c r="M134" s="34"/>
      <c r="N134" s="34"/>
      <c r="O134" s="34"/>
      <c r="P134" s="34"/>
    </row>
    <row r="135" spans="2:16" x14ac:dyDescent="0.2">
      <c r="B135" s="34"/>
      <c r="C135" s="34"/>
      <c r="D135" s="34"/>
      <c r="E135" s="34"/>
      <c r="F135" s="36"/>
      <c r="G135" s="34"/>
      <c r="H135" s="34"/>
      <c r="I135" s="36"/>
      <c r="J135" s="36"/>
      <c r="K135" s="36"/>
      <c r="L135" s="36"/>
      <c r="M135" s="34"/>
      <c r="N135" s="34"/>
      <c r="O135" s="34"/>
      <c r="P135" s="34"/>
    </row>
    <row r="136" spans="2:16" x14ac:dyDescent="0.2">
      <c r="B136" s="34"/>
      <c r="C136" s="34"/>
      <c r="D136" s="34"/>
      <c r="E136" s="34"/>
      <c r="F136" s="36"/>
      <c r="G136" s="34"/>
      <c r="H136" s="34"/>
      <c r="I136" s="36"/>
      <c r="J136" s="36"/>
      <c r="K136" s="36"/>
      <c r="L136" s="36"/>
      <c r="M136" s="34"/>
      <c r="N136" s="34"/>
      <c r="O136" s="34"/>
      <c r="P136" s="34"/>
    </row>
    <row r="137" spans="2:16" x14ac:dyDescent="0.2">
      <c r="B137" s="34"/>
      <c r="C137" s="34"/>
      <c r="D137" s="34"/>
      <c r="E137" s="34"/>
      <c r="F137" s="36"/>
      <c r="G137" s="34"/>
      <c r="H137" s="34"/>
      <c r="I137" s="36"/>
      <c r="J137" s="36"/>
      <c r="K137" s="36"/>
      <c r="L137" s="36"/>
      <c r="M137" s="34"/>
      <c r="N137" s="34"/>
      <c r="O137" s="34"/>
      <c r="P137" s="34"/>
    </row>
    <row r="138" spans="2:16" x14ac:dyDescent="0.2">
      <c r="B138" s="34"/>
      <c r="C138" s="34"/>
      <c r="D138" s="34"/>
      <c r="E138" s="34"/>
      <c r="F138" s="36"/>
      <c r="G138" s="34"/>
      <c r="H138" s="34"/>
      <c r="I138" s="36"/>
      <c r="J138" s="36"/>
      <c r="K138" s="36"/>
      <c r="L138" s="36"/>
      <c r="M138" s="34"/>
      <c r="N138" s="34"/>
      <c r="O138" s="34"/>
      <c r="P138" s="34"/>
    </row>
    <row r="139" spans="2:16" x14ac:dyDescent="0.2">
      <c r="B139" s="34"/>
      <c r="C139" s="34"/>
      <c r="D139" s="34"/>
      <c r="E139" s="34"/>
      <c r="F139" s="36"/>
      <c r="G139" s="34"/>
      <c r="H139" s="34"/>
      <c r="I139" s="36"/>
      <c r="J139" s="36"/>
      <c r="K139" s="36"/>
      <c r="L139" s="36"/>
      <c r="M139" s="34"/>
      <c r="N139" s="34"/>
      <c r="O139" s="34"/>
      <c r="P139" s="34"/>
    </row>
    <row r="140" spans="2:16" x14ac:dyDescent="0.2">
      <c r="B140" s="34"/>
      <c r="C140" s="34"/>
      <c r="D140" s="34"/>
      <c r="E140" s="34"/>
      <c r="F140" s="36"/>
      <c r="G140" s="34"/>
      <c r="H140" s="34"/>
      <c r="I140" s="36"/>
      <c r="J140" s="36"/>
      <c r="K140" s="36"/>
      <c r="L140" s="36"/>
      <c r="M140" s="34"/>
      <c r="N140" s="34"/>
      <c r="O140" s="34"/>
      <c r="P140" s="34"/>
    </row>
    <row r="141" spans="2:16" x14ac:dyDescent="0.2">
      <c r="B141" s="34"/>
      <c r="C141" s="34"/>
      <c r="D141" s="34"/>
      <c r="E141" s="34"/>
      <c r="F141" s="36"/>
      <c r="G141" s="34"/>
      <c r="H141" s="34"/>
      <c r="I141" s="36"/>
      <c r="J141" s="36"/>
      <c r="K141" s="36"/>
      <c r="L141" s="36"/>
      <c r="M141" s="34"/>
      <c r="N141" s="34"/>
      <c r="O141" s="34"/>
      <c r="P141" s="34"/>
    </row>
    <row r="142" spans="2:16" x14ac:dyDescent="0.2">
      <c r="B142" s="34"/>
      <c r="C142" s="34"/>
      <c r="D142" s="34"/>
      <c r="E142" s="34"/>
      <c r="F142" s="36"/>
      <c r="G142" s="34"/>
      <c r="H142" s="34"/>
      <c r="I142" s="36"/>
      <c r="J142" s="36"/>
      <c r="K142" s="36"/>
      <c r="L142" s="36"/>
      <c r="M142" s="34"/>
      <c r="N142" s="34"/>
      <c r="O142" s="34"/>
      <c r="P142" s="34"/>
    </row>
    <row r="143" spans="2:16" x14ac:dyDescent="0.2">
      <c r="B143" s="34"/>
      <c r="C143" s="34"/>
      <c r="D143" s="34"/>
      <c r="E143" s="34"/>
      <c r="F143" s="36"/>
      <c r="G143" s="34"/>
      <c r="H143" s="34"/>
      <c r="I143" s="36"/>
      <c r="J143" s="36"/>
      <c r="K143" s="36"/>
      <c r="L143" s="36"/>
      <c r="M143" s="34"/>
      <c r="N143" s="34"/>
      <c r="O143" s="34"/>
      <c r="P143" s="34"/>
    </row>
    <row r="144" spans="2:16" x14ac:dyDescent="0.2">
      <c r="B144" s="34"/>
      <c r="C144" s="34"/>
      <c r="D144" s="34"/>
      <c r="E144" s="34"/>
      <c r="F144" s="36"/>
      <c r="G144" s="34"/>
      <c r="H144" s="34"/>
      <c r="I144" s="36"/>
      <c r="J144" s="36"/>
      <c r="K144" s="36"/>
      <c r="L144" s="36"/>
      <c r="M144" s="34"/>
      <c r="N144" s="34"/>
      <c r="O144" s="34"/>
      <c r="P144" s="34"/>
    </row>
    <row r="145" spans="2:16" x14ac:dyDescent="0.2">
      <c r="B145" s="34"/>
      <c r="C145" s="34"/>
      <c r="D145" s="34"/>
      <c r="E145" s="34"/>
      <c r="F145" s="36"/>
      <c r="G145" s="34"/>
      <c r="H145" s="34"/>
      <c r="I145" s="36"/>
      <c r="J145" s="36"/>
      <c r="K145" s="36"/>
      <c r="L145" s="36"/>
      <c r="M145" s="34"/>
      <c r="N145" s="34"/>
      <c r="O145" s="34"/>
      <c r="P145" s="34"/>
    </row>
    <row r="146" spans="2:16" x14ac:dyDescent="0.2">
      <c r="B146" s="34"/>
      <c r="C146" s="34"/>
      <c r="D146" s="34"/>
      <c r="E146" s="34"/>
      <c r="F146" s="36"/>
      <c r="G146" s="34"/>
      <c r="H146" s="34"/>
      <c r="I146" s="36"/>
      <c r="J146" s="36"/>
      <c r="K146" s="36"/>
      <c r="L146" s="36"/>
      <c r="M146" s="34"/>
      <c r="N146" s="34"/>
      <c r="O146" s="34"/>
      <c r="P146" s="34"/>
    </row>
    <row r="147" spans="2:16" x14ac:dyDescent="0.2">
      <c r="B147" s="34"/>
      <c r="C147" s="34"/>
      <c r="D147" s="34"/>
      <c r="E147" s="34"/>
      <c r="F147" s="36"/>
      <c r="G147" s="34"/>
      <c r="H147" s="34"/>
      <c r="I147" s="36"/>
      <c r="J147" s="36"/>
      <c r="K147" s="36"/>
      <c r="L147" s="36"/>
      <c r="M147" s="34"/>
      <c r="N147" s="34"/>
      <c r="O147" s="34"/>
      <c r="P147" s="34"/>
    </row>
    <row r="148" spans="2:16" x14ac:dyDescent="0.2">
      <c r="B148" s="34"/>
      <c r="C148" s="34"/>
      <c r="D148" s="34"/>
      <c r="E148" s="34"/>
      <c r="F148" s="36"/>
      <c r="G148" s="34"/>
      <c r="H148" s="34"/>
      <c r="I148" s="36"/>
      <c r="J148" s="36"/>
      <c r="K148" s="36"/>
      <c r="L148" s="36"/>
      <c r="M148" s="34"/>
      <c r="N148" s="34"/>
      <c r="O148" s="34"/>
      <c r="P148" s="34"/>
    </row>
    <row r="149" spans="2:16" x14ac:dyDescent="0.2">
      <c r="B149" s="34"/>
      <c r="C149" s="34"/>
      <c r="D149" s="34"/>
      <c r="E149" s="34"/>
      <c r="F149" s="36"/>
      <c r="G149" s="34"/>
      <c r="H149" s="34"/>
      <c r="I149" s="36"/>
      <c r="J149" s="36"/>
      <c r="K149" s="36"/>
      <c r="L149" s="36"/>
      <c r="M149" s="34"/>
      <c r="N149" s="34"/>
      <c r="O149" s="34"/>
      <c r="P149" s="34"/>
    </row>
    <row r="150" spans="2:16" x14ac:dyDescent="0.2">
      <c r="B150" s="34"/>
      <c r="C150" s="34"/>
      <c r="D150" s="34"/>
      <c r="E150" s="34"/>
      <c r="F150" s="36"/>
      <c r="G150" s="34"/>
      <c r="H150" s="34"/>
      <c r="I150" s="36"/>
      <c r="J150" s="36"/>
      <c r="K150" s="36"/>
      <c r="L150" s="36"/>
      <c r="M150" s="34"/>
      <c r="N150" s="34"/>
      <c r="O150" s="34"/>
      <c r="P150" s="34"/>
    </row>
    <row r="151" spans="2:16" x14ac:dyDescent="0.2">
      <c r="B151" s="34"/>
      <c r="C151" s="34"/>
      <c r="D151" s="34"/>
      <c r="E151" s="34"/>
      <c r="F151" s="36"/>
      <c r="G151" s="34"/>
      <c r="H151" s="34"/>
      <c r="I151" s="36"/>
      <c r="J151" s="36"/>
      <c r="K151" s="36"/>
      <c r="L151" s="36"/>
      <c r="M151" s="34"/>
      <c r="N151" s="34"/>
      <c r="O151" s="34"/>
      <c r="P151" s="34"/>
    </row>
    <row r="152" spans="2:16" x14ac:dyDescent="0.2">
      <c r="B152" s="34"/>
      <c r="C152" s="34"/>
      <c r="D152" s="34"/>
      <c r="E152" s="34"/>
      <c r="F152" s="36"/>
      <c r="G152" s="34"/>
      <c r="H152" s="34"/>
      <c r="I152" s="36"/>
      <c r="J152" s="36"/>
      <c r="K152" s="36"/>
      <c r="L152" s="36"/>
      <c r="M152" s="34"/>
      <c r="N152" s="34"/>
      <c r="O152" s="34"/>
      <c r="P152" s="34"/>
    </row>
    <row r="153" spans="2:16" x14ac:dyDescent="0.2">
      <c r="B153" s="34"/>
      <c r="C153" s="34"/>
      <c r="D153" s="34"/>
      <c r="E153" s="34"/>
      <c r="F153" s="36"/>
      <c r="G153" s="34"/>
      <c r="H153" s="34"/>
      <c r="I153" s="36"/>
      <c r="J153" s="36"/>
      <c r="K153" s="36"/>
      <c r="L153" s="36"/>
      <c r="M153" s="34"/>
      <c r="N153" s="34"/>
      <c r="O153" s="34"/>
      <c r="P153" s="34"/>
    </row>
    <row r="154" spans="2:16" x14ac:dyDescent="0.2">
      <c r="B154" s="34"/>
      <c r="C154" s="34"/>
      <c r="D154" s="34"/>
      <c r="E154" s="34"/>
      <c r="F154" s="36"/>
      <c r="G154" s="34"/>
      <c r="H154" s="34"/>
      <c r="I154" s="36"/>
      <c r="J154" s="36"/>
      <c r="K154" s="36"/>
      <c r="L154" s="36"/>
      <c r="M154" s="34"/>
      <c r="N154" s="34"/>
      <c r="O154" s="34"/>
      <c r="P154" s="34"/>
    </row>
    <row r="155" spans="2:16" x14ac:dyDescent="0.2">
      <c r="B155" s="34"/>
      <c r="C155" s="34"/>
      <c r="D155" s="34"/>
      <c r="E155" s="34"/>
      <c r="F155" s="36"/>
      <c r="G155" s="34"/>
      <c r="H155" s="34"/>
      <c r="I155" s="36"/>
      <c r="J155" s="36"/>
      <c r="K155" s="36"/>
      <c r="L155" s="36"/>
      <c r="M155" s="34"/>
      <c r="N155" s="34"/>
      <c r="O155" s="34"/>
      <c r="P155" s="34"/>
    </row>
    <row r="156" spans="2:16" x14ac:dyDescent="0.2">
      <c r="B156" s="34"/>
      <c r="C156" s="34"/>
      <c r="D156" s="34"/>
      <c r="E156" s="34"/>
      <c r="F156" s="36"/>
      <c r="G156" s="34"/>
      <c r="H156" s="34"/>
      <c r="I156" s="36"/>
      <c r="J156" s="36"/>
      <c r="K156" s="36"/>
      <c r="L156" s="36"/>
      <c r="M156" s="34"/>
      <c r="N156" s="34"/>
      <c r="O156" s="34"/>
      <c r="P156" s="34"/>
    </row>
    <row r="157" spans="2:16" x14ac:dyDescent="0.2">
      <c r="B157" s="34"/>
      <c r="C157" s="34"/>
      <c r="D157" s="34"/>
      <c r="E157" s="34"/>
      <c r="F157" s="36"/>
      <c r="G157" s="34"/>
      <c r="H157" s="34"/>
      <c r="I157" s="36"/>
      <c r="J157" s="36"/>
      <c r="K157" s="36"/>
      <c r="L157" s="36"/>
      <c r="M157" s="34"/>
      <c r="N157" s="34"/>
      <c r="O157" s="34"/>
      <c r="P157" s="34"/>
    </row>
    <row r="158" spans="2:16" x14ac:dyDescent="0.2">
      <c r="B158" s="34"/>
      <c r="C158" s="34"/>
      <c r="D158" s="34"/>
      <c r="E158" s="34"/>
      <c r="F158" s="36"/>
      <c r="G158" s="34"/>
      <c r="H158" s="34"/>
      <c r="I158" s="36"/>
      <c r="J158" s="36"/>
      <c r="K158" s="36"/>
      <c r="L158" s="36"/>
      <c r="M158" s="34"/>
      <c r="N158" s="34"/>
      <c r="O158" s="34"/>
      <c r="P158" s="34"/>
    </row>
    <row r="159" spans="2:16" x14ac:dyDescent="0.2">
      <c r="B159" s="34"/>
      <c r="C159" s="34"/>
      <c r="D159" s="34"/>
      <c r="E159" s="34"/>
      <c r="F159" s="36"/>
      <c r="G159" s="34"/>
      <c r="H159" s="34"/>
      <c r="I159" s="36"/>
      <c r="J159" s="36"/>
      <c r="K159" s="36"/>
      <c r="L159" s="36"/>
      <c r="M159" s="34"/>
      <c r="N159" s="34"/>
      <c r="O159" s="34"/>
      <c r="P159" s="34"/>
    </row>
    <row r="160" spans="2:16" x14ac:dyDescent="0.2">
      <c r="B160" s="34"/>
      <c r="C160" s="34"/>
      <c r="D160" s="34"/>
      <c r="E160" s="34"/>
      <c r="F160" s="36"/>
      <c r="G160" s="34"/>
      <c r="H160" s="34"/>
      <c r="I160" s="36"/>
      <c r="J160" s="36"/>
      <c r="K160" s="36"/>
      <c r="L160" s="36"/>
      <c r="M160" s="34"/>
      <c r="N160" s="34"/>
      <c r="O160" s="34"/>
      <c r="P160" s="34"/>
    </row>
    <row r="161" spans="2:16" x14ac:dyDescent="0.2">
      <c r="B161" s="34"/>
      <c r="C161" s="34"/>
      <c r="D161" s="34"/>
      <c r="E161" s="34"/>
      <c r="F161" s="36"/>
      <c r="G161" s="34"/>
      <c r="H161" s="34"/>
      <c r="I161" s="36"/>
      <c r="J161" s="36"/>
      <c r="K161" s="36"/>
      <c r="L161" s="36"/>
      <c r="M161" s="34"/>
      <c r="N161" s="34"/>
      <c r="O161" s="34"/>
      <c r="P161" s="34"/>
    </row>
    <row r="162" spans="2:16" x14ac:dyDescent="0.2">
      <c r="B162" s="34"/>
      <c r="C162" s="34"/>
      <c r="D162" s="34"/>
      <c r="E162" s="34"/>
      <c r="F162" s="36"/>
      <c r="G162" s="34"/>
      <c r="H162" s="34"/>
      <c r="I162" s="36"/>
      <c r="J162" s="36"/>
      <c r="K162" s="36"/>
      <c r="L162" s="36"/>
      <c r="M162" s="34"/>
      <c r="N162" s="34"/>
      <c r="O162" s="34"/>
      <c r="P162" s="34"/>
    </row>
    <row r="163" spans="2:16" x14ac:dyDescent="0.2">
      <c r="B163" s="34"/>
      <c r="C163" s="34"/>
      <c r="D163" s="34"/>
      <c r="E163" s="34"/>
      <c r="F163" s="36"/>
      <c r="G163" s="34"/>
      <c r="H163" s="34"/>
      <c r="I163" s="36"/>
      <c r="J163" s="36"/>
      <c r="K163" s="36"/>
      <c r="L163" s="36"/>
      <c r="M163" s="34"/>
      <c r="N163" s="34"/>
      <c r="O163" s="34"/>
      <c r="P163" s="34"/>
    </row>
    <row r="164" spans="2:16" x14ac:dyDescent="0.2">
      <c r="B164" s="34"/>
      <c r="C164" s="34"/>
      <c r="D164" s="34"/>
      <c r="E164" s="34"/>
      <c r="F164" s="36"/>
      <c r="G164" s="34"/>
      <c r="H164" s="34"/>
      <c r="I164" s="36"/>
      <c r="J164" s="36"/>
      <c r="K164" s="36"/>
      <c r="L164" s="36"/>
      <c r="M164" s="34"/>
      <c r="N164" s="34"/>
      <c r="O164" s="34"/>
      <c r="P164" s="34"/>
    </row>
    <row r="165" spans="2:16" x14ac:dyDescent="0.2">
      <c r="B165" s="34"/>
      <c r="C165" s="34"/>
      <c r="D165" s="34"/>
      <c r="E165" s="34"/>
      <c r="F165" s="36"/>
      <c r="G165" s="34"/>
      <c r="H165" s="34"/>
      <c r="I165" s="36"/>
      <c r="J165" s="36"/>
      <c r="K165" s="36"/>
      <c r="L165" s="36"/>
      <c r="M165" s="34"/>
      <c r="N165" s="34"/>
      <c r="O165" s="34"/>
      <c r="P165" s="34"/>
    </row>
    <row r="166" spans="2:16" x14ac:dyDescent="0.2">
      <c r="B166" s="34"/>
      <c r="C166" s="34"/>
      <c r="D166" s="34"/>
      <c r="E166" s="34"/>
      <c r="F166" s="36"/>
      <c r="G166" s="34"/>
      <c r="H166" s="34"/>
      <c r="I166" s="36"/>
      <c r="J166" s="36"/>
      <c r="K166" s="36"/>
      <c r="L166" s="36"/>
      <c r="M166" s="34"/>
      <c r="N166" s="34"/>
      <c r="O166" s="34"/>
      <c r="P166" s="34"/>
    </row>
    <row r="167" spans="2:16" x14ac:dyDescent="0.2">
      <c r="B167" s="34"/>
      <c r="C167" s="34"/>
      <c r="D167" s="34"/>
      <c r="E167" s="34"/>
      <c r="F167" s="36"/>
      <c r="G167" s="34"/>
      <c r="H167" s="34"/>
      <c r="I167" s="36"/>
      <c r="J167" s="36"/>
      <c r="K167" s="36"/>
      <c r="L167" s="36"/>
      <c r="M167" s="34"/>
      <c r="N167" s="34"/>
      <c r="O167" s="34"/>
      <c r="P167" s="34"/>
    </row>
    <row r="168" spans="2:16" x14ac:dyDescent="0.2">
      <c r="B168" s="34"/>
      <c r="C168" s="34"/>
      <c r="D168" s="34"/>
      <c r="E168" s="34"/>
      <c r="F168" s="36"/>
      <c r="G168" s="34"/>
      <c r="H168" s="34"/>
      <c r="I168" s="36"/>
      <c r="J168" s="36"/>
      <c r="K168" s="36"/>
      <c r="L168" s="36"/>
      <c r="M168" s="34"/>
      <c r="N168" s="34"/>
      <c r="O168" s="34"/>
      <c r="P168" s="34"/>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56" orientation="portrait" r:id="rId1"/>
  <headerFooter alignWithMargins="0">
    <oddHeader>&amp;L&amp;"Arial,Vet"&amp;9&amp;F&amp;R&amp;"Arial,Vet"&amp;9&amp;A</oddHeader>
    <oddFooter>&amp;L&amp;"Arial,Vet"&amp;9PO-Raad&amp;C&amp;"Arial,Vet"&amp;9pagina &amp;P&amp;R&amp;"Arial,Vet"&amp;9&amp;D</oddFooter>
  </headerFooter>
  <rowBreaks count="1" manualBreakCount="1">
    <brk id="97" min="1" max="1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C72"/>
  <sheetViews>
    <sheetView showGridLines="0"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23.85546875" style="39" customWidth="1"/>
    <col min="5" max="5" width="22.7109375" style="39" customWidth="1"/>
    <col min="6" max="9" width="10.7109375" style="36" customWidth="1"/>
    <col min="10" max="10" width="0.85546875" style="34" customWidth="1"/>
    <col min="11" max="11" width="12.7109375" style="34" hidden="1" customWidth="1"/>
    <col min="12" max="13" width="12.7109375" style="34" customWidth="1"/>
    <col min="14" max="14" width="12.85546875" style="34" customWidth="1"/>
    <col min="15" max="15" width="13.85546875" style="34" customWidth="1"/>
    <col min="16" max="16" width="0.85546875" style="34" customWidth="1"/>
    <col min="17" max="19" width="10.7109375" style="34" customWidth="1"/>
    <col min="20" max="21" width="10.7109375" style="34" hidden="1" customWidth="1"/>
    <col min="22" max="22" width="0.85546875" style="34" customWidth="1"/>
    <col min="23" max="23" width="10.7109375" style="53" customWidth="1"/>
    <col min="24" max="25" width="10.7109375" style="34" customWidth="1"/>
    <col min="26" max="27" width="10.7109375" style="34" hidden="1" customWidth="1"/>
    <col min="28" max="29" width="2.7109375" style="34" customWidth="1"/>
    <col min="30" max="16384" width="9.140625" style="34"/>
  </cols>
  <sheetData>
    <row r="2" spans="2:29" x14ac:dyDescent="0.2">
      <c r="B2" s="158"/>
      <c r="C2" s="158"/>
      <c r="D2" s="167"/>
      <c r="E2" s="167"/>
      <c r="F2" s="160"/>
      <c r="G2" s="160"/>
      <c r="H2" s="160"/>
      <c r="I2" s="160"/>
      <c r="J2" s="158"/>
      <c r="K2" s="158"/>
      <c r="L2" s="158"/>
      <c r="M2" s="158"/>
      <c r="N2" s="158"/>
      <c r="O2" s="158"/>
      <c r="P2" s="158"/>
      <c r="Q2" s="158"/>
      <c r="R2" s="158"/>
      <c r="S2" s="158"/>
      <c r="T2" s="158"/>
      <c r="U2" s="158"/>
      <c r="V2" s="158"/>
      <c r="W2" s="310"/>
      <c r="X2" s="158"/>
      <c r="Y2" s="158"/>
      <c r="Z2" s="158"/>
      <c r="AA2" s="158"/>
      <c r="AB2" s="158"/>
      <c r="AC2" s="158"/>
    </row>
    <row r="3" spans="2:29" x14ac:dyDescent="0.2">
      <c r="B3" s="158"/>
      <c r="C3" s="158"/>
      <c r="D3" s="167"/>
      <c r="E3" s="167"/>
      <c r="F3" s="160"/>
      <c r="G3" s="160"/>
      <c r="H3" s="160"/>
      <c r="I3" s="160"/>
      <c r="J3" s="158"/>
      <c r="K3" s="158"/>
      <c r="L3" s="158"/>
      <c r="M3" s="158"/>
      <c r="N3" s="158"/>
      <c r="O3" s="158"/>
      <c r="P3" s="158"/>
      <c r="Q3" s="158"/>
      <c r="R3" s="158"/>
      <c r="S3" s="158"/>
      <c r="T3" s="158"/>
      <c r="U3" s="158"/>
      <c r="V3" s="158"/>
      <c r="W3" s="310"/>
      <c r="X3" s="158"/>
      <c r="Y3" s="158"/>
      <c r="Z3" s="158"/>
      <c r="AA3" s="158"/>
      <c r="AB3" s="158"/>
      <c r="AC3" s="158"/>
    </row>
    <row r="4" spans="2:29" s="394" customFormat="1" ht="18" customHeight="1" x14ac:dyDescent="0.3">
      <c r="B4" s="183"/>
      <c r="C4" s="766" t="s">
        <v>310</v>
      </c>
      <c r="D4" s="276"/>
      <c r="E4" s="276"/>
      <c r="F4" s="392"/>
      <c r="G4" s="392"/>
      <c r="H4" s="392"/>
      <c r="I4" s="392"/>
      <c r="J4" s="183"/>
      <c r="K4" s="183"/>
      <c r="L4" s="183"/>
      <c r="M4" s="183"/>
      <c r="N4" s="183"/>
      <c r="O4" s="183"/>
      <c r="P4" s="183"/>
      <c r="Q4" s="183"/>
      <c r="R4" s="183"/>
      <c r="S4" s="183"/>
      <c r="T4" s="183"/>
      <c r="U4" s="183"/>
      <c r="V4" s="183"/>
      <c r="W4" s="393"/>
      <c r="X4" s="183"/>
      <c r="Y4" s="183"/>
      <c r="Z4" s="183"/>
      <c r="AA4" s="183"/>
      <c r="AB4" s="183"/>
      <c r="AC4" s="183"/>
    </row>
    <row r="5" spans="2:29" x14ac:dyDescent="0.2">
      <c r="B5" s="158"/>
      <c r="C5" s="310" t="s">
        <v>205</v>
      </c>
      <c r="D5" s="167"/>
      <c r="E5" s="167"/>
      <c r="F5" s="160"/>
      <c r="G5" s="160"/>
      <c r="H5" s="160"/>
      <c r="I5" s="160"/>
      <c r="J5" s="388"/>
      <c r="K5" s="158"/>
      <c r="L5" s="322"/>
      <c r="M5" s="336"/>
      <c r="N5" s="322"/>
      <c r="O5" s="158"/>
      <c r="P5" s="158"/>
      <c r="Q5" s="389"/>
      <c r="R5" s="389"/>
      <c r="S5" s="389"/>
      <c r="T5" s="389"/>
      <c r="U5" s="389"/>
      <c r="V5" s="158"/>
      <c r="W5" s="389"/>
      <c r="X5" s="389"/>
      <c r="Y5" s="389"/>
      <c r="Z5" s="389"/>
      <c r="AA5" s="158"/>
      <c r="AB5" s="158"/>
      <c r="AC5" s="158"/>
    </row>
    <row r="6" spans="2:29" s="46" customFormat="1" ht="18" customHeight="1" x14ac:dyDescent="0.3">
      <c r="B6" s="317"/>
      <c r="C6" s="194" t="str">
        <f>geg!F10</f>
        <v>Zorgzaam</v>
      </c>
      <c r="D6" s="377"/>
      <c r="E6" s="377"/>
      <c r="F6" s="376"/>
      <c r="G6" s="376"/>
      <c r="H6" s="376"/>
      <c r="I6" s="376"/>
      <c r="J6" s="317"/>
      <c r="K6" s="317"/>
      <c r="L6" s="317"/>
      <c r="M6" s="317"/>
      <c r="N6" s="317"/>
      <c r="O6" s="317"/>
      <c r="P6" s="317"/>
      <c r="Q6" s="317"/>
      <c r="R6" s="317"/>
      <c r="S6" s="317"/>
      <c r="T6" s="317"/>
      <c r="U6" s="317"/>
      <c r="V6" s="317"/>
      <c r="W6" s="390"/>
      <c r="X6" s="317"/>
      <c r="Y6" s="317"/>
      <c r="Z6" s="317"/>
      <c r="AA6" s="317"/>
      <c r="AB6" s="317"/>
      <c r="AC6" s="317"/>
    </row>
    <row r="7" spans="2:29" x14ac:dyDescent="0.2">
      <c r="B7" s="158"/>
      <c r="C7" s="158"/>
      <c r="D7" s="167"/>
      <c r="E7" s="167"/>
      <c r="F7" s="160"/>
      <c r="G7" s="160"/>
      <c r="H7" s="160"/>
      <c r="I7" s="160"/>
      <c r="J7" s="158"/>
      <c r="K7" s="158"/>
      <c r="L7" s="158"/>
      <c r="M7" s="336"/>
      <c r="N7" s="322"/>
      <c r="O7" s="158"/>
      <c r="P7" s="158"/>
      <c r="Q7" s="214"/>
      <c r="R7" s="214"/>
      <c r="S7" s="526" t="s">
        <v>505</v>
      </c>
      <c r="T7" s="530"/>
      <c r="U7" s="530"/>
      <c r="V7" s="529"/>
      <c r="W7" s="529"/>
      <c r="X7" s="529"/>
      <c r="Y7" s="526" t="s">
        <v>505</v>
      </c>
      <c r="Z7" s="158"/>
      <c r="AA7" s="158"/>
      <c r="AB7" s="158"/>
      <c r="AC7" s="158"/>
    </row>
    <row r="8" spans="2:29" s="284" customFormat="1" x14ac:dyDescent="0.2">
      <c r="B8" s="395"/>
      <c r="C8" s="395"/>
      <c r="D8" s="396" t="s">
        <v>187</v>
      </c>
      <c r="E8" s="396" t="s">
        <v>188</v>
      </c>
      <c r="F8" s="395" t="s">
        <v>189</v>
      </c>
      <c r="G8" s="395" t="s">
        <v>190</v>
      </c>
      <c r="H8" s="395" t="s">
        <v>191</v>
      </c>
      <c r="I8" s="395" t="s">
        <v>192</v>
      </c>
      <c r="J8" s="395"/>
      <c r="K8" s="395" t="s">
        <v>193</v>
      </c>
      <c r="L8" s="395" t="s">
        <v>194</v>
      </c>
      <c r="M8" s="395" t="s">
        <v>195</v>
      </c>
      <c r="N8" s="397" t="s">
        <v>196</v>
      </c>
      <c r="O8" s="395" t="s">
        <v>197</v>
      </c>
      <c r="P8" s="395"/>
      <c r="Q8" s="395">
        <f>O9</f>
        <v>2012</v>
      </c>
      <c r="R8" s="398">
        <f>Q8+1</f>
        <v>2013</v>
      </c>
      <c r="S8" s="398">
        <f>Q8+2</f>
        <v>2014</v>
      </c>
      <c r="T8" s="399">
        <f>Q8+3</f>
        <v>2015</v>
      </c>
      <c r="U8" s="399">
        <f>R8+3</f>
        <v>2016</v>
      </c>
      <c r="V8" s="395"/>
      <c r="W8" s="395">
        <f>Q8</f>
        <v>2012</v>
      </c>
      <c r="X8" s="395">
        <f>R8</f>
        <v>2013</v>
      </c>
      <c r="Y8" s="395">
        <f>S8</f>
        <v>2014</v>
      </c>
      <c r="Z8" s="395">
        <f>T8</f>
        <v>2015</v>
      </c>
      <c r="AA8" s="395">
        <f>U8</f>
        <v>2016</v>
      </c>
      <c r="AB8" s="395"/>
      <c r="AC8" s="395"/>
    </row>
    <row r="9" spans="2:29" s="284" customFormat="1" x14ac:dyDescent="0.2">
      <c r="B9" s="395"/>
      <c r="C9" s="395"/>
      <c r="D9" s="396"/>
      <c r="E9" s="396"/>
      <c r="F9" s="395" t="s">
        <v>198</v>
      </c>
      <c r="G9" s="395" t="s">
        <v>199</v>
      </c>
      <c r="H9" s="395" t="s">
        <v>200</v>
      </c>
      <c r="I9" s="395" t="s">
        <v>201</v>
      </c>
      <c r="J9" s="395"/>
      <c r="K9" s="395"/>
      <c r="L9" s="395" t="s">
        <v>202</v>
      </c>
      <c r="M9" s="395" t="s">
        <v>203</v>
      </c>
      <c r="N9" s="397" t="s">
        <v>195</v>
      </c>
      <c r="O9" s="397">
        <f>tab!C4</f>
        <v>2012</v>
      </c>
      <c r="P9" s="395"/>
      <c r="Q9" s="395" t="s">
        <v>195</v>
      </c>
      <c r="R9" s="395" t="s">
        <v>195</v>
      </c>
      <c r="S9" s="395" t="s">
        <v>195</v>
      </c>
      <c r="T9" s="395" t="s">
        <v>195</v>
      </c>
      <c r="U9" s="395" t="s">
        <v>195</v>
      </c>
      <c r="V9" s="395"/>
      <c r="W9" s="395" t="s">
        <v>204</v>
      </c>
      <c r="X9" s="395" t="s">
        <v>204</v>
      </c>
      <c r="Y9" s="395" t="s">
        <v>204</v>
      </c>
      <c r="Z9" s="395" t="s">
        <v>204</v>
      </c>
      <c r="AA9" s="395" t="s">
        <v>204</v>
      </c>
      <c r="AB9" s="395"/>
      <c r="AC9" s="395"/>
    </row>
    <row r="10" spans="2:29" s="71" customFormat="1" x14ac:dyDescent="0.2">
      <c r="B10" s="389"/>
      <c r="C10" s="389"/>
      <c r="D10" s="334"/>
      <c r="E10" s="334"/>
      <c r="F10" s="389"/>
      <c r="G10" s="389"/>
      <c r="H10" s="389"/>
      <c r="I10" s="389"/>
      <c r="J10" s="389"/>
      <c r="K10" s="389"/>
      <c r="L10" s="389"/>
      <c r="M10" s="389"/>
      <c r="N10" s="391"/>
      <c r="O10" s="391"/>
      <c r="P10" s="389"/>
      <c r="Q10" s="389"/>
      <c r="R10" s="389"/>
      <c r="S10" s="389"/>
      <c r="T10" s="389"/>
      <c r="U10" s="389"/>
      <c r="V10" s="389"/>
      <c r="W10" s="389"/>
      <c r="X10" s="389"/>
      <c r="Y10" s="389"/>
      <c r="Z10" s="389"/>
      <c r="AA10" s="389"/>
      <c r="AB10" s="389"/>
      <c r="AC10" s="389"/>
    </row>
    <row r="11" spans="2:29" s="71" customFormat="1" x14ac:dyDescent="0.2">
      <c r="B11" s="389"/>
      <c r="C11" s="650"/>
      <c r="D11" s="767"/>
      <c r="E11" s="767"/>
      <c r="F11" s="650"/>
      <c r="G11" s="650"/>
      <c r="H11" s="650"/>
      <c r="I11" s="650"/>
      <c r="J11" s="650"/>
      <c r="K11" s="650"/>
      <c r="L11" s="650"/>
      <c r="M11" s="650"/>
      <c r="N11" s="725"/>
      <c r="O11" s="699"/>
      <c r="P11" s="681"/>
      <c r="Q11" s="681"/>
      <c r="R11" s="681"/>
      <c r="S11" s="681"/>
      <c r="T11" s="681"/>
      <c r="U11" s="681"/>
      <c r="V11" s="681"/>
      <c r="W11" s="681"/>
      <c r="X11" s="681"/>
      <c r="Y11" s="681"/>
      <c r="Z11" s="681"/>
      <c r="AA11" s="681"/>
      <c r="AB11" s="650"/>
      <c r="AC11" s="389"/>
    </row>
    <row r="12" spans="2:29" s="71" customFormat="1" x14ac:dyDescent="0.2">
      <c r="B12" s="389"/>
      <c r="C12" s="650"/>
      <c r="D12" s="767"/>
      <c r="E12" s="767"/>
      <c r="F12" s="650"/>
      <c r="G12" s="650"/>
      <c r="H12" s="650"/>
      <c r="I12" s="650"/>
      <c r="J12" s="650"/>
      <c r="K12" s="650"/>
      <c r="L12" s="650"/>
      <c r="M12" s="650"/>
      <c r="N12" s="725"/>
      <c r="O12" s="772">
        <f>SUM(O14:O70)</f>
        <v>0</v>
      </c>
      <c r="P12" s="681"/>
      <c r="Q12" s="772">
        <f>SUM(Q14:Q70)</f>
        <v>0</v>
      </c>
      <c r="R12" s="772">
        <f>SUM(R14:R70)</f>
        <v>0</v>
      </c>
      <c r="S12" s="772">
        <f>SUM(S14:S70)</f>
        <v>0</v>
      </c>
      <c r="T12" s="772">
        <f>SUM(T14:T70)</f>
        <v>0</v>
      </c>
      <c r="U12" s="772">
        <f>SUM(U14:U70)</f>
        <v>0</v>
      </c>
      <c r="V12" s="681"/>
      <c r="W12" s="772">
        <f>SUM(W14:W70)</f>
        <v>0</v>
      </c>
      <c r="X12" s="772">
        <f>SUM(X14:X70)</f>
        <v>0</v>
      </c>
      <c r="Y12" s="772">
        <f>SUM(Y14:Y70)</f>
        <v>0</v>
      </c>
      <c r="Z12" s="768">
        <f>SUM(Z14:Z70)</f>
        <v>0</v>
      </c>
      <c r="AA12" s="768">
        <f>SUM(AA14:AA70)</f>
        <v>0</v>
      </c>
      <c r="AB12" s="650"/>
      <c r="AC12" s="389"/>
    </row>
    <row r="13" spans="2:29" s="71" customFormat="1" x14ac:dyDescent="0.2">
      <c r="B13" s="389"/>
      <c r="C13" s="650"/>
      <c r="D13" s="767"/>
      <c r="E13" s="767"/>
      <c r="F13" s="650"/>
      <c r="G13" s="650"/>
      <c r="H13" s="650"/>
      <c r="I13" s="650"/>
      <c r="J13" s="650"/>
      <c r="K13" s="650"/>
      <c r="L13" s="650"/>
      <c r="M13" s="650"/>
      <c r="N13" s="725"/>
      <c r="O13" s="699"/>
      <c r="P13" s="681"/>
      <c r="Q13" s="681"/>
      <c r="R13" s="681"/>
      <c r="S13" s="681"/>
      <c r="T13" s="681"/>
      <c r="U13" s="681"/>
      <c r="V13" s="681"/>
      <c r="W13" s="681"/>
      <c r="X13" s="681"/>
      <c r="Y13" s="681"/>
      <c r="Z13" s="681"/>
      <c r="AA13" s="681"/>
      <c r="AB13" s="650"/>
      <c r="AC13" s="389"/>
    </row>
    <row r="14" spans="2:29" x14ac:dyDescent="0.2">
      <c r="B14" s="158"/>
      <c r="C14" s="499"/>
      <c r="D14" s="523"/>
      <c r="E14" s="523"/>
      <c r="F14" s="517"/>
      <c r="G14" s="777"/>
      <c r="H14" s="517"/>
      <c r="I14" s="517"/>
      <c r="J14" s="499"/>
      <c r="K14" s="681">
        <f t="shared" ref="K14:K20" si="0">IF(I14="geen",9999999999,I14)</f>
        <v>0</v>
      </c>
      <c r="L14" s="775">
        <f t="shared" ref="L14:L52" si="1">F14*G14</f>
        <v>0</v>
      </c>
      <c r="M14" s="775">
        <f t="shared" ref="M14:M52" si="2">IF(F14=0,0,(F14*G14)/K14)</f>
        <v>0</v>
      </c>
      <c r="N14" s="776" t="str">
        <f t="shared" ref="N14:N52" si="3">IF(K14=0,"-",(IF(K14&gt;3000,"-",H14+K14-1)))</f>
        <v>-</v>
      </c>
      <c r="O14" s="775">
        <f t="shared" ref="O14:O52" si="4">IF(I14="geen",IF(H14&lt;$Q$8,F14*G14,0),IF(H14&gt;=$Q$8,0,IF((G14*F14-(Q$8-H14)*M14)&lt;0,0,G14*F14-(Q$8-H14)*M14)))</f>
        <v>0</v>
      </c>
      <c r="P14" s="499"/>
      <c r="Q14" s="775">
        <f t="shared" ref="Q14:Q19" si="5">(IF(Q$8&lt;$H14,0,IF($N14&lt;=Q$8-1,0,$M14)))</f>
        <v>0</v>
      </c>
      <c r="R14" s="775">
        <f t="shared" ref="R14:R19" si="6">(IF(R$8&lt;$H14,0,IF($N14&lt;=R$8-1,0,$M14)))</f>
        <v>0</v>
      </c>
      <c r="S14" s="775">
        <f>IF(S$8&lt;$H14,0,IF($N14&lt;=S$8-1,0,$M14))*7/12</f>
        <v>0</v>
      </c>
      <c r="T14" s="770">
        <f t="shared" ref="T14:U51" si="7">(IF(T$8&lt;$H14,0,IF($N14&lt;=T$8-1,0,$M14)))</f>
        <v>0</v>
      </c>
      <c r="U14" s="770">
        <f t="shared" si="7"/>
        <v>0</v>
      </c>
      <c r="V14" s="499"/>
      <c r="W14" s="775">
        <f t="shared" ref="W14:AA23" si="8">IF(W$8=$H14,($F14*$G14),0)</f>
        <v>0</v>
      </c>
      <c r="X14" s="775">
        <f t="shared" si="8"/>
        <v>0</v>
      </c>
      <c r="Y14" s="775">
        <f t="shared" si="8"/>
        <v>0</v>
      </c>
      <c r="Z14" s="770">
        <f t="shared" si="8"/>
        <v>0</v>
      </c>
      <c r="AA14" s="770">
        <f t="shared" si="8"/>
        <v>0</v>
      </c>
      <c r="AB14" s="499"/>
      <c r="AC14" s="158"/>
    </row>
    <row r="15" spans="2:29" x14ac:dyDescent="0.2">
      <c r="B15" s="158"/>
      <c r="C15" s="499"/>
      <c r="D15" s="523"/>
      <c r="E15" s="523"/>
      <c r="F15" s="517"/>
      <c r="G15" s="777"/>
      <c r="H15" s="517"/>
      <c r="I15" s="517"/>
      <c r="J15" s="499"/>
      <c r="K15" s="681">
        <f t="shared" si="0"/>
        <v>0</v>
      </c>
      <c r="L15" s="775">
        <f>F15*G15</f>
        <v>0</v>
      </c>
      <c r="M15" s="775">
        <f t="shared" si="2"/>
        <v>0</v>
      </c>
      <c r="N15" s="776" t="str">
        <f t="shared" si="3"/>
        <v>-</v>
      </c>
      <c r="O15" s="775">
        <f t="shared" si="4"/>
        <v>0</v>
      </c>
      <c r="P15" s="499"/>
      <c r="Q15" s="775">
        <f t="shared" si="5"/>
        <v>0</v>
      </c>
      <c r="R15" s="775">
        <f t="shared" si="6"/>
        <v>0</v>
      </c>
      <c r="S15" s="775">
        <f t="shared" ref="S15:S69" si="9">IF(S$8&lt;$H15,0,IF($N15&lt;=S$8-1,0,$M15))*7/12</f>
        <v>0</v>
      </c>
      <c r="T15" s="770">
        <f t="shared" si="7"/>
        <v>0</v>
      </c>
      <c r="U15" s="770">
        <f t="shared" si="7"/>
        <v>0</v>
      </c>
      <c r="V15" s="499"/>
      <c r="W15" s="775">
        <f t="shared" si="8"/>
        <v>0</v>
      </c>
      <c r="X15" s="775">
        <f t="shared" si="8"/>
        <v>0</v>
      </c>
      <c r="Y15" s="775">
        <f t="shared" si="8"/>
        <v>0</v>
      </c>
      <c r="Z15" s="770">
        <f t="shared" si="8"/>
        <v>0</v>
      </c>
      <c r="AA15" s="770">
        <f t="shared" si="8"/>
        <v>0</v>
      </c>
      <c r="AB15" s="499"/>
      <c r="AC15" s="158"/>
    </row>
    <row r="16" spans="2:29" x14ac:dyDescent="0.2">
      <c r="B16" s="158"/>
      <c r="C16" s="499"/>
      <c r="D16" s="523"/>
      <c r="E16" s="523"/>
      <c r="F16" s="517"/>
      <c r="G16" s="777"/>
      <c r="H16" s="517"/>
      <c r="I16" s="517"/>
      <c r="J16" s="499"/>
      <c r="K16" s="681">
        <f t="shared" si="0"/>
        <v>0</v>
      </c>
      <c r="L16" s="775">
        <f t="shared" si="1"/>
        <v>0</v>
      </c>
      <c r="M16" s="775">
        <f t="shared" si="2"/>
        <v>0</v>
      </c>
      <c r="N16" s="776" t="str">
        <f t="shared" si="3"/>
        <v>-</v>
      </c>
      <c r="O16" s="775">
        <f t="shared" si="4"/>
        <v>0</v>
      </c>
      <c r="P16" s="499"/>
      <c r="Q16" s="775">
        <f t="shared" si="5"/>
        <v>0</v>
      </c>
      <c r="R16" s="775">
        <f t="shared" si="6"/>
        <v>0</v>
      </c>
      <c r="S16" s="775">
        <f t="shared" si="9"/>
        <v>0</v>
      </c>
      <c r="T16" s="770">
        <f t="shared" si="7"/>
        <v>0</v>
      </c>
      <c r="U16" s="770">
        <f t="shared" si="7"/>
        <v>0</v>
      </c>
      <c r="V16" s="499"/>
      <c r="W16" s="775">
        <f t="shared" si="8"/>
        <v>0</v>
      </c>
      <c r="X16" s="775">
        <f t="shared" si="8"/>
        <v>0</v>
      </c>
      <c r="Y16" s="775">
        <f t="shared" si="8"/>
        <v>0</v>
      </c>
      <c r="Z16" s="770">
        <f t="shared" si="8"/>
        <v>0</v>
      </c>
      <c r="AA16" s="770">
        <f t="shared" si="8"/>
        <v>0</v>
      </c>
      <c r="AB16" s="499"/>
      <c r="AC16" s="158"/>
    </row>
    <row r="17" spans="2:29" x14ac:dyDescent="0.2">
      <c r="B17" s="158"/>
      <c r="C17" s="499"/>
      <c r="D17" s="523"/>
      <c r="E17" s="523"/>
      <c r="F17" s="517"/>
      <c r="G17" s="777"/>
      <c r="H17" s="517"/>
      <c r="I17" s="517"/>
      <c r="J17" s="499"/>
      <c r="K17" s="681">
        <f t="shared" si="0"/>
        <v>0</v>
      </c>
      <c r="L17" s="775">
        <f t="shared" si="1"/>
        <v>0</v>
      </c>
      <c r="M17" s="775">
        <f t="shared" si="2"/>
        <v>0</v>
      </c>
      <c r="N17" s="776" t="str">
        <f t="shared" si="3"/>
        <v>-</v>
      </c>
      <c r="O17" s="775">
        <f t="shared" si="4"/>
        <v>0</v>
      </c>
      <c r="P17" s="499"/>
      <c r="Q17" s="775">
        <f t="shared" si="5"/>
        <v>0</v>
      </c>
      <c r="R17" s="775">
        <f t="shared" si="6"/>
        <v>0</v>
      </c>
      <c r="S17" s="775">
        <f t="shared" si="9"/>
        <v>0</v>
      </c>
      <c r="T17" s="770">
        <f t="shared" si="7"/>
        <v>0</v>
      </c>
      <c r="U17" s="770">
        <f t="shared" si="7"/>
        <v>0</v>
      </c>
      <c r="V17" s="499"/>
      <c r="W17" s="775">
        <f t="shared" si="8"/>
        <v>0</v>
      </c>
      <c r="X17" s="775">
        <f t="shared" si="8"/>
        <v>0</v>
      </c>
      <c r="Y17" s="775">
        <f t="shared" si="8"/>
        <v>0</v>
      </c>
      <c r="Z17" s="770">
        <f t="shared" si="8"/>
        <v>0</v>
      </c>
      <c r="AA17" s="770">
        <f t="shared" si="8"/>
        <v>0</v>
      </c>
      <c r="AB17" s="499"/>
      <c r="AC17" s="158"/>
    </row>
    <row r="18" spans="2:29" x14ac:dyDescent="0.2">
      <c r="B18" s="158"/>
      <c r="C18" s="499"/>
      <c r="D18" s="523"/>
      <c r="E18" s="523"/>
      <c r="F18" s="517"/>
      <c r="G18" s="777"/>
      <c r="H18" s="517"/>
      <c r="I18" s="517"/>
      <c r="J18" s="499"/>
      <c r="K18" s="681">
        <f t="shared" si="0"/>
        <v>0</v>
      </c>
      <c r="L18" s="775">
        <f t="shared" si="1"/>
        <v>0</v>
      </c>
      <c r="M18" s="775">
        <f t="shared" si="2"/>
        <v>0</v>
      </c>
      <c r="N18" s="776" t="str">
        <f t="shared" si="3"/>
        <v>-</v>
      </c>
      <c r="O18" s="775">
        <f t="shared" si="4"/>
        <v>0</v>
      </c>
      <c r="P18" s="499"/>
      <c r="Q18" s="775">
        <f t="shared" si="5"/>
        <v>0</v>
      </c>
      <c r="R18" s="775">
        <f t="shared" si="6"/>
        <v>0</v>
      </c>
      <c r="S18" s="775">
        <f t="shared" si="9"/>
        <v>0</v>
      </c>
      <c r="T18" s="770">
        <f t="shared" si="7"/>
        <v>0</v>
      </c>
      <c r="U18" s="770">
        <f t="shared" si="7"/>
        <v>0</v>
      </c>
      <c r="V18" s="499"/>
      <c r="W18" s="775">
        <f t="shared" si="8"/>
        <v>0</v>
      </c>
      <c r="X18" s="775">
        <f t="shared" si="8"/>
        <v>0</v>
      </c>
      <c r="Y18" s="775">
        <f t="shared" si="8"/>
        <v>0</v>
      </c>
      <c r="Z18" s="770">
        <f t="shared" si="8"/>
        <v>0</v>
      </c>
      <c r="AA18" s="770">
        <f t="shared" si="8"/>
        <v>0</v>
      </c>
      <c r="AB18" s="499"/>
      <c r="AC18" s="158"/>
    </row>
    <row r="19" spans="2:29" x14ac:dyDescent="0.2">
      <c r="B19" s="158"/>
      <c r="C19" s="499"/>
      <c r="D19" s="523"/>
      <c r="E19" s="523"/>
      <c r="F19" s="517"/>
      <c r="G19" s="777"/>
      <c r="H19" s="517"/>
      <c r="I19" s="517"/>
      <c r="J19" s="499"/>
      <c r="K19" s="681">
        <f t="shared" si="0"/>
        <v>0</v>
      </c>
      <c r="L19" s="775">
        <f t="shared" si="1"/>
        <v>0</v>
      </c>
      <c r="M19" s="775">
        <f t="shared" si="2"/>
        <v>0</v>
      </c>
      <c r="N19" s="776" t="str">
        <f t="shared" si="3"/>
        <v>-</v>
      </c>
      <c r="O19" s="775">
        <f t="shared" si="4"/>
        <v>0</v>
      </c>
      <c r="P19" s="499"/>
      <c r="Q19" s="775">
        <f t="shared" si="5"/>
        <v>0</v>
      </c>
      <c r="R19" s="775">
        <f t="shared" si="6"/>
        <v>0</v>
      </c>
      <c r="S19" s="775">
        <f t="shared" si="9"/>
        <v>0</v>
      </c>
      <c r="T19" s="770">
        <f t="shared" si="7"/>
        <v>0</v>
      </c>
      <c r="U19" s="770">
        <f t="shared" si="7"/>
        <v>0</v>
      </c>
      <c r="V19" s="499"/>
      <c r="W19" s="775">
        <f t="shared" si="8"/>
        <v>0</v>
      </c>
      <c r="X19" s="775">
        <f t="shared" si="8"/>
        <v>0</v>
      </c>
      <c r="Y19" s="775">
        <f t="shared" si="8"/>
        <v>0</v>
      </c>
      <c r="Z19" s="770">
        <f t="shared" si="8"/>
        <v>0</v>
      </c>
      <c r="AA19" s="770">
        <f t="shared" si="8"/>
        <v>0</v>
      </c>
      <c r="AB19" s="499"/>
      <c r="AC19" s="158"/>
    </row>
    <row r="20" spans="2:29" x14ac:dyDescent="0.2">
      <c r="B20" s="158"/>
      <c r="C20" s="499"/>
      <c r="D20" s="523"/>
      <c r="E20" s="523"/>
      <c r="F20" s="517"/>
      <c r="G20" s="777"/>
      <c r="H20" s="517"/>
      <c r="I20" s="517"/>
      <c r="J20" s="499"/>
      <c r="K20" s="681">
        <f t="shared" si="0"/>
        <v>0</v>
      </c>
      <c r="L20" s="775">
        <f t="shared" si="1"/>
        <v>0</v>
      </c>
      <c r="M20" s="775">
        <f t="shared" si="2"/>
        <v>0</v>
      </c>
      <c r="N20" s="776" t="str">
        <f t="shared" si="3"/>
        <v>-</v>
      </c>
      <c r="O20" s="775">
        <f t="shared" si="4"/>
        <v>0</v>
      </c>
      <c r="P20" s="499"/>
      <c r="Q20" s="775">
        <f t="shared" ref="Q20:R39" si="10">(IF(Q$8&lt;$H20,0,IF($N20&lt;=Q$8-1,0,$M20)))</f>
        <v>0</v>
      </c>
      <c r="R20" s="775">
        <f t="shared" si="10"/>
        <v>0</v>
      </c>
      <c r="S20" s="775">
        <f t="shared" si="9"/>
        <v>0</v>
      </c>
      <c r="T20" s="770">
        <f t="shared" si="7"/>
        <v>0</v>
      </c>
      <c r="U20" s="770">
        <f t="shared" si="7"/>
        <v>0</v>
      </c>
      <c r="V20" s="499"/>
      <c r="W20" s="775">
        <f t="shared" si="8"/>
        <v>0</v>
      </c>
      <c r="X20" s="775">
        <f t="shared" si="8"/>
        <v>0</v>
      </c>
      <c r="Y20" s="775">
        <f t="shared" si="8"/>
        <v>0</v>
      </c>
      <c r="Z20" s="770">
        <f t="shared" si="8"/>
        <v>0</v>
      </c>
      <c r="AA20" s="770">
        <f t="shared" si="8"/>
        <v>0</v>
      </c>
      <c r="AB20" s="499"/>
      <c r="AC20" s="158"/>
    </row>
    <row r="21" spans="2:29" x14ac:dyDescent="0.2">
      <c r="B21" s="158"/>
      <c r="C21" s="499"/>
      <c r="D21" s="523"/>
      <c r="E21" s="523"/>
      <c r="F21" s="517"/>
      <c r="G21" s="777"/>
      <c r="H21" s="517"/>
      <c r="I21" s="517"/>
      <c r="J21" s="499"/>
      <c r="K21" s="681">
        <f t="shared" ref="K21:K52" si="11">IF(I21="geen",9999999999,I21)</f>
        <v>0</v>
      </c>
      <c r="L21" s="775">
        <f t="shared" si="1"/>
        <v>0</v>
      </c>
      <c r="M21" s="775">
        <f t="shared" si="2"/>
        <v>0</v>
      </c>
      <c r="N21" s="776" t="str">
        <f t="shared" si="3"/>
        <v>-</v>
      </c>
      <c r="O21" s="775">
        <f t="shared" si="4"/>
        <v>0</v>
      </c>
      <c r="P21" s="499"/>
      <c r="Q21" s="775">
        <f t="shared" si="10"/>
        <v>0</v>
      </c>
      <c r="R21" s="775">
        <f t="shared" si="10"/>
        <v>0</v>
      </c>
      <c r="S21" s="775">
        <f t="shared" si="9"/>
        <v>0</v>
      </c>
      <c r="T21" s="770">
        <f t="shared" si="7"/>
        <v>0</v>
      </c>
      <c r="U21" s="770">
        <f t="shared" si="7"/>
        <v>0</v>
      </c>
      <c r="V21" s="499"/>
      <c r="W21" s="775">
        <f t="shared" si="8"/>
        <v>0</v>
      </c>
      <c r="X21" s="775">
        <f t="shared" si="8"/>
        <v>0</v>
      </c>
      <c r="Y21" s="775">
        <f t="shared" si="8"/>
        <v>0</v>
      </c>
      <c r="Z21" s="770">
        <f t="shared" si="8"/>
        <v>0</v>
      </c>
      <c r="AA21" s="770">
        <f t="shared" si="8"/>
        <v>0</v>
      </c>
      <c r="AB21" s="499"/>
      <c r="AC21" s="158"/>
    </row>
    <row r="22" spans="2:29" x14ac:dyDescent="0.2">
      <c r="B22" s="158"/>
      <c r="C22" s="499"/>
      <c r="D22" s="523"/>
      <c r="E22" s="523"/>
      <c r="F22" s="517"/>
      <c r="G22" s="777"/>
      <c r="H22" s="517"/>
      <c r="I22" s="517"/>
      <c r="J22" s="499"/>
      <c r="K22" s="681">
        <f t="shared" si="11"/>
        <v>0</v>
      </c>
      <c r="L22" s="775">
        <f t="shared" si="1"/>
        <v>0</v>
      </c>
      <c r="M22" s="775">
        <f t="shared" si="2"/>
        <v>0</v>
      </c>
      <c r="N22" s="776" t="str">
        <f t="shared" si="3"/>
        <v>-</v>
      </c>
      <c r="O22" s="775">
        <f t="shared" si="4"/>
        <v>0</v>
      </c>
      <c r="P22" s="499"/>
      <c r="Q22" s="775">
        <f t="shared" si="10"/>
        <v>0</v>
      </c>
      <c r="R22" s="775">
        <f t="shared" si="10"/>
        <v>0</v>
      </c>
      <c r="S22" s="775">
        <f t="shared" si="9"/>
        <v>0</v>
      </c>
      <c r="T22" s="770">
        <f t="shared" si="7"/>
        <v>0</v>
      </c>
      <c r="U22" s="770">
        <f t="shared" si="7"/>
        <v>0</v>
      </c>
      <c r="V22" s="499"/>
      <c r="W22" s="775">
        <f t="shared" si="8"/>
        <v>0</v>
      </c>
      <c r="X22" s="775">
        <f t="shared" si="8"/>
        <v>0</v>
      </c>
      <c r="Y22" s="775">
        <f t="shared" si="8"/>
        <v>0</v>
      </c>
      <c r="Z22" s="770">
        <f t="shared" si="8"/>
        <v>0</v>
      </c>
      <c r="AA22" s="770">
        <f t="shared" si="8"/>
        <v>0</v>
      </c>
      <c r="AB22" s="499"/>
      <c r="AC22" s="158"/>
    </row>
    <row r="23" spans="2:29" x14ac:dyDescent="0.2">
      <c r="B23" s="158"/>
      <c r="C23" s="499"/>
      <c r="D23" s="523"/>
      <c r="E23" s="523"/>
      <c r="F23" s="517"/>
      <c r="G23" s="777"/>
      <c r="H23" s="517"/>
      <c r="I23" s="517"/>
      <c r="J23" s="499"/>
      <c r="K23" s="681">
        <f t="shared" si="11"/>
        <v>0</v>
      </c>
      <c r="L23" s="775">
        <f t="shared" si="1"/>
        <v>0</v>
      </c>
      <c r="M23" s="775">
        <f t="shared" si="2"/>
        <v>0</v>
      </c>
      <c r="N23" s="776" t="str">
        <f t="shared" si="3"/>
        <v>-</v>
      </c>
      <c r="O23" s="775">
        <f t="shared" si="4"/>
        <v>0</v>
      </c>
      <c r="P23" s="499"/>
      <c r="Q23" s="775">
        <f t="shared" si="10"/>
        <v>0</v>
      </c>
      <c r="R23" s="775">
        <f t="shared" si="10"/>
        <v>0</v>
      </c>
      <c r="S23" s="775">
        <f t="shared" si="9"/>
        <v>0</v>
      </c>
      <c r="T23" s="770">
        <f t="shared" si="7"/>
        <v>0</v>
      </c>
      <c r="U23" s="770">
        <f t="shared" si="7"/>
        <v>0</v>
      </c>
      <c r="V23" s="499"/>
      <c r="W23" s="775">
        <f t="shared" si="8"/>
        <v>0</v>
      </c>
      <c r="X23" s="775">
        <f t="shared" si="8"/>
        <v>0</v>
      </c>
      <c r="Y23" s="775">
        <f t="shared" si="8"/>
        <v>0</v>
      </c>
      <c r="Z23" s="770">
        <f t="shared" si="8"/>
        <v>0</v>
      </c>
      <c r="AA23" s="770">
        <f t="shared" si="8"/>
        <v>0</v>
      </c>
      <c r="AB23" s="499"/>
      <c r="AC23" s="158"/>
    </row>
    <row r="24" spans="2:29" x14ac:dyDescent="0.2">
      <c r="B24" s="158"/>
      <c r="C24" s="499"/>
      <c r="D24" s="523"/>
      <c r="E24" s="523"/>
      <c r="F24" s="517"/>
      <c r="G24" s="777"/>
      <c r="H24" s="517"/>
      <c r="I24" s="517"/>
      <c r="J24" s="499"/>
      <c r="K24" s="681">
        <f t="shared" si="11"/>
        <v>0</v>
      </c>
      <c r="L24" s="775">
        <f t="shared" si="1"/>
        <v>0</v>
      </c>
      <c r="M24" s="775">
        <f t="shared" si="2"/>
        <v>0</v>
      </c>
      <c r="N24" s="776" t="str">
        <f t="shared" si="3"/>
        <v>-</v>
      </c>
      <c r="O24" s="775">
        <f t="shared" si="4"/>
        <v>0</v>
      </c>
      <c r="P24" s="499"/>
      <c r="Q24" s="775">
        <f t="shared" si="10"/>
        <v>0</v>
      </c>
      <c r="R24" s="775">
        <f t="shared" si="10"/>
        <v>0</v>
      </c>
      <c r="S24" s="775">
        <f t="shared" si="9"/>
        <v>0</v>
      </c>
      <c r="T24" s="770">
        <f t="shared" si="7"/>
        <v>0</v>
      </c>
      <c r="U24" s="770">
        <f t="shared" si="7"/>
        <v>0</v>
      </c>
      <c r="V24" s="499"/>
      <c r="W24" s="775">
        <f t="shared" ref="W24:AA33" si="12">IF(W$8=$H24,($F24*$G24),0)</f>
        <v>0</v>
      </c>
      <c r="X24" s="775">
        <f t="shared" si="12"/>
        <v>0</v>
      </c>
      <c r="Y24" s="775">
        <f t="shared" si="12"/>
        <v>0</v>
      </c>
      <c r="Z24" s="770">
        <f t="shared" si="12"/>
        <v>0</v>
      </c>
      <c r="AA24" s="770">
        <f t="shared" si="12"/>
        <v>0</v>
      </c>
      <c r="AB24" s="499"/>
      <c r="AC24" s="158"/>
    </row>
    <row r="25" spans="2:29" x14ac:dyDescent="0.2">
      <c r="B25" s="158"/>
      <c r="C25" s="499"/>
      <c r="D25" s="523"/>
      <c r="E25" s="523"/>
      <c r="F25" s="517"/>
      <c r="G25" s="777"/>
      <c r="H25" s="517"/>
      <c r="I25" s="517"/>
      <c r="J25" s="499"/>
      <c r="K25" s="681">
        <f t="shared" si="11"/>
        <v>0</v>
      </c>
      <c r="L25" s="775">
        <f t="shared" si="1"/>
        <v>0</v>
      </c>
      <c r="M25" s="775">
        <f t="shared" si="2"/>
        <v>0</v>
      </c>
      <c r="N25" s="776" t="str">
        <f t="shared" si="3"/>
        <v>-</v>
      </c>
      <c r="O25" s="775">
        <f t="shared" si="4"/>
        <v>0</v>
      </c>
      <c r="P25" s="499"/>
      <c r="Q25" s="775">
        <f t="shared" si="10"/>
        <v>0</v>
      </c>
      <c r="R25" s="775">
        <f t="shared" si="10"/>
        <v>0</v>
      </c>
      <c r="S25" s="775">
        <f t="shared" si="9"/>
        <v>0</v>
      </c>
      <c r="T25" s="770">
        <f t="shared" si="7"/>
        <v>0</v>
      </c>
      <c r="U25" s="770">
        <f t="shared" si="7"/>
        <v>0</v>
      </c>
      <c r="V25" s="499"/>
      <c r="W25" s="775">
        <f t="shared" si="12"/>
        <v>0</v>
      </c>
      <c r="X25" s="775">
        <f t="shared" si="12"/>
        <v>0</v>
      </c>
      <c r="Y25" s="775">
        <f t="shared" si="12"/>
        <v>0</v>
      </c>
      <c r="Z25" s="770">
        <f t="shared" si="12"/>
        <v>0</v>
      </c>
      <c r="AA25" s="770">
        <f t="shared" si="12"/>
        <v>0</v>
      </c>
      <c r="AB25" s="499"/>
      <c r="AC25" s="158"/>
    </row>
    <row r="26" spans="2:29" x14ac:dyDescent="0.2">
      <c r="B26" s="158"/>
      <c r="C26" s="499"/>
      <c r="D26" s="523"/>
      <c r="E26" s="523"/>
      <c r="F26" s="517"/>
      <c r="G26" s="777"/>
      <c r="H26" s="517"/>
      <c r="I26" s="517"/>
      <c r="J26" s="499"/>
      <c r="K26" s="681">
        <f t="shared" si="11"/>
        <v>0</v>
      </c>
      <c r="L26" s="775">
        <f t="shared" si="1"/>
        <v>0</v>
      </c>
      <c r="M26" s="775">
        <f t="shared" si="2"/>
        <v>0</v>
      </c>
      <c r="N26" s="776" t="str">
        <f t="shared" si="3"/>
        <v>-</v>
      </c>
      <c r="O26" s="775">
        <f t="shared" si="4"/>
        <v>0</v>
      </c>
      <c r="P26" s="499"/>
      <c r="Q26" s="775">
        <f t="shared" si="10"/>
        <v>0</v>
      </c>
      <c r="R26" s="775">
        <f t="shared" si="10"/>
        <v>0</v>
      </c>
      <c r="S26" s="775">
        <f t="shared" si="9"/>
        <v>0</v>
      </c>
      <c r="T26" s="770">
        <f t="shared" si="7"/>
        <v>0</v>
      </c>
      <c r="U26" s="770">
        <f t="shared" si="7"/>
        <v>0</v>
      </c>
      <c r="V26" s="499"/>
      <c r="W26" s="775">
        <f t="shared" si="12"/>
        <v>0</v>
      </c>
      <c r="X26" s="775">
        <f t="shared" si="12"/>
        <v>0</v>
      </c>
      <c r="Y26" s="775">
        <f t="shared" si="12"/>
        <v>0</v>
      </c>
      <c r="Z26" s="770">
        <f t="shared" si="12"/>
        <v>0</v>
      </c>
      <c r="AA26" s="770">
        <f t="shared" si="12"/>
        <v>0</v>
      </c>
      <c r="AB26" s="499"/>
      <c r="AC26" s="158"/>
    </row>
    <row r="27" spans="2:29" x14ac:dyDescent="0.2">
      <c r="B27" s="158"/>
      <c r="C27" s="499"/>
      <c r="D27" s="523"/>
      <c r="E27" s="523"/>
      <c r="F27" s="517"/>
      <c r="G27" s="777"/>
      <c r="H27" s="517"/>
      <c r="I27" s="517"/>
      <c r="J27" s="499"/>
      <c r="K27" s="681">
        <f t="shared" si="11"/>
        <v>0</v>
      </c>
      <c r="L27" s="775">
        <f t="shared" si="1"/>
        <v>0</v>
      </c>
      <c r="M27" s="775">
        <f t="shared" si="2"/>
        <v>0</v>
      </c>
      <c r="N27" s="776" t="str">
        <f t="shared" si="3"/>
        <v>-</v>
      </c>
      <c r="O27" s="775">
        <f t="shared" si="4"/>
        <v>0</v>
      </c>
      <c r="P27" s="499"/>
      <c r="Q27" s="775">
        <f t="shared" si="10"/>
        <v>0</v>
      </c>
      <c r="R27" s="775">
        <f t="shared" si="10"/>
        <v>0</v>
      </c>
      <c r="S27" s="775">
        <f t="shared" si="9"/>
        <v>0</v>
      </c>
      <c r="T27" s="770">
        <f t="shared" si="7"/>
        <v>0</v>
      </c>
      <c r="U27" s="770">
        <f t="shared" si="7"/>
        <v>0</v>
      </c>
      <c r="V27" s="499"/>
      <c r="W27" s="775">
        <f t="shared" si="12"/>
        <v>0</v>
      </c>
      <c r="X27" s="775">
        <f t="shared" si="12"/>
        <v>0</v>
      </c>
      <c r="Y27" s="775">
        <f t="shared" si="12"/>
        <v>0</v>
      </c>
      <c r="Z27" s="770">
        <f t="shared" si="12"/>
        <v>0</v>
      </c>
      <c r="AA27" s="770">
        <f t="shared" si="12"/>
        <v>0</v>
      </c>
      <c r="AB27" s="499"/>
      <c r="AC27" s="158"/>
    </row>
    <row r="28" spans="2:29" x14ac:dyDescent="0.2">
      <c r="B28" s="158"/>
      <c r="C28" s="499"/>
      <c r="D28" s="523"/>
      <c r="E28" s="523"/>
      <c r="F28" s="517"/>
      <c r="G28" s="777"/>
      <c r="H28" s="517"/>
      <c r="I28" s="517"/>
      <c r="J28" s="499"/>
      <c r="K28" s="681">
        <f t="shared" si="11"/>
        <v>0</v>
      </c>
      <c r="L28" s="775">
        <f t="shared" si="1"/>
        <v>0</v>
      </c>
      <c r="M28" s="775">
        <f t="shared" si="2"/>
        <v>0</v>
      </c>
      <c r="N28" s="776" t="str">
        <f t="shared" si="3"/>
        <v>-</v>
      </c>
      <c r="O28" s="775">
        <f t="shared" si="4"/>
        <v>0</v>
      </c>
      <c r="P28" s="499"/>
      <c r="Q28" s="775">
        <f t="shared" si="10"/>
        <v>0</v>
      </c>
      <c r="R28" s="775">
        <f t="shared" si="10"/>
        <v>0</v>
      </c>
      <c r="S28" s="775">
        <f t="shared" si="9"/>
        <v>0</v>
      </c>
      <c r="T28" s="770">
        <f t="shared" si="7"/>
        <v>0</v>
      </c>
      <c r="U28" s="770">
        <f t="shared" si="7"/>
        <v>0</v>
      </c>
      <c r="V28" s="499"/>
      <c r="W28" s="775">
        <f t="shared" si="12"/>
        <v>0</v>
      </c>
      <c r="X28" s="775">
        <f t="shared" si="12"/>
        <v>0</v>
      </c>
      <c r="Y28" s="775">
        <f t="shared" si="12"/>
        <v>0</v>
      </c>
      <c r="Z28" s="770">
        <f t="shared" si="12"/>
        <v>0</v>
      </c>
      <c r="AA28" s="770">
        <f t="shared" si="12"/>
        <v>0</v>
      </c>
      <c r="AB28" s="499"/>
      <c r="AC28" s="158"/>
    </row>
    <row r="29" spans="2:29" x14ac:dyDescent="0.2">
      <c r="B29" s="158"/>
      <c r="C29" s="499"/>
      <c r="D29" s="523"/>
      <c r="E29" s="523"/>
      <c r="F29" s="517"/>
      <c r="G29" s="777"/>
      <c r="H29" s="517"/>
      <c r="I29" s="517"/>
      <c r="J29" s="499"/>
      <c r="K29" s="681">
        <f t="shared" si="11"/>
        <v>0</v>
      </c>
      <c r="L29" s="775">
        <f t="shared" si="1"/>
        <v>0</v>
      </c>
      <c r="M29" s="775">
        <f t="shared" si="2"/>
        <v>0</v>
      </c>
      <c r="N29" s="776" t="str">
        <f t="shared" si="3"/>
        <v>-</v>
      </c>
      <c r="O29" s="775">
        <f t="shared" si="4"/>
        <v>0</v>
      </c>
      <c r="P29" s="499"/>
      <c r="Q29" s="775">
        <f t="shared" si="10"/>
        <v>0</v>
      </c>
      <c r="R29" s="775">
        <f t="shared" si="10"/>
        <v>0</v>
      </c>
      <c r="S29" s="775">
        <f t="shared" si="9"/>
        <v>0</v>
      </c>
      <c r="T29" s="770">
        <f t="shared" si="7"/>
        <v>0</v>
      </c>
      <c r="U29" s="770">
        <f t="shared" si="7"/>
        <v>0</v>
      </c>
      <c r="V29" s="499"/>
      <c r="W29" s="775">
        <f t="shared" si="12"/>
        <v>0</v>
      </c>
      <c r="X29" s="775">
        <f t="shared" si="12"/>
        <v>0</v>
      </c>
      <c r="Y29" s="775">
        <f t="shared" si="12"/>
        <v>0</v>
      </c>
      <c r="Z29" s="770">
        <f t="shared" si="12"/>
        <v>0</v>
      </c>
      <c r="AA29" s="770">
        <f t="shared" si="12"/>
        <v>0</v>
      </c>
      <c r="AB29" s="499"/>
      <c r="AC29" s="158"/>
    </row>
    <row r="30" spans="2:29" x14ac:dyDescent="0.2">
      <c r="B30" s="158"/>
      <c r="C30" s="499"/>
      <c r="D30" s="523"/>
      <c r="E30" s="523"/>
      <c r="F30" s="517"/>
      <c r="G30" s="777"/>
      <c r="H30" s="517"/>
      <c r="I30" s="517"/>
      <c r="J30" s="499"/>
      <c r="K30" s="681">
        <f t="shared" si="11"/>
        <v>0</v>
      </c>
      <c r="L30" s="775">
        <f t="shared" si="1"/>
        <v>0</v>
      </c>
      <c r="M30" s="775">
        <f t="shared" si="2"/>
        <v>0</v>
      </c>
      <c r="N30" s="776" t="str">
        <f t="shared" si="3"/>
        <v>-</v>
      </c>
      <c r="O30" s="775">
        <f t="shared" si="4"/>
        <v>0</v>
      </c>
      <c r="P30" s="499"/>
      <c r="Q30" s="775">
        <f t="shared" si="10"/>
        <v>0</v>
      </c>
      <c r="R30" s="775">
        <f t="shared" si="10"/>
        <v>0</v>
      </c>
      <c r="S30" s="775">
        <f t="shared" si="9"/>
        <v>0</v>
      </c>
      <c r="T30" s="770">
        <f t="shared" si="7"/>
        <v>0</v>
      </c>
      <c r="U30" s="770">
        <f t="shared" si="7"/>
        <v>0</v>
      </c>
      <c r="V30" s="499"/>
      <c r="W30" s="775">
        <f t="shared" si="12"/>
        <v>0</v>
      </c>
      <c r="X30" s="775">
        <f t="shared" si="12"/>
        <v>0</v>
      </c>
      <c r="Y30" s="775">
        <f t="shared" si="12"/>
        <v>0</v>
      </c>
      <c r="Z30" s="770">
        <f t="shared" si="12"/>
        <v>0</v>
      </c>
      <c r="AA30" s="770">
        <f t="shared" si="12"/>
        <v>0</v>
      </c>
      <c r="AB30" s="499"/>
      <c r="AC30" s="158"/>
    </row>
    <row r="31" spans="2:29" x14ac:dyDescent="0.2">
      <c r="B31" s="158"/>
      <c r="C31" s="499"/>
      <c r="D31" s="523"/>
      <c r="E31" s="523"/>
      <c r="F31" s="517"/>
      <c r="G31" s="777"/>
      <c r="H31" s="517"/>
      <c r="I31" s="517"/>
      <c r="J31" s="499"/>
      <c r="K31" s="681">
        <f t="shared" si="11"/>
        <v>0</v>
      </c>
      <c r="L31" s="775">
        <f t="shared" si="1"/>
        <v>0</v>
      </c>
      <c r="M31" s="775">
        <f t="shared" si="2"/>
        <v>0</v>
      </c>
      <c r="N31" s="776" t="str">
        <f t="shared" si="3"/>
        <v>-</v>
      </c>
      <c r="O31" s="775">
        <f t="shared" si="4"/>
        <v>0</v>
      </c>
      <c r="P31" s="499"/>
      <c r="Q31" s="775">
        <f t="shared" si="10"/>
        <v>0</v>
      </c>
      <c r="R31" s="775">
        <f t="shared" si="10"/>
        <v>0</v>
      </c>
      <c r="S31" s="775">
        <f t="shared" si="9"/>
        <v>0</v>
      </c>
      <c r="T31" s="770">
        <f t="shared" si="7"/>
        <v>0</v>
      </c>
      <c r="U31" s="770">
        <f t="shared" si="7"/>
        <v>0</v>
      </c>
      <c r="V31" s="499"/>
      <c r="W31" s="775">
        <f t="shared" si="12"/>
        <v>0</v>
      </c>
      <c r="X31" s="775">
        <f t="shared" si="12"/>
        <v>0</v>
      </c>
      <c r="Y31" s="775">
        <f t="shared" si="12"/>
        <v>0</v>
      </c>
      <c r="Z31" s="770">
        <f t="shared" si="12"/>
        <v>0</v>
      </c>
      <c r="AA31" s="770">
        <f t="shared" si="12"/>
        <v>0</v>
      </c>
      <c r="AB31" s="499"/>
      <c r="AC31" s="158"/>
    </row>
    <row r="32" spans="2:29" x14ac:dyDescent="0.2">
      <c r="B32" s="158"/>
      <c r="C32" s="499"/>
      <c r="D32" s="523"/>
      <c r="E32" s="523"/>
      <c r="F32" s="517"/>
      <c r="G32" s="777"/>
      <c r="H32" s="517"/>
      <c r="I32" s="517"/>
      <c r="J32" s="499"/>
      <c r="K32" s="681">
        <f t="shared" si="11"/>
        <v>0</v>
      </c>
      <c r="L32" s="775">
        <f t="shared" si="1"/>
        <v>0</v>
      </c>
      <c r="M32" s="775">
        <f t="shared" si="2"/>
        <v>0</v>
      </c>
      <c r="N32" s="776" t="str">
        <f t="shared" si="3"/>
        <v>-</v>
      </c>
      <c r="O32" s="775">
        <f t="shared" si="4"/>
        <v>0</v>
      </c>
      <c r="P32" s="499"/>
      <c r="Q32" s="775">
        <f t="shared" si="10"/>
        <v>0</v>
      </c>
      <c r="R32" s="775">
        <f t="shared" si="10"/>
        <v>0</v>
      </c>
      <c r="S32" s="775">
        <f t="shared" si="9"/>
        <v>0</v>
      </c>
      <c r="T32" s="770">
        <f t="shared" si="7"/>
        <v>0</v>
      </c>
      <c r="U32" s="770">
        <f t="shared" si="7"/>
        <v>0</v>
      </c>
      <c r="V32" s="499"/>
      <c r="W32" s="775">
        <f t="shared" si="12"/>
        <v>0</v>
      </c>
      <c r="X32" s="775">
        <f t="shared" si="12"/>
        <v>0</v>
      </c>
      <c r="Y32" s="775">
        <f t="shared" si="12"/>
        <v>0</v>
      </c>
      <c r="Z32" s="770">
        <f t="shared" si="12"/>
        <v>0</v>
      </c>
      <c r="AA32" s="770">
        <f t="shared" si="12"/>
        <v>0</v>
      </c>
      <c r="AB32" s="499"/>
      <c r="AC32" s="158"/>
    </row>
    <row r="33" spans="2:29" x14ac:dyDescent="0.2">
      <c r="B33" s="158"/>
      <c r="C33" s="499"/>
      <c r="D33" s="523"/>
      <c r="E33" s="523"/>
      <c r="F33" s="517"/>
      <c r="G33" s="777"/>
      <c r="H33" s="517"/>
      <c r="I33" s="517"/>
      <c r="J33" s="499"/>
      <c r="K33" s="681">
        <f t="shared" si="11"/>
        <v>0</v>
      </c>
      <c r="L33" s="775">
        <f t="shared" si="1"/>
        <v>0</v>
      </c>
      <c r="M33" s="775">
        <f t="shared" si="2"/>
        <v>0</v>
      </c>
      <c r="N33" s="776" t="str">
        <f t="shared" si="3"/>
        <v>-</v>
      </c>
      <c r="O33" s="775">
        <f t="shared" si="4"/>
        <v>0</v>
      </c>
      <c r="P33" s="499"/>
      <c r="Q33" s="775">
        <f t="shared" si="10"/>
        <v>0</v>
      </c>
      <c r="R33" s="775">
        <f t="shared" si="10"/>
        <v>0</v>
      </c>
      <c r="S33" s="775">
        <f t="shared" si="9"/>
        <v>0</v>
      </c>
      <c r="T33" s="770">
        <f t="shared" si="7"/>
        <v>0</v>
      </c>
      <c r="U33" s="770">
        <f t="shared" si="7"/>
        <v>0</v>
      </c>
      <c r="V33" s="499"/>
      <c r="W33" s="775">
        <f t="shared" si="12"/>
        <v>0</v>
      </c>
      <c r="X33" s="775">
        <f t="shared" si="12"/>
        <v>0</v>
      </c>
      <c r="Y33" s="775">
        <f t="shared" si="12"/>
        <v>0</v>
      </c>
      <c r="Z33" s="770">
        <f t="shared" si="12"/>
        <v>0</v>
      </c>
      <c r="AA33" s="770">
        <f t="shared" si="12"/>
        <v>0</v>
      </c>
      <c r="AB33" s="499"/>
      <c r="AC33" s="158"/>
    </row>
    <row r="34" spans="2:29" x14ac:dyDescent="0.2">
      <c r="B34" s="158"/>
      <c r="C34" s="499"/>
      <c r="D34" s="523"/>
      <c r="E34" s="523"/>
      <c r="F34" s="517"/>
      <c r="G34" s="777"/>
      <c r="H34" s="517"/>
      <c r="I34" s="517"/>
      <c r="J34" s="499"/>
      <c r="K34" s="681">
        <f t="shared" si="11"/>
        <v>0</v>
      </c>
      <c r="L34" s="775">
        <f t="shared" si="1"/>
        <v>0</v>
      </c>
      <c r="M34" s="775">
        <f t="shared" si="2"/>
        <v>0</v>
      </c>
      <c r="N34" s="776" t="str">
        <f t="shared" si="3"/>
        <v>-</v>
      </c>
      <c r="O34" s="775">
        <f t="shared" si="4"/>
        <v>0</v>
      </c>
      <c r="P34" s="499"/>
      <c r="Q34" s="775">
        <f t="shared" si="10"/>
        <v>0</v>
      </c>
      <c r="R34" s="775">
        <f t="shared" si="10"/>
        <v>0</v>
      </c>
      <c r="S34" s="775">
        <f t="shared" si="9"/>
        <v>0</v>
      </c>
      <c r="T34" s="770">
        <f t="shared" si="7"/>
        <v>0</v>
      </c>
      <c r="U34" s="770">
        <f t="shared" si="7"/>
        <v>0</v>
      </c>
      <c r="V34" s="499"/>
      <c r="W34" s="775">
        <f t="shared" ref="W34:AA43" si="13">IF(W$8=$H34,($F34*$G34),0)</f>
        <v>0</v>
      </c>
      <c r="X34" s="775">
        <f t="shared" si="13"/>
        <v>0</v>
      </c>
      <c r="Y34" s="775">
        <f t="shared" si="13"/>
        <v>0</v>
      </c>
      <c r="Z34" s="770">
        <f t="shared" si="13"/>
        <v>0</v>
      </c>
      <c r="AA34" s="770">
        <f t="shared" si="13"/>
        <v>0</v>
      </c>
      <c r="AB34" s="499"/>
      <c r="AC34" s="158"/>
    </row>
    <row r="35" spans="2:29" x14ac:dyDescent="0.2">
      <c r="B35" s="158"/>
      <c r="C35" s="499"/>
      <c r="D35" s="523"/>
      <c r="E35" s="523"/>
      <c r="F35" s="517"/>
      <c r="G35" s="777"/>
      <c r="H35" s="517"/>
      <c r="I35" s="517"/>
      <c r="J35" s="499"/>
      <c r="K35" s="681">
        <f t="shared" si="11"/>
        <v>0</v>
      </c>
      <c r="L35" s="775">
        <f t="shared" si="1"/>
        <v>0</v>
      </c>
      <c r="M35" s="775">
        <f t="shared" si="2"/>
        <v>0</v>
      </c>
      <c r="N35" s="776" t="str">
        <f t="shared" si="3"/>
        <v>-</v>
      </c>
      <c r="O35" s="775">
        <f t="shared" si="4"/>
        <v>0</v>
      </c>
      <c r="P35" s="499"/>
      <c r="Q35" s="775">
        <f t="shared" si="10"/>
        <v>0</v>
      </c>
      <c r="R35" s="775">
        <f t="shared" si="10"/>
        <v>0</v>
      </c>
      <c r="S35" s="775">
        <f t="shared" si="9"/>
        <v>0</v>
      </c>
      <c r="T35" s="770">
        <f t="shared" si="7"/>
        <v>0</v>
      </c>
      <c r="U35" s="770">
        <f t="shared" si="7"/>
        <v>0</v>
      </c>
      <c r="V35" s="499"/>
      <c r="W35" s="775">
        <f t="shared" si="13"/>
        <v>0</v>
      </c>
      <c r="X35" s="775">
        <f t="shared" si="13"/>
        <v>0</v>
      </c>
      <c r="Y35" s="775">
        <f t="shared" si="13"/>
        <v>0</v>
      </c>
      <c r="Z35" s="770">
        <f t="shared" si="13"/>
        <v>0</v>
      </c>
      <c r="AA35" s="770">
        <f t="shared" si="13"/>
        <v>0</v>
      </c>
      <c r="AB35" s="499"/>
      <c r="AC35" s="158"/>
    </row>
    <row r="36" spans="2:29" x14ac:dyDescent="0.2">
      <c r="B36" s="158"/>
      <c r="C36" s="499"/>
      <c r="D36" s="523"/>
      <c r="E36" s="523"/>
      <c r="F36" s="517"/>
      <c r="G36" s="777"/>
      <c r="H36" s="517"/>
      <c r="I36" s="517"/>
      <c r="J36" s="499"/>
      <c r="K36" s="681">
        <f t="shared" si="11"/>
        <v>0</v>
      </c>
      <c r="L36" s="775">
        <f t="shared" si="1"/>
        <v>0</v>
      </c>
      <c r="M36" s="775">
        <f t="shared" si="2"/>
        <v>0</v>
      </c>
      <c r="N36" s="776" t="str">
        <f t="shared" si="3"/>
        <v>-</v>
      </c>
      <c r="O36" s="775">
        <f t="shared" si="4"/>
        <v>0</v>
      </c>
      <c r="P36" s="499"/>
      <c r="Q36" s="775">
        <f t="shared" si="10"/>
        <v>0</v>
      </c>
      <c r="R36" s="775">
        <f t="shared" si="10"/>
        <v>0</v>
      </c>
      <c r="S36" s="775">
        <f t="shared" si="9"/>
        <v>0</v>
      </c>
      <c r="T36" s="770">
        <f t="shared" si="7"/>
        <v>0</v>
      </c>
      <c r="U36" s="770">
        <f t="shared" si="7"/>
        <v>0</v>
      </c>
      <c r="V36" s="499"/>
      <c r="W36" s="775">
        <f t="shared" si="13"/>
        <v>0</v>
      </c>
      <c r="X36" s="775">
        <f t="shared" si="13"/>
        <v>0</v>
      </c>
      <c r="Y36" s="775">
        <f t="shared" si="13"/>
        <v>0</v>
      </c>
      <c r="Z36" s="770">
        <f t="shared" si="13"/>
        <v>0</v>
      </c>
      <c r="AA36" s="770">
        <f t="shared" si="13"/>
        <v>0</v>
      </c>
      <c r="AB36" s="499"/>
      <c r="AC36" s="158"/>
    </row>
    <row r="37" spans="2:29" x14ac:dyDescent="0.2">
      <c r="B37" s="158"/>
      <c r="C37" s="499"/>
      <c r="D37" s="523"/>
      <c r="E37" s="523"/>
      <c r="F37" s="517"/>
      <c r="G37" s="777"/>
      <c r="H37" s="517"/>
      <c r="I37" s="517"/>
      <c r="J37" s="499"/>
      <c r="K37" s="681">
        <f t="shared" si="11"/>
        <v>0</v>
      </c>
      <c r="L37" s="775">
        <f t="shared" si="1"/>
        <v>0</v>
      </c>
      <c r="M37" s="775">
        <f t="shared" si="2"/>
        <v>0</v>
      </c>
      <c r="N37" s="776" t="str">
        <f t="shared" si="3"/>
        <v>-</v>
      </c>
      <c r="O37" s="775">
        <f t="shared" si="4"/>
        <v>0</v>
      </c>
      <c r="P37" s="499"/>
      <c r="Q37" s="775">
        <f t="shared" si="10"/>
        <v>0</v>
      </c>
      <c r="R37" s="775">
        <f t="shared" si="10"/>
        <v>0</v>
      </c>
      <c r="S37" s="775">
        <f t="shared" si="9"/>
        <v>0</v>
      </c>
      <c r="T37" s="770">
        <f t="shared" si="7"/>
        <v>0</v>
      </c>
      <c r="U37" s="770">
        <f t="shared" si="7"/>
        <v>0</v>
      </c>
      <c r="V37" s="499"/>
      <c r="W37" s="775">
        <f t="shared" si="13"/>
        <v>0</v>
      </c>
      <c r="X37" s="775">
        <f t="shared" si="13"/>
        <v>0</v>
      </c>
      <c r="Y37" s="775">
        <f t="shared" si="13"/>
        <v>0</v>
      </c>
      <c r="Z37" s="770">
        <f t="shared" si="13"/>
        <v>0</v>
      </c>
      <c r="AA37" s="770">
        <f t="shared" si="13"/>
        <v>0</v>
      </c>
      <c r="AB37" s="499"/>
      <c r="AC37" s="158"/>
    </row>
    <row r="38" spans="2:29" x14ac:dyDescent="0.2">
      <c r="B38" s="158"/>
      <c r="C38" s="499"/>
      <c r="D38" s="523"/>
      <c r="E38" s="523"/>
      <c r="F38" s="517"/>
      <c r="G38" s="777"/>
      <c r="H38" s="517"/>
      <c r="I38" s="517"/>
      <c r="J38" s="499"/>
      <c r="K38" s="681">
        <f t="shared" si="11"/>
        <v>0</v>
      </c>
      <c r="L38" s="775">
        <f t="shared" si="1"/>
        <v>0</v>
      </c>
      <c r="M38" s="775">
        <f t="shared" si="2"/>
        <v>0</v>
      </c>
      <c r="N38" s="776" t="str">
        <f t="shared" si="3"/>
        <v>-</v>
      </c>
      <c r="O38" s="775">
        <f t="shared" si="4"/>
        <v>0</v>
      </c>
      <c r="P38" s="499"/>
      <c r="Q38" s="775">
        <f t="shared" si="10"/>
        <v>0</v>
      </c>
      <c r="R38" s="775">
        <f t="shared" si="10"/>
        <v>0</v>
      </c>
      <c r="S38" s="775">
        <f t="shared" si="9"/>
        <v>0</v>
      </c>
      <c r="T38" s="770">
        <f t="shared" si="7"/>
        <v>0</v>
      </c>
      <c r="U38" s="770">
        <f t="shared" si="7"/>
        <v>0</v>
      </c>
      <c r="V38" s="499"/>
      <c r="W38" s="775">
        <f t="shared" si="13"/>
        <v>0</v>
      </c>
      <c r="X38" s="775">
        <f t="shared" si="13"/>
        <v>0</v>
      </c>
      <c r="Y38" s="775">
        <f t="shared" si="13"/>
        <v>0</v>
      </c>
      <c r="Z38" s="770">
        <f t="shared" si="13"/>
        <v>0</v>
      </c>
      <c r="AA38" s="770">
        <f t="shared" si="13"/>
        <v>0</v>
      </c>
      <c r="AB38" s="499"/>
      <c r="AC38" s="158"/>
    </row>
    <row r="39" spans="2:29" x14ac:dyDescent="0.2">
      <c r="B39" s="158"/>
      <c r="C39" s="499"/>
      <c r="D39" s="523"/>
      <c r="E39" s="523"/>
      <c r="F39" s="517"/>
      <c r="G39" s="777"/>
      <c r="H39" s="517"/>
      <c r="I39" s="517"/>
      <c r="J39" s="499"/>
      <c r="K39" s="681">
        <f t="shared" si="11"/>
        <v>0</v>
      </c>
      <c r="L39" s="775">
        <f t="shared" si="1"/>
        <v>0</v>
      </c>
      <c r="M39" s="775">
        <f t="shared" si="2"/>
        <v>0</v>
      </c>
      <c r="N39" s="776" t="str">
        <f t="shared" si="3"/>
        <v>-</v>
      </c>
      <c r="O39" s="775">
        <f t="shared" si="4"/>
        <v>0</v>
      </c>
      <c r="P39" s="499"/>
      <c r="Q39" s="775">
        <f t="shared" si="10"/>
        <v>0</v>
      </c>
      <c r="R39" s="775">
        <f t="shared" si="10"/>
        <v>0</v>
      </c>
      <c r="S39" s="775">
        <f t="shared" si="9"/>
        <v>0</v>
      </c>
      <c r="T39" s="770">
        <f t="shared" si="7"/>
        <v>0</v>
      </c>
      <c r="U39" s="770">
        <f t="shared" si="7"/>
        <v>0</v>
      </c>
      <c r="V39" s="499"/>
      <c r="W39" s="775">
        <f t="shared" si="13"/>
        <v>0</v>
      </c>
      <c r="X39" s="775">
        <f t="shared" si="13"/>
        <v>0</v>
      </c>
      <c r="Y39" s="775">
        <f t="shared" si="13"/>
        <v>0</v>
      </c>
      <c r="Z39" s="770">
        <f t="shared" si="13"/>
        <v>0</v>
      </c>
      <c r="AA39" s="770">
        <f t="shared" si="13"/>
        <v>0</v>
      </c>
      <c r="AB39" s="499"/>
      <c r="AC39" s="158"/>
    </row>
    <row r="40" spans="2:29" x14ac:dyDescent="0.2">
      <c r="B40" s="158"/>
      <c r="C40" s="499"/>
      <c r="D40" s="523"/>
      <c r="E40" s="523"/>
      <c r="F40" s="517"/>
      <c r="G40" s="777"/>
      <c r="H40" s="517"/>
      <c r="I40" s="517"/>
      <c r="J40" s="499"/>
      <c r="K40" s="681">
        <f t="shared" si="11"/>
        <v>0</v>
      </c>
      <c r="L40" s="775">
        <f t="shared" si="1"/>
        <v>0</v>
      </c>
      <c r="M40" s="775">
        <f t="shared" si="2"/>
        <v>0</v>
      </c>
      <c r="N40" s="776" t="str">
        <f t="shared" si="3"/>
        <v>-</v>
      </c>
      <c r="O40" s="775">
        <f t="shared" si="4"/>
        <v>0</v>
      </c>
      <c r="P40" s="499"/>
      <c r="Q40" s="775">
        <f t="shared" ref="Q40:R59" si="14">(IF(Q$8&lt;$H40,0,IF($N40&lt;=Q$8-1,0,$M40)))</f>
        <v>0</v>
      </c>
      <c r="R40" s="775">
        <f t="shared" si="14"/>
        <v>0</v>
      </c>
      <c r="S40" s="775">
        <f t="shared" si="9"/>
        <v>0</v>
      </c>
      <c r="T40" s="770">
        <f t="shared" si="7"/>
        <v>0</v>
      </c>
      <c r="U40" s="770">
        <f t="shared" si="7"/>
        <v>0</v>
      </c>
      <c r="V40" s="499"/>
      <c r="W40" s="775">
        <f t="shared" si="13"/>
        <v>0</v>
      </c>
      <c r="X40" s="775">
        <f t="shared" si="13"/>
        <v>0</v>
      </c>
      <c r="Y40" s="775">
        <f t="shared" si="13"/>
        <v>0</v>
      </c>
      <c r="Z40" s="770">
        <f t="shared" si="13"/>
        <v>0</v>
      </c>
      <c r="AA40" s="770">
        <f t="shared" si="13"/>
        <v>0</v>
      </c>
      <c r="AB40" s="499"/>
      <c r="AC40" s="158"/>
    </row>
    <row r="41" spans="2:29" x14ac:dyDescent="0.2">
      <c r="B41" s="158"/>
      <c r="C41" s="499"/>
      <c r="D41" s="523"/>
      <c r="E41" s="523"/>
      <c r="F41" s="517"/>
      <c r="G41" s="777"/>
      <c r="H41" s="517"/>
      <c r="I41" s="517"/>
      <c r="J41" s="499"/>
      <c r="K41" s="681">
        <f t="shared" si="11"/>
        <v>0</v>
      </c>
      <c r="L41" s="775">
        <f t="shared" si="1"/>
        <v>0</v>
      </c>
      <c r="M41" s="775">
        <f t="shared" si="2"/>
        <v>0</v>
      </c>
      <c r="N41" s="776" t="str">
        <f t="shared" si="3"/>
        <v>-</v>
      </c>
      <c r="O41" s="775">
        <f t="shared" si="4"/>
        <v>0</v>
      </c>
      <c r="P41" s="499"/>
      <c r="Q41" s="775">
        <f t="shared" si="14"/>
        <v>0</v>
      </c>
      <c r="R41" s="775">
        <f t="shared" si="14"/>
        <v>0</v>
      </c>
      <c r="S41" s="775">
        <f t="shared" si="9"/>
        <v>0</v>
      </c>
      <c r="T41" s="770">
        <f t="shared" si="7"/>
        <v>0</v>
      </c>
      <c r="U41" s="770">
        <f t="shared" si="7"/>
        <v>0</v>
      </c>
      <c r="V41" s="499"/>
      <c r="W41" s="775">
        <f t="shared" si="13"/>
        <v>0</v>
      </c>
      <c r="X41" s="775">
        <f t="shared" si="13"/>
        <v>0</v>
      </c>
      <c r="Y41" s="775">
        <f t="shared" si="13"/>
        <v>0</v>
      </c>
      <c r="Z41" s="770">
        <f t="shared" si="13"/>
        <v>0</v>
      </c>
      <c r="AA41" s="770">
        <f t="shared" si="13"/>
        <v>0</v>
      </c>
      <c r="AB41" s="499"/>
      <c r="AC41" s="158"/>
    </row>
    <row r="42" spans="2:29" x14ac:dyDescent="0.2">
      <c r="B42" s="158"/>
      <c r="C42" s="499"/>
      <c r="D42" s="523"/>
      <c r="E42" s="523"/>
      <c r="F42" s="517"/>
      <c r="G42" s="777"/>
      <c r="H42" s="517"/>
      <c r="I42" s="517"/>
      <c r="J42" s="499"/>
      <c r="K42" s="681">
        <f t="shared" si="11"/>
        <v>0</v>
      </c>
      <c r="L42" s="775">
        <f t="shared" si="1"/>
        <v>0</v>
      </c>
      <c r="M42" s="775">
        <f t="shared" si="2"/>
        <v>0</v>
      </c>
      <c r="N42" s="776" t="str">
        <f t="shared" si="3"/>
        <v>-</v>
      </c>
      <c r="O42" s="775">
        <f t="shared" si="4"/>
        <v>0</v>
      </c>
      <c r="P42" s="499"/>
      <c r="Q42" s="775">
        <f t="shared" si="14"/>
        <v>0</v>
      </c>
      <c r="R42" s="775">
        <f t="shared" si="14"/>
        <v>0</v>
      </c>
      <c r="S42" s="775">
        <f t="shared" si="9"/>
        <v>0</v>
      </c>
      <c r="T42" s="770">
        <f t="shared" si="7"/>
        <v>0</v>
      </c>
      <c r="U42" s="770">
        <f t="shared" si="7"/>
        <v>0</v>
      </c>
      <c r="V42" s="499"/>
      <c r="W42" s="775">
        <f t="shared" si="13"/>
        <v>0</v>
      </c>
      <c r="X42" s="775">
        <f t="shared" si="13"/>
        <v>0</v>
      </c>
      <c r="Y42" s="775">
        <f t="shared" si="13"/>
        <v>0</v>
      </c>
      <c r="Z42" s="770">
        <f t="shared" si="13"/>
        <v>0</v>
      </c>
      <c r="AA42" s="770">
        <f t="shared" si="13"/>
        <v>0</v>
      </c>
      <c r="AB42" s="499"/>
      <c r="AC42" s="158"/>
    </row>
    <row r="43" spans="2:29" x14ac:dyDescent="0.2">
      <c r="B43" s="158"/>
      <c r="C43" s="499"/>
      <c r="D43" s="523"/>
      <c r="E43" s="523"/>
      <c r="F43" s="517"/>
      <c r="G43" s="777"/>
      <c r="H43" s="517"/>
      <c r="I43" s="517"/>
      <c r="J43" s="499"/>
      <c r="K43" s="681">
        <f t="shared" si="11"/>
        <v>0</v>
      </c>
      <c r="L43" s="775">
        <f t="shared" si="1"/>
        <v>0</v>
      </c>
      <c r="M43" s="775">
        <f t="shared" si="2"/>
        <v>0</v>
      </c>
      <c r="N43" s="776" t="str">
        <f t="shared" si="3"/>
        <v>-</v>
      </c>
      <c r="O43" s="775">
        <f t="shared" si="4"/>
        <v>0</v>
      </c>
      <c r="P43" s="499"/>
      <c r="Q43" s="775">
        <f t="shared" si="14"/>
        <v>0</v>
      </c>
      <c r="R43" s="775">
        <f t="shared" si="14"/>
        <v>0</v>
      </c>
      <c r="S43" s="775">
        <f t="shared" si="9"/>
        <v>0</v>
      </c>
      <c r="T43" s="770">
        <f t="shared" si="7"/>
        <v>0</v>
      </c>
      <c r="U43" s="770">
        <f t="shared" si="7"/>
        <v>0</v>
      </c>
      <c r="V43" s="499"/>
      <c r="W43" s="775">
        <f t="shared" si="13"/>
        <v>0</v>
      </c>
      <c r="X43" s="775">
        <f t="shared" si="13"/>
        <v>0</v>
      </c>
      <c r="Y43" s="775">
        <f t="shared" si="13"/>
        <v>0</v>
      </c>
      <c r="Z43" s="770">
        <f t="shared" si="13"/>
        <v>0</v>
      </c>
      <c r="AA43" s="770">
        <f t="shared" si="13"/>
        <v>0</v>
      </c>
      <c r="AB43" s="499"/>
      <c r="AC43" s="158"/>
    </row>
    <row r="44" spans="2:29" x14ac:dyDescent="0.2">
      <c r="B44" s="158"/>
      <c r="C44" s="499"/>
      <c r="D44" s="523"/>
      <c r="E44" s="523"/>
      <c r="F44" s="517"/>
      <c r="G44" s="777"/>
      <c r="H44" s="517"/>
      <c r="I44" s="517"/>
      <c r="J44" s="499"/>
      <c r="K44" s="681">
        <f t="shared" si="11"/>
        <v>0</v>
      </c>
      <c r="L44" s="775">
        <f t="shared" si="1"/>
        <v>0</v>
      </c>
      <c r="M44" s="775">
        <f t="shared" si="2"/>
        <v>0</v>
      </c>
      <c r="N44" s="776" t="str">
        <f t="shared" si="3"/>
        <v>-</v>
      </c>
      <c r="O44" s="775">
        <f t="shared" si="4"/>
        <v>0</v>
      </c>
      <c r="P44" s="499"/>
      <c r="Q44" s="775">
        <f t="shared" si="14"/>
        <v>0</v>
      </c>
      <c r="R44" s="775">
        <f t="shared" si="14"/>
        <v>0</v>
      </c>
      <c r="S44" s="775">
        <f t="shared" si="9"/>
        <v>0</v>
      </c>
      <c r="T44" s="770">
        <f t="shared" si="7"/>
        <v>0</v>
      </c>
      <c r="U44" s="770">
        <f t="shared" si="7"/>
        <v>0</v>
      </c>
      <c r="V44" s="499"/>
      <c r="W44" s="775">
        <f t="shared" ref="W44:AA68" si="15">IF(W$8=$H44,($F44*$G44),0)</f>
        <v>0</v>
      </c>
      <c r="X44" s="775">
        <f t="shared" si="15"/>
        <v>0</v>
      </c>
      <c r="Y44" s="775">
        <f t="shared" si="15"/>
        <v>0</v>
      </c>
      <c r="Z44" s="770">
        <f t="shared" si="15"/>
        <v>0</v>
      </c>
      <c r="AA44" s="770">
        <f t="shared" si="15"/>
        <v>0</v>
      </c>
      <c r="AB44" s="499"/>
      <c r="AC44" s="158"/>
    </row>
    <row r="45" spans="2:29" x14ac:dyDescent="0.2">
      <c r="B45" s="158"/>
      <c r="C45" s="499"/>
      <c r="D45" s="523"/>
      <c r="E45" s="523"/>
      <c r="F45" s="517"/>
      <c r="G45" s="777"/>
      <c r="H45" s="517"/>
      <c r="I45" s="517"/>
      <c r="J45" s="499"/>
      <c r="K45" s="681">
        <f t="shared" si="11"/>
        <v>0</v>
      </c>
      <c r="L45" s="775">
        <f t="shared" si="1"/>
        <v>0</v>
      </c>
      <c r="M45" s="775">
        <f t="shared" si="2"/>
        <v>0</v>
      </c>
      <c r="N45" s="776" t="str">
        <f t="shared" si="3"/>
        <v>-</v>
      </c>
      <c r="O45" s="775">
        <f t="shared" si="4"/>
        <v>0</v>
      </c>
      <c r="P45" s="499"/>
      <c r="Q45" s="775">
        <f t="shared" si="14"/>
        <v>0</v>
      </c>
      <c r="R45" s="775">
        <f t="shared" si="14"/>
        <v>0</v>
      </c>
      <c r="S45" s="775">
        <f t="shared" si="9"/>
        <v>0</v>
      </c>
      <c r="T45" s="770">
        <f t="shared" si="7"/>
        <v>0</v>
      </c>
      <c r="U45" s="770">
        <f t="shared" si="7"/>
        <v>0</v>
      </c>
      <c r="V45" s="499"/>
      <c r="W45" s="775">
        <f t="shared" si="15"/>
        <v>0</v>
      </c>
      <c r="X45" s="775">
        <f t="shared" si="15"/>
        <v>0</v>
      </c>
      <c r="Y45" s="775">
        <f t="shared" si="15"/>
        <v>0</v>
      </c>
      <c r="Z45" s="770">
        <f t="shared" si="15"/>
        <v>0</v>
      </c>
      <c r="AA45" s="770">
        <f t="shared" si="15"/>
        <v>0</v>
      </c>
      <c r="AB45" s="499"/>
      <c r="AC45" s="158"/>
    </row>
    <row r="46" spans="2:29" x14ac:dyDescent="0.2">
      <c r="B46" s="158"/>
      <c r="C46" s="499"/>
      <c r="D46" s="523"/>
      <c r="E46" s="523"/>
      <c r="F46" s="517"/>
      <c r="G46" s="777"/>
      <c r="H46" s="517"/>
      <c r="I46" s="517"/>
      <c r="J46" s="499"/>
      <c r="K46" s="681">
        <f t="shared" si="11"/>
        <v>0</v>
      </c>
      <c r="L46" s="775">
        <f t="shared" si="1"/>
        <v>0</v>
      </c>
      <c r="M46" s="775">
        <f t="shared" si="2"/>
        <v>0</v>
      </c>
      <c r="N46" s="776" t="str">
        <f t="shared" si="3"/>
        <v>-</v>
      </c>
      <c r="O46" s="775">
        <f t="shared" si="4"/>
        <v>0</v>
      </c>
      <c r="P46" s="499"/>
      <c r="Q46" s="775">
        <f t="shared" si="14"/>
        <v>0</v>
      </c>
      <c r="R46" s="775">
        <f t="shared" si="14"/>
        <v>0</v>
      </c>
      <c r="S46" s="775">
        <f t="shared" si="9"/>
        <v>0</v>
      </c>
      <c r="T46" s="770">
        <f t="shared" si="7"/>
        <v>0</v>
      </c>
      <c r="U46" s="770">
        <f t="shared" si="7"/>
        <v>0</v>
      </c>
      <c r="V46" s="499"/>
      <c r="W46" s="775">
        <f t="shared" si="15"/>
        <v>0</v>
      </c>
      <c r="X46" s="775">
        <f t="shared" si="15"/>
        <v>0</v>
      </c>
      <c r="Y46" s="775">
        <f t="shared" si="15"/>
        <v>0</v>
      </c>
      <c r="Z46" s="770">
        <f t="shared" si="15"/>
        <v>0</v>
      </c>
      <c r="AA46" s="770">
        <f t="shared" si="15"/>
        <v>0</v>
      </c>
      <c r="AB46" s="499"/>
      <c r="AC46" s="158"/>
    </row>
    <row r="47" spans="2:29" x14ac:dyDescent="0.2">
      <c r="B47" s="158"/>
      <c r="C47" s="499"/>
      <c r="D47" s="523"/>
      <c r="E47" s="523"/>
      <c r="F47" s="517"/>
      <c r="G47" s="777"/>
      <c r="H47" s="517"/>
      <c r="I47" s="517"/>
      <c r="J47" s="499"/>
      <c r="K47" s="681">
        <f t="shared" si="11"/>
        <v>0</v>
      </c>
      <c r="L47" s="775">
        <f t="shared" si="1"/>
        <v>0</v>
      </c>
      <c r="M47" s="775">
        <f t="shared" si="2"/>
        <v>0</v>
      </c>
      <c r="N47" s="776" t="str">
        <f t="shared" si="3"/>
        <v>-</v>
      </c>
      <c r="O47" s="775">
        <f t="shared" si="4"/>
        <v>0</v>
      </c>
      <c r="P47" s="499"/>
      <c r="Q47" s="775">
        <f t="shared" si="14"/>
        <v>0</v>
      </c>
      <c r="R47" s="775">
        <f t="shared" si="14"/>
        <v>0</v>
      </c>
      <c r="S47" s="775">
        <f t="shared" si="9"/>
        <v>0</v>
      </c>
      <c r="T47" s="770">
        <f t="shared" si="7"/>
        <v>0</v>
      </c>
      <c r="U47" s="770">
        <f t="shared" si="7"/>
        <v>0</v>
      </c>
      <c r="V47" s="499"/>
      <c r="W47" s="775">
        <f t="shared" si="15"/>
        <v>0</v>
      </c>
      <c r="X47" s="775">
        <f t="shared" si="15"/>
        <v>0</v>
      </c>
      <c r="Y47" s="775">
        <f t="shared" si="15"/>
        <v>0</v>
      </c>
      <c r="Z47" s="770">
        <f t="shared" si="15"/>
        <v>0</v>
      </c>
      <c r="AA47" s="770">
        <f t="shared" si="15"/>
        <v>0</v>
      </c>
      <c r="AB47" s="499"/>
      <c r="AC47" s="158"/>
    </row>
    <row r="48" spans="2:29" x14ac:dyDescent="0.2">
      <c r="B48" s="158"/>
      <c r="C48" s="499"/>
      <c r="D48" s="523"/>
      <c r="E48" s="523"/>
      <c r="F48" s="517"/>
      <c r="G48" s="777"/>
      <c r="H48" s="517"/>
      <c r="I48" s="517"/>
      <c r="J48" s="499"/>
      <c r="K48" s="681">
        <f t="shared" si="11"/>
        <v>0</v>
      </c>
      <c r="L48" s="775">
        <f t="shared" si="1"/>
        <v>0</v>
      </c>
      <c r="M48" s="775">
        <f t="shared" si="2"/>
        <v>0</v>
      </c>
      <c r="N48" s="776" t="str">
        <f t="shared" si="3"/>
        <v>-</v>
      </c>
      <c r="O48" s="775">
        <f t="shared" si="4"/>
        <v>0</v>
      </c>
      <c r="P48" s="499"/>
      <c r="Q48" s="775">
        <f t="shared" si="14"/>
        <v>0</v>
      </c>
      <c r="R48" s="775">
        <f t="shared" si="14"/>
        <v>0</v>
      </c>
      <c r="S48" s="775">
        <f t="shared" si="9"/>
        <v>0</v>
      </c>
      <c r="T48" s="770">
        <f t="shared" si="7"/>
        <v>0</v>
      </c>
      <c r="U48" s="770">
        <f t="shared" si="7"/>
        <v>0</v>
      </c>
      <c r="V48" s="499"/>
      <c r="W48" s="775">
        <f t="shared" si="15"/>
        <v>0</v>
      </c>
      <c r="X48" s="775">
        <f t="shared" si="15"/>
        <v>0</v>
      </c>
      <c r="Y48" s="775">
        <f t="shared" si="15"/>
        <v>0</v>
      </c>
      <c r="Z48" s="770">
        <f t="shared" si="15"/>
        <v>0</v>
      </c>
      <c r="AA48" s="770">
        <f t="shared" si="15"/>
        <v>0</v>
      </c>
      <c r="AB48" s="499"/>
      <c r="AC48" s="158"/>
    </row>
    <row r="49" spans="2:29" x14ac:dyDescent="0.2">
      <c r="B49" s="158"/>
      <c r="C49" s="499"/>
      <c r="D49" s="523"/>
      <c r="E49" s="523"/>
      <c r="F49" s="517"/>
      <c r="G49" s="777"/>
      <c r="H49" s="517"/>
      <c r="I49" s="517"/>
      <c r="J49" s="499"/>
      <c r="K49" s="681">
        <f t="shared" si="11"/>
        <v>0</v>
      </c>
      <c r="L49" s="775">
        <f t="shared" si="1"/>
        <v>0</v>
      </c>
      <c r="M49" s="775">
        <f t="shared" si="2"/>
        <v>0</v>
      </c>
      <c r="N49" s="776" t="str">
        <f t="shared" si="3"/>
        <v>-</v>
      </c>
      <c r="O49" s="775">
        <f t="shared" si="4"/>
        <v>0</v>
      </c>
      <c r="P49" s="499"/>
      <c r="Q49" s="775">
        <f t="shared" si="14"/>
        <v>0</v>
      </c>
      <c r="R49" s="775">
        <f t="shared" si="14"/>
        <v>0</v>
      </c>
      <c r="S49" s="775">
        <f t="shared" si="9"/>
        <v>0</v>
      </c>
      <c r="T49" s="770">
        <f t="shared" si="7"/>
        <v>0</v>
      </c>
      <c r="U49" s="770">
        <f t="shared" si="7"/>
        <v>0</v>
      </c>
      <c r="V49" s="499"/>
      <c r="W49" s="775">
        <f t="shared" si="15"/>
        <v>0</v>
      </c>
      <c r="X49" s="775">
        <f t="shared" si="15"/>
        <v>0</v>
      </c>
      <c r="Y49" s="775">
        <f t="shared" si="15"/>
        <v>0</v>
      </c>
      <c r="Z49" s="770">
        <f t="shared" si="15"/>
        <v>0</v>
      </c>
      <c r="AA49" s="770">
        <f t="shared" si="15"/>
        <v>0</v>
      </c>
      <c r="AB49" s="499"/>
      <c r="AC49" s="158"/>
    </row>
    <row r="50" spans="2:29" x14ac:dyDescent="0.2">
      <c r="B50" s="158"/>
      <c r="C50" s="499"/>
      <c r="D50" s="523"/>
      <c r="E50" s="523"/>
      <c r="F50" s="517"/>
      <c r="G50" s="777"/>
      <c r="H50" s="517"/>
      <c r="I50" s="517"/>
      <c r="J50" s="499"/>
      <c r="K50" s="681">
        <f t="shared" si="11"/>
        <v>0</v>
      </c>
      <c r="L50" s="775">
        <f t="shared" si="1"/>
        <v>0</v>
      </c>
      <c r="M50" s="775">
        <f t="shared" si="2"/>
        <v>0</v>
      </c>
      <c r="N50" s="776" t="str">
        <f t="shared" si="3"/>
        <v>-</v>
      </c>
      <c r="O50" s="775">
        <f t="shared" si="4"/>
        <v>0</v>
      </c>
      <c r="P50" s="499"/>
      <c r="Q50" s="775">
        <f t="shared" si="14"/>
        <v>0</v>
      </c>
      <c r="R50" s="775">
        <f t="shared" si="14"/>
        <v>0</v>
      </c>
      <c r="S50" s="775">
        <f t="shared" si="9"/>
        <v>0</v>
      </c>
      <c r="T50" s="770">
        <f t="shared" si="7"/>
        <v>0</v>
      </c>
      <c r="U50" s="770">
        <f t="shared" si="7"/>
        <v>0</v>
      </c>
      <c r="V50" s="499"/>
      <c r="W50" s="775">
        <f t="shared" si="15"/>
        <v>0</v>
      </c>
      <c r="X50" s="775">
        <f t="shared" si="15"/>
        <v>0</v>
      </c>
      <c r="Y50" s="775">
        <f t="shared" si="15"/>
        <v>0</v>
      </c>
      <c r="Z50" s="770">
        <f t="shared" si="15"/>
        <v>0</v>
      </c>
      <c r="AA50" s="770">
        <f t="shared" si="15"/>
        <v>0</v>
      </c>
      <c r="AB50" s="499"/>
      <c r="AC50" s="158"/>
    </row>
    <row r="51" spans="2:29" x14ac:dyDescent="0.2">
      <c r="B51" s="158"/>
      <c r="C51" s="499"/>
      <c r="D51" s="523"/>
      <c r="E51" s="523"/>
      <c r="F51" s="517"/>
      <c r="G51" s="777"/>
      <c r="H51" s="517"/>
      <c r="I51" s="517"/>
      <c r="J51" s="499"/>
      <c r="K51" s="681">
        <f t="shared" si="11"/>
        <v>0</v>
      </c>
      <c r="L51" s="775">
        <f t="shared" si="1"/>
        <v>0</v>
      </c>
      <c r="M51" s="775">
        <f t="shared" si="2"/>
        <v>0</v>
      </c>
      <c r="N51" s="776" t="str">
        <f t="shared" si="3"/>
        <v>-</v>
      </c>
      <c r="O51" s="775">
        <f t="shared" si="4"/>
        <v>0</v>
      </c>
      <c r="P51" s="499"/>
      <c r="Q51" s="775">
        <f t="shared" si="14"/>
        <v>0</v>
      </c>
      <c r="R51" s="775">
        <f t="shared" si="14"/>
        <v>0</v>
      </c>
      <c r="S51" s="775">
        <f t="shared" si="9"/>
        <v>0</v>
      </c>
      <c r="T51" s="770">
        <f t="shared" si="7"/>
        <v>0</v>
      </c>
      <c r="U51" s="770">
        <f t="shared" si="7"/>
        <v>0</v>
      </c>
      <c r="V51" s="499"/>
      <c r="W51" s="775">
        <f t="shared" si="15"/>
        <v>0</v>
      </c>
      <c r="X51" s="775">
        <f t="shared" si="15"/>
        <v>0</v>
      </c>
      <c r="Y51" s="775">
        <f t="shared" si="15"/>
        <v>0</v>
      </c>
      <c r="Z51" s="770">
        <f t="shared" si="15"/>
        <v>0</v>
      </c>
      <c r="AA51" s="770">
        <f t="shared" si="15"/>
        <v>0</v>
      </c>
      <c r="AB51" s="499"/>
      <c r="AC51" s="158"/>
    </row>
    <row r="52" spans="2:29" x14ac:dyDescent="0.2">
      <c r="B52" s="158"/>
      <c r="C52" s="499"/>
      <c r="D52" s="523"/>
      <c r="E52" s="523"/>
      <c r="F52" s="517"/>
      <c r="G52" s="777"/>
      <c r="H52" s="517"/>
      <c r="I52" s="517"/>
      <c r="J52" s="499"/>
      <c r="K52" s="681">
        <f t="shared" si="11"/>
        <v>0</v>
      </c>
      <c r="L52" s="775">
        <f t="shared" si="1"/>
        <v>0</v>
      </c>
      <c r="M52" s="775">
        <f t="shared" si="2"/>
        <v>0</v>
      </c>
      <c r="N52" s="776" t="str">
        <f t="shared" si="3"/>
        <v>-</v>
      </c>
      <c r="O52" s="775">
        <f t="shared" si="4"/>
        <v>0</v>
      </c>
      <c r="P52" s="499"/>
      <c r="Q52" s="775">
        <f t="shared" si="14"/>
        <v>0</v>
      </c>
      <c r="R52" s="775">
        <f t="shared" si="14"/>
        <v>0</v>
      </c>
      <c r="S52" s="775">
        <f t="shared" si="9"/>
        <v>0</v>
      </c>
      <c r="T52" s="770">
        <f t="shared" ref="T52:U61" si="16">(IF(T$8&lt;$H52,0,IF($N52&lt;=T$8-1,0,$M52)))</f>
        <v>0</v>
      </c>
      <c r="U52" s="770">
        <f t="shared" si="16"/>
        <v>0</v>
      </c>
      <c r="V52" s="499"/>
      <c r="W52" s="775">
        <f t="shared" si="15"/>
        <v>0</v>
      </c>
      <c r="X52" s="775">
        <f t="shared" si="15"/>
        <v>0</v>
      </c>
      <c r="Y52" s="775">
        <f t="shared" si="15"/>
        <v>0</v>
      </c>
      <c r="Z52" s="770">
        <f t="shared" si="15"/>
        <v>0</v>
      </c>
      <c r="AA52" s="770">
        <f t="shared" si="15"/>
        <v>0</v>
      </c>
      <c r="AB52" s="499"/>
      <c r="AC52" s="158"/>
    </row>
    <row r="53" spans="2:29" x14ac:dyDescent="0.2">
      <c r="B53" s="158"/>
      <c r="C53" s="499"/>
      <c r="D53" s="523"/>
      <c r="E53" s="523"/>
      <c r="F53" s="517"/>
      <c r="G53" s="777"/>
      <c r="H53" s="517"/>
      <c r="I53" s="517"/>
      <c r="J53" s="499"/>
      <c r="K53" s="681">
        <f t="shared" ref="K53:K69" si="17">IF(I53="geen",9999999999,I53)</f>
        <v>0</v>
      </c>
      <c r="L53" s="775">
        <f t="shared" ref="L53:L69" si="18">F53*G53</f>
        <v>0</v>
      </c>
      <c r="M53" s="775">
        <f t="shared" ref="M53:M69" si="19">IF(F53=0,0,(F53*G53)/K53)</f>
        <v>0</v>
      </c>
      <c r="N53" s="776" t="str">
        <f t="shared" ref="N53:N69" si="20">IF(K53=0,"-",(IF(K53&gt;3000,"-",H53+K53-1)))</f>
        <v>-</v>
      </c>
      <c r="O53" s="775">
        <f t="shared" ref="O53:O69" si="21">IF(I53="geen",IF(H53&lt;$Q$8,F53*G53,0),IF(H53&gt;=$Q$8,0,IF((G53*F53-(Q$8-H53)*M53)&lt;0,0,G53*F53-(Q$8-H53)*M53)))</f>
        <v>0</v>
      </c>
      <c r="P53" s="499"/>
      <c r="Q53" s="775">
        <f t="shared" si="14"/>
        <v>0</v>
      </c>
      <c r="R53" s="775">
        <f t="shared" si="14"/>
        <v>0</v>
      </c>
      <c r="S53" s="775">
        <f t="shared" si="9"/>
        <v>0</v>
      </c>
      <c r="T53" s="770">
        <f t="shared" si="16"/>
        <v>0</v>
      </c>
      <c r="U53" s="770">
        <f t="shared" si="16"/>
        <v>0</v>
      </c>
      <c r="V53" s="499"/>
      <c r="W53" s="775">
        <f t="shared" si="15"/>
        <v>0</v>
      </c>
      <c r="X53" s="775">
        <f t="shared" si="15"/>
        <v>0</v>
      </c>
      <c r="Y53" s="775">
        <f t="shared" si="15"/>
        <v>0</v>
      </c>
      <c r="Z53" s="770">
        <f t="shared" si="15"/>
        <v>0</v>
      </c>
      <c r="AA53" s="770">
        <f t="shared" si="15"/>
        <v>0</v>
      </c>
      <c r="AB53" s="499"/>
      <c r="AC53" s="158"/>
    </row>
    <row r="54" spans="2:29" x14ac:dyDescent="0.2">
      <c r="B54" s="158"/>
      <c r="C54" s="499"/>
      <c r="D54" s="523"/>
      <c r="E54" s="523"/>
      <c r="F54" s="517"/>
      <c r="G54" s="777"/>
      <c r="H54" s="517"/>
      <c r="I54" s="517"/>
      <c r="J54" s="499"/>
      <c r="K54" s="681">
        <f t="shared" si="17"/>
        <v>0</v>
      </c>
      <c r="L54" s="775">
        <f t="shared" si="18"/>
        <v>0</v>
      </c>
      <c r="M54" s="775">
        <f t="shared" si="19"/>
        <v>0</v>
      </c>
      <c r="N54" s="776" t="str">
        <f t="shared" si="20"/>
        <v>-</v>
      </c>
      <c r="O54" s="775">
        <f t="shared" si="21"/>
        <v>0</v>
      </c>
      <c r="P54" s="499"/>
      <c r="Q54" s="775">
        <f t="shared" si="14"/>
        <v>0</v>
      </c>
      <c r="R54" s="775">
        <f t="shared" si="14"/>
        <v>0</v>
      </c>
      <c r="S54" s="775">
        <f t="shared" si="9"/>
        <v>0</v>
      </c>
      <c r="T54" s="770">
        <f t="shared" si="16"/>
        <v>0</v>
      </c>
      <c r="U54" s="770">
        <f t="shared" si="16"/>
        <v>0</v>
      </c>
      <c r="V54" s="499"/>
      <c r="W54" s="775">
        <f t="shared" si="15"/>
        <v>0</v>
      </c>
      <c r="X54" s="775">
        <f t="shared" si="15"/>
        <v>0</v>
      </c>
      <c r="Y54" s="775">
        <f t="shared" si="15"/>
        <v>0</v>
      </c>
      <c r="Z54" s="770">
        <f t="shared" si="15"/>
        <v>0</v>
      </c>
      <c r="AA54" s="770">
        <f t="shared" si="15"/>
        <v>0</v>
      </c>
      <c r="AB54" s="499"/>
      <c r="AC54" s="158"/>
    </row>
    <row r="55" spans="2:29" x14ac:dyDescent="0.2">
      <c r="B55" s="158"/>
      <c r="C55" s="499"/>
      <c r="D55" s="523"/>
      <c r="E55" s="523"/>
      <c r="F55" s="517"/>
      <c r="G55" s="777"/>
      <c r="H55" s="517"/>
      <c r="I55" s="517"/>
      <c r="J55" s="499"/>
      <c r="K55" s="681">
        <f t="shared" si="17"/>
        <v>0</v>
      </c>
      <c r="L55" s="775">
        <f t="shared" si="18"/>
        <v>0</v>
      </c>
      <c r="M55" s="775">
        <f t="shared" si="19"/>
        <v>0</v>
      </c>
      <c r="N55" s="776" t="str">
        <f t="shared" si="20"/>
        <v>-</v>
      </c>
      <c r="O55" s="775">
        <f t="shared" si="21"/>
        <v>0</v>
      </c>
      <c r="P55" s="499"/>
      <c r="Q55" s="775">
        <f t="shared" si="14"/>
        <v>0</v>
      </c>
      <c r="R55" s="775">
        <f t="shared" si="14"/>
        <v>0</v>
      </c>
      <c r="S55" s="775">
        <f t="shared" si="9"/>
        <v>0</v>
      </c>
      <c r="T55" s="770">
        <f t="shared" si="16"/>
        <v>0</v>
      </c>
      <c r="U55" s="770">
        <f t="shared" si="16"/>
        <v>0</v>
      </c>
      <c r="V55" s="499"/>
      <c r="W55" s="775">
        <f t="shared" si="15"/>
        <v>0</v>
      </c>
      <c r="X55" s="775">
        <f t="shared" si="15"/>
        <v>0</v>
      </c>
      <c r="Y55" s="775">
        <f t="shared" si="15"/>
        <v>0</v>
      </c>
      <c r="Z55" s="770">
        <f t="shared" si="15"/>
        <v>0</v>
      </c>
      <c r="AA55" s="770">
        <f t="shared" si="15"/>
        <v>0</v>
      </c>
      <c r="AB55" s="499"/>
      <c r="AC55" s="158"/>
    </row>
    <row r="56" spans="2:29" x14ac:dyDescent="0.2">
      <c r="B56" s="158"/>
      <c r="C56" s="499"/>
      <c r="D56" s="523"/>
      <c r="E56" s="523"/>
      <c r="F56" s="517"/>
      <c r="G56" s="777"/>
      <c r="H56" s="517"/>
      <c r="I56" s="517"/>
      <c r="J56" s="499"/>
      <c r="K56" s="681">
        <f t="shared" si="17"/>
        <v>0</v>
      </c>
      <c r="L56" s="775">
        <f t="shared" si="18"/>
        <v>0</v>
      </c>
      <c r="M56" s="775">
        <f t="shared" si="19"/>
        <v>0</v>
      </c>
      <c r="N56" s="776" t="str">
        <f t="shared" si="20"/>
        <v>-</v>
      </c>
      <c r="O56" s="775">
        <f t="shared" si="21"/>
        <v>0</v>
      </c>
      <c r="P56" s="499"/>
      <c r="Q56" s="775">
        <f t="shared" si="14"/>
        <v>0</v>
      </c>
      <c r="R56" s="775">
        <f t="shared" si="14"/>
        <v>0</v>
      </c>
      <c r="S56" s="775">
        <f t="shared" si="9"/>
        <v>0</v>
      </c>
      <c r="T56" s="770">
        <f t="shared" si="16"/>
        <v>0</v>
      </c>
      <c r="U56" s="770">
        <f t="shared" si="16"/>
        <v>0</v>
      </c>
      <c r="V56" s="499"/>
      <c r="W56" s="775">
        <f t="shared" si="15"/>
        <v>0</v>
      </c>
      <c r="X56" s="775">
        <f t="shared" si="15"/>
        <v>0</v>
      </c>
      <c r="Y56" s="775">
        <f t="shared" si="15"/>
        <v>0</v>
      </c>
      <c r="Z56" s="770">
        <f t="shared" si="15"/>
        <v>0</v>
      </c>
      <c r="AA56" s="770">
        <f t="shared" si="15"/>
        <v>0</v>
      </c>
      <c r="AB56" s="499"/>
      <c r="AC56" s="158"/>
    </row>
    <row r="57" spans="2:29" x14ac:dyDescent="0.2">
      <c r="B57" s="158"/>
      <c r="C57" s="499"/>
      <c r="D57" s="523"/>
      <c r="E57" s="523"/>
      <c r="F57" s="517"/>
      <c r="G57" s="777"/>
      <c r="H57" s="517"/>
      <c r="I57" s="517"/>
      <c r="J57" s="499"/>
      <c r="K57" s="681">
        <f t="shared" si="17"/>
        <v>0</v>
      </c>
      <c r="L57" s="775">
        <f t="shared" si="18"/>
        <v>0</v>
      </c>
      <c r="M57" s="775">
        <f t="shared" si="19"/>
        <v>0</v>
      </c>
      <c r="N57" s="776" t="str">
        <f t="shared" si="20"/>
        <v>-</v>
      </c>
      <c r="O57" s="775">
        <f t="shared" si="21"/>
        <v>0</v>
      </c>
      <c r="P57" s="499"/>
      <c r="Q57" s="775">
        <f t="shared" si="14"/>
        <v>0</v>
      </c>
      <c r="R57" s="775">
        <f t="shared" si="14"/>
        <v>0</v>
      </c>
      <c r="S57" s="775">
        <f t="shared" si="9"/>
        <v>0</v>
      </c>
      <c r="T57" s="770">
        <f t="shared" si="16"/>
        <v>0</v>
      </c>
      <c r="U57" s="770">
        <f t="shared" si="16"/>
        <v>0</v>
      </c>
      <c r="V57" s="499"/>
      <c r="W57" s="775">
        <f t="shared" si="15"/>
        <v>0</v>
      </c>
      <c r="X57" s="775">
        <f t="shared" si="15"/>
        <v>0</v>
      </c>
      <c r="Y57" s="775">
        <f t="shared" si="15"/>
        <v>0</v>
      </c>
      <c r="Z57" s="770">
        <f t="shared" si="15"/>
        <v>0</v>
      </c>
      <c r="AA57" s="770">
        <f t="shared" si="15"/>
        <v>0</v>
      </c>
      <c r="AB57" s="499"/>
      <c r="AC57" s="158"/>
    </row>
    <row r="58" spans="2:29" x14ac:dyDescent="0.2">
      <c r="B58" s="158"/>
      <c r="C58" s="499"/>
      <c r="D58" s="523"/>
      <c r="E58" s="523"/>
      <c r="F58" s="517"/>
      <c r="G58" s="777"/>
      <c r="H58" s="517"/>
      <c r="I58" s="517"/>
      <c r="J58" s="499"/>
      <c r="K58" s="681">
        <f t="shared" si="17"/>
        <v>0</v>
      </c>
      <c r="L58" s="775">
        <f t="shared" si="18"/>
        <v>0</v>
      </c>
      <c r="M58" s="775">
        <f t="shared" si="19"/>
        <v>0</v>
      </c>
      <c r="N58" s="776" t="str">
        <f t="shared" si="20"/>
        <v>-</v>
      </c>
      <c r="O58" s="775">
        <f t="shared" si="21"/>
        <v>0</v>
      </c>
      <c r="P58" s="499"/>
      <c r="Q58" s="775">
        <f t="shared" si="14"/>
        <v>0</v>
      </c>
      <c r="R58" s="775">
        <f t="shared" si="14"/>
        <v>0</v>
      </c>
      <c r="S58" s="775">
        <f t="shared" si="9"/>
        <v>0</v>
      </c>
      <c r="T58" s="770">
        <f t="shared" si="16"/>
        <v>0</v>
      </c>
      <c r="U58" s="770">
        <f t="shared" si="16"/>
        <v>0</v>
      </c>
      <c r="V58" s="499"/>
      <c r="W58" s="775">
        <f t="shared" si="15"/>
        <v>0</v>
      </c>
      <c r="X58" s="775">
        <f t="shared" si="15"/>
        <v>0</v>
      </c>
      <c r="Y58" s="775">
        <f t="shared" si="15"/>
        <v>0</v>
      </c>
      <c r="Z58" s="770">
        <f t="shared" si="15"/>
        <v>0</v>
      </c>
      <c r="AA58" s="770">
        <f t="shared" si="15"/>
        <v>0</v>
      </c>
      <c r="AB58" s="499"/>
      <c r="AC58" s="158"/>
    </row>
    <row r="59" spans="2:29" x14ac:dyDescent="0.2">
      <c r="B59" s="158"/>
      <c r="C59" s="499"/>
      <c r="D59" s="523"/>
      <c r="E59" s="523"/>
      <c r="F59" s="517"/>
      <c r="G59" s="777"/>
      <c r="H59" s="517"/>
      <c r="I59" s="517"/>
      <c r="J59" s="499"/>
      <c r="K59" s="681">
        <f t="shared" si="17"/>
        <v>0</v>
      </c>
      <c r="L59" s="775">
        <f t="shared" si="18"/>
        <v>0</v>
      </c>
      <c r="M59" s="775">
        <f t="shared" si="19"/>
        <v>0</v>
      </c>
      <c r="N59" s="776" t="str">
        <f t="shared" si="20"/>
        <v>-</v>
      </c>
      <c r="O59" s="775">
        <f t="shared" si="21"/>
        <v>0</v>
      </c>
      <c r="P59" s="499"/>
      <c r="Q59" s="775">
        <f t="shared" si="14"/>
        <v>0</v>
      </c>
      <c r="R59" s="775">
        <f t="shared" si="14"/>
        <v>0</v>
      </c>
      <c r="S59" s="775">
        <f t="shared" si="9"/>
        <v>0</v>
      </c>
      <c r="T59" s="770">
        <f t="shared" si="16"/>
        <v>0</v>
      </c>
      <c r="U59" s="770">
        <f t="shared" si="16"/>
        <v>0</v>
      </c>
      <c r="V59" s="499"/>
      <c r="W59" s="775">
        <f t="shared" si="15"/>
        <v>0</v>
      </c>
      <c r="X59" s="775">
        <f t="shared" si="15"/>
        <v>0</v>
      </c>
      <c r="Y59" s="775">
        <f t="shared" si="15"/>
        <v>0</v>
      </c>
      <c r="Z59" s="770">
        <f t="shared" si="15"/>
        <v>0</v>
      </c>
      <c r="AA59" s="770">
        <f t="shared" si="15"/>
        <v>0</v>
      </c>
      <c r="AB59" s="499"/>
      <c r="AC59" s="158"/>
    </row>
    <row r="60" spans="2:29" x14ac:dyDescent="0.2">
      <c r="B60" s="158"/>
      <c r="C60" s="499"/>
      <c r="D60" s="523"/>
      <c r="E60" s="523"/>
      <c r="F60" s="517"/>
      <c r="G60" s="777"/>
      <c r="H60" s="517"/>
      <c r="I60" s="517"/>
      <c r="J60" s="499"/>
      <c r="K60" s="681">
        <f t="shared" si="17"/>
        <v>0</v>
      </c>
      <c r="L60" s="775">
        <f t="shared" si="18"/>
        <v>0</v>
      </c>
      <c r="M60" s="775">
        <f t="shared" si="19"/>
        <v>0</v>
      </c>
      <c r="N60" s="776" t="str">
        <f t="shared" si="20"/>
        <v>-</v>
      </c>
      <c r="O60" s="775">
        <f t="shared" si="21"/>
        <v>0</v>
      </c>
      <c r="P60" s="499"/>
      <c r="Q60" s="775">
        <f t="shared" ref="Q60:R69" si="22">(IF(Q$8&lt;$H60,0,IF($N60&lt;=Q$8-1,0,$M60)))</f>
        <v>0</v>
      </c>
      <c r="R60" s="775">
        <f t="shared" si="22"/>
        <v>0</v>
      </c>
      <c r="S60" s="775">
        <f t="shared" si="9"/>
        <v>0</v>
      </c>
      <c r="T60" s="770">
        <f t="shared" si="16"/>
        <v>0</v>
      </c>
      <c r="U60" s="770">
        <f t="shared" si="16"/>
        <v>0</v>
      </c>
      <c r="V60" s="499"/>
      <c r="W60" s="775">
        <f t="shared" si="15"/>
        <v>0</v>
      </c>
      <c r="X60" s="775">
        <f t="shared" si="15"/>
        <v>0</v>
      </c>
      <c r="Y60" s="775">
        <f t="shared" si="15"/>
        <v>0</v>
      </c>
      <c r="Z60" s="770">
        <f t="shared" si="15"/>
        <v>0</v>
      </c>
      <c r="AA60" s="770">
        <f t="shared" si="15"/>
        <v>0</v>
      </c>
      <c r="AB60" s="499"/>
      <c r="AC60" s="158"/>
    </row>
    <row r="61" spans="2:29" x14ac:dyDescent="0.2">
      <c r="B61" s="158"/>
      <c r="C61" s="499"/>
      <c r="D61" s="523"/>
      <c r="E61" s="523"/>
      <c r="F61" s="517"/>
      <c r="G61" s="777"/>
      <c r="H61" s="517"/>
      <c r="I61" s="517"/>
      <c r="J61" s="499"/>
      <c r="K61" s="681">
        <f t="shared" si="17"/>
        <v>0</v>
      </c>
      <c r="L61" s="775">
        <f t="shared" si="18"/>
        <v>0</v>
      </c>
      <c r="M61" s="775">
        <f t="shared" si="19"/>
        <v>0</v>
      </c>
      <c r="N61" s="776" t="str">
        <f t="shared" si="20"/>
        <v>-</v>
      </c>
      <c r="O61" s="775">
        <f t="shared" si="21"/>
        <v>0</v>
      </c>
      <c r="P61" s="499"/>
      <c r="Q61" s="775">
        <f t="shared" si="22"/>
        <v>0</v>
      </c>
      <c r="R61" s="775">
        <f t="shared" si="22"/>
        <v>0</v>
      </c>
      <c r="S61" s="775">
        <f t="shared" si="9"/>
        <v>0</v>
      </c>
      <c r="T61" s="770">
        <f t="shared" si="16"/>
        <v>0</v>
      </c>
      <c r="U61" s="770">
        <f t="shared" si="16"/>
        <v>0</v>
      </c>
      <c r="V61" s="499"/>
      <c r="W61" s="775">
        <f t="shared" si="15"/>
        <v>0</v>
      </c>
      <c r="X61" s="775">
        <f t="shared" si="15"/>
        <v>0</v>
      </c>
      <c r="Y61" s="775">
        <f t="shared" si="15"/>
        <v>0</v>
      </c>
      <c r="Z61" s="770">
        <f t="shared" si="15"/>
        <v>0</v>
      </c>
      <c r="AA61" s="770">
        <f t="shared" si="15"/>
        <v>0</v>
      </c>
      <c r="AB61" s="499"/>
      <c r="AC61" s="158"/>
    </row>
    <row r="62" spans="2:29" x14ac:dyDescent="0.2">
      <c r="B62" s="158"/>
      <c r="C62" s="499"/>
      <c r="D62" s="523"/>
      <c r="E62" s="523"/>
      <c r="F62" s="517"/>
      <c r="G62" s="777"/>
      <c r="H62" s="517"/>
      <c r="I62" s="517"/>
      <c r="J62" s="499"/>
      <c r="K62" s="681">
        <f t="shared" si="17"/>
        <v>0</v>
      </c>
      <c r="L62" s="775">
        <f t="shared" si="18"/>
        <v>0</v>
      </c>
      <c r="M62" s="775">
        <f t="shared" si="19"/>
        <v>0</v>
      </c>
      <c r="N62" s="776" t="str">
        <f t="shared" si="20"/>
        <v>-</v>
      </c>
      <c r="O62" s="775">
        <f t="shared" si="21"/>
        <v>0</v>
      </c>
      <c r="P62" s="499"/>
      <c r="Q62" s="775">
        <f t="shared" si="22"/>
        <v>0</v>
      </c>
      <c r="R62" s="775">
        <f t="shared" si="22"/>
        <v>0</v>
      </c>
      <c r="S62" s="775">
        <f t="shared" si="9"/>
        <v>0</v>
      </c>
      <c r="T62" s="770">
        <f t="shared" ref="T62:U69" si="23">(IF(T$8&lt;$H62,0,IF($N62&lt;=T$8-1,0,$M62)))</f>
        <v>0</v>
      </c>
      <c r="U62" s="770">
        <f t="shared" si="23"/>
        <v>0</v>
      </c>
      <c r="V62" s="499"/>
      <c r="W62" s="775">
        <f t="shared" si="15"/>
        <v>0</v>
      </c>
      <c r="X62" s="775">
        <f t="shared" si="15"/>
        <v>0</v>
      </c>
      <c r="Y62" s="775">
        <f t="shared" si="15"/>
        <v>0</v>
      </c>
      <c r="Z62" s="770">
        <f t="shared" si="15"/>
        <v>0</v>
      </c>
      <c r="AA62" s="770">
        <f t="shared" si="15"/>
        <v>0</v>
      </c>
      <c r="AB62" s="499"/>
      <c r="AC62" s="158"/>
    </row>
    <row r="63" spans="2:29" x14ac:dyDescent="0.2">
      <c r="B63" s="158"/>
      <c r="C63" s="499"/>
      <c r="D63" s="523"/>
      <c r="E63" s="523"/>
      <c r="F63" s="517"/>
      <c r="G63" s="777"/>
      <c r="H63" s="517"/>
      <c r="I63" s="517"/>
      <c r="J63" s="499"/>
      <c r="K63" s="681">
        <f t="shared" si="17"/>
        <v>0</v>
      </c>
      <c r="L63" s="775">
        <f t="shared" si="18"/>
        <v>0</v>
      </c>
      <c r="M63" s="775">
        <f t="shared" si="19"/>
        <v>0</v>
      </c>
      <c r="N63" s="776" t="str">
        <f t="shared" si="20"/>
        <v>-</v>
      </c>
      <c r="O63" s="775">
        <f t="shared" si="21"/>
        <v>0</v>
      </c>
      <c r="P63" s="499"/>
      <c r="Q63" s="775">
        <f t="shared" si="22"/>
        <v>0</v>
      </c>
      <c r="R63" s="775">
        <f t="shared" si="22"/>
        <v>0</v>
      </c>
      <c r="S63" s="775">
        <f t="shared" si="9"/>
        <v>0</v>
      </c>
      <c r="T63" s="770">
        <f t="shared" si="23"/>
        <v>0</v>
      </c>
      <c r="U63" s="770">
        <f t="shared" si="23"/>
        <v>0</v>
      </c>
      <c r="V63" s="499"/>
      <c r="W63" s="775">
        <f t="shared" si="15"/>
        <v>0</v>
      </c>
      <c r="X63" s="775">
        <f t="shared" si="15"/>
        <v>0</v>
      </c>
      <c r="Y63" s="775">
        <f t="shared" si="15"/>
        <v>0</v>
      </c>
      <c r="Z63" s="770">
        <f t="shared" si="15"/>
        <v>0</v>
      </c>
      <c r="AA63" s="770">
        <f t="shared" si="15"/>
        <v>0</v>
      </c>
      <c r="AB63" s="499"/>
      <c r="AC63" s="158"/>
    </row>
    <row r="64" spans="2:29" x14ac:dyDescent="0.2">
      <c r="B64" s="158"/>
      <c r="C64" s="499"/>
      <c r="D64" s="523"/>
      <c r="E64" s="523"/>
      <c r="F64" s="517"/>
      <c r="G64" s="777"/>
      <c r="H64" s="517"/>
      <c r="I64" s="517"/>
      <c r="J64" s="499"/>
      <c r="K64" s="681">
        <f t="shared" si="17"/>
        <v>0</v>
      </c>
      <c r="L64" s="775">
        <f t="shared" si="18"/>
        <v>0</v>
      </c>
      <c r="M64" s="775">
        <f t="shared" si="19"/>
        <v>0</v>
      </c>
      <c r="N64" s="776" t="str">
        <f t="shared" si="20"/>
        <v>-</v>
      </c>
      <c r="O64" s="775">
        <f t="shared" si="21"/>
        <v>0</v>
      </c>
      <c r="P64" s="499"/>
      <c r="Q64" s="775">
        <f t="shared" si="22"/>
        <v>0</v>
      </c>
      <c r="R64" s="775">
        <f t="shared" si="22"/>
        <v>0</v>
      </c>
      <c r="S64" s="775">
        <f t="shared" si="9"/>
        <v>0</v>
      </c>
      <c r="T64" s="770">
        <f t="shared" si="23"/>
        <v>0</v>
      </c>
      <c r="U64" s="770">
        <f t="shared" si="23"/>
        <v>0</v>
      </c>
      <c r="V64" s="499"/>
      <c r="W64" s="775">
        <f t="shared" si="15"/>
        <v>0</v>
      </c>
      <c r="X64" s="775">
        <f t="shared" si="15"/>
        <v>0</v>
      </c>
      <c r="Y64" s="775">
        <f t="shared" si="15"/>
        <v>0</v>
      </c>
      <c r="Z64" s="770">
        <f t="shared" si="15"/>
        <v>0</v>
      </c>
      <c r="AA64" s="770">
        <f t="shared" si="15"/>
        <v>0</v>
      </c>
      <c r="AB64" s="499"/>
      <c r="AC64" s="158"/>
    </row>
    <row r="65" spans="2:29" x14ac:dyDescent="0.2">
      <c r="B65" s="158"/>
      <c r="C65" s="499"/>
      <c r="D65" s="523"/>
      <c r="E65" s="523"/>
      <c r="F65" s="517"/>
      <c r="G65" s="777"/>
      <c r="H65" s="517"/>
      <c r="I65" s="517"/>
      <c r="J65" s="499"/>
      <c r="K65" s="681">
        <f t="shared" si="17"/>
        <v>0</v>
      </c>
      <c r="L65" s="775">
        <f t="shared" si="18"/>
        <v>0</v>
      </c>
      <c r="M65" s="775">
        <f t="shared" si="19"/>
        <v>0</v>
      </c>
      <c r="N65" s="776" t="str">
        <f t="shared" si="20"/>
        <v>-</v>
      </c>
      <c r="O65" s="775">
        <f t="shared" si="21"/>
        <v>0</v>
      </c>
      <c r="P65" s="499"/>
      <c r="Q65" s="775">
        <f t="shared" si="22"/>
        <v>0</v>
      </c>
      <c r="R65" s="775">
        <f t="shared" si="22"/>
        <v>0</v>
      </c>
      <c r="S65" s="775">
        <f t="shared" si="9"/>
        <v>0</v>
      </c>
      <c r="T65" s="770">
        <f t="shared" si="23"/>
        <v>0</v>
      </c>
      <c r="U65" s="770">
        <f t="shared" si="23"/>
        <v>0</v>
      </c>
      <c r="V65" s="499"/>
      <c r="W65" s="775">
        <f t="shared" si="15"/>
        <v>0</v>
      </c>
      <c r="X65" s="775">
        <f t="shared" si="15"/>
        <v>0</v>
      </c>
      <c r="Y65" s="775">
        <f t="shared" si="15"/>
        <v>0</v>
      </c>
      <c r="Z65" s="770">
        <f t="shared" si="15"/>
        <v>0</v>
      </c>
      <c r="AA65" s="770">
        <f t="shared" si="15"/>
        <v>0</v>
      </c>
      <c r="AB65" s="499"/>
      <c r="AC65" s="158"/>
    </row>
    <row r="66" spans="2:29" x14ac:dyDescent="0.2">
      <c r="B66" s="158"/>
      <c r="C66" s="499"/>
      <c r="D66" s="523"/>
      <c r="E66" s="523"/>
      <c r="F66" s="517"/>
      <c r="G66" s="777"/>
      <c r="H66" s="517"/>
      <c r="I66" s="517"/>
      <c r="J66" s="499"/>
      <c r="K66" s="681">
        <f t="shared" si="17"/>
        <v>0</v>
      </c>
      <c r="L66" s="775">
        <f t="shared" si="18"/>
        <v>0</v>
      </c>
      <c r="M66" s="775">
        <f t="shared" si="19"/>
        <v>0</v>
      </c>
      <c r="N66" s="776" t="str">
        <f t="shared" si="20"/>
        <v>-</v>
      </c>
      <c r="O66" s="775">
        <f t="shared" si="21"/>
        <v>0</v>
      </c>
      <c r="P66" s="499"/>
      <c r="Q66" s="775">
        <f t="shared" si="22"/>
        <v>0</v>
      </c>
      <c r="R66" s="775">
        <f t="shared" si="22"/>
        <v>0</v>
      </c>
      <c r="S66" s="775">
        <f t="shared" si="9"/>
        <v>0</v>
      </c>
      <c r="T66" s="770">
        <f t="shared" si="23"/>
        <v>0</v>
      </c>
      <c r="U66" s="770">
        <f t="shared" si="23"/>
        <v>0</v>
      </c>
      <c r="V66" s="499"/>
      <c r="W66" s="775">
        <f t="shared" si="15"/>
        <v>0</v>
      </c>
      <c r="X66" s="775">
        <f t="shared" si="15"/>
        <v>0</v>
      </c>
      <c r="Y66" s="775">
        <f t="shared" si="15"/>
        <v>0</v>
      </c>
      <c r="Z66" s="770">
        <f t="shared" si="15"/>
        <v>0</v>
      </c>
      <c r="AA66" s="770">
        <f t="shared" si="15"/>
        <v>0</v>
      </c>
      <c r="AB66" s="499"/>
      <c r="AC66" s="158"/>
    </row>
    <row r="67" spans="2:29" x14ac:dyDescent="0.2">
      <c r="B67" s="158"/>
      <c r="C67" s="499"/>
      <c r="D67" s="523"/>
      <c r="E67" s="523"/>
      <c r="F67" s="517"/>
      <c r="G67" s="777"/>
      <c r="H67" s="517"/>
      <c r="I67" s="517"/>
      <c r="J67" s="499"/>
      <c r="K67" s="681">
        <f t="shared" si="17"/>
        <v>0</v>
      </c>
      <c r="L67" s="775">
        <f t="shared" si="18"/>
        <v>0</v>
      </c>
      <c r="M67" s="775">
        <f t="shared" si="19"/>
        <v>0</v>
      </c>
      <c r="N67" s="776" t="str">
        <f t="shared" si="20"/>
        <v>-</v>
      </c>
      <c r="O67" s="775">
        <f t="shared" si="21"/>
        <v>0</v>
      </c>
      <c r="P67" s="499"/>
      <c r="Q67" s="775">
        <f t="shared" si="22"/>
        <v>0</v>
      </c>
      <c r="R67" s="775">
        <f t="shared" si="22"/>
        <v>0</v>
      </c>
      <c r="S67" s="775">
        <f t="shared" si="9"/>
        <v>0</v>
      </c>
      <c r="T67" s="770">
        <f t="shared" si="23"/>
        <v>0</v>
      </c>
      <c r="U67" s="770">
        <f t="shared" si="23"/>
        <v>0</v>
      </c>
      <c r="V67" s="499"/>
      <c r="W67" s="775">
        <f t="shared" si="15"/>
        <v>0</v>
      </c>
      <c r="X67" s="775">
        <f t="shared" si="15"/>
        <v>0</v>
      </c>
      <c r="Y67" s="775">
        <f t="shared" si="15"/>
        <v>0</v>
      </c>
      <c r="Z67" s="770">
        <f t="shared" si="15"/>
        <v>0</v>
      </c>
      <c r="AA67" s="770">
        <f t="shared" si="15"/>
        <v>0</v>
      </c>
      <c r="AB67" s="499"/>
      <c r="AC67" s="158"/>
    </row>
    <row r="68" spans="2:29" x14ac:dyDescent="0.2">
      <c r="B68" s="158"/>
      <c r="C68" s="499"/>
      <c r="D68" s="523"/>
      <c r="E68" s="523"/>
      <c r="F68" s="517"/>
      <c r="G68" s="777"/>
      <c r="H68" s="517"/>
      <c r="I68" s="517"/>
      <c r="J68" s="499"/>
      <c r="K68" s="681">
        <f t="shared" si="17"/>
        <v>0</v>
      </c>
      <c r="L68" s="775">
        <f t="shared" si="18"/>
        <v>0</v>
      </c>
      <c r="M68" s="775">
        <f t="shared" si="19"/>
        <v>0</v>
      </c>
      <c r="N68" s="776" t="str">
        <f t="shared" si="20"/>
        <v>-</v>
      </c>
      <c r="O68" s="775">
        <f t="shared" si="21"/>
        <v>0</v>
      </c>
      <c r="P68" s="499"/>
      <c r="Q68" s="775">
        <f t="shared" si="22"/>
        <v>0</v>
      </c>
      <c r="R68" s="775">
        <f t="shared" si="22"/>
        <v>0</v>
      </c>
      <c r="S68" s="775">
        <f t="shared" si="9"/>
        <v>0</v>
      </c>
      <c r="T68" s="770">
        <f t="shared" si="23"/>
        <v>0</v>
      </c>
      <c r="U68" s="770">
        <f t="shared" si="23"/>
        <v>0</v>
      </c>
      <c r="V68" s="499"/>
      <c r="W68" s="775">
        <f t="shared" si="15"/>
        <v>0</v>
      </c>
      <c r="X68" s="775">
        <f t="shared" si="15"/>
        <v>0</v>
      </c>
      <c r="Y68" s="775">
        <f t="shared" si="15"/>
        <v>0</v>
      </c>
      <c r="Z68" s="770">
        <f t="shared" si="15"/>
        <v>0</v>
      </c>
      <c r="AA68" s="770">
        <f t="shared" si="15"/>
        <v>0</v>
      </c>
      <c r="AB68" s="499"/>
      <c r="AC68" s="158"/>
    </row>
    <row r="69" spans="2:29" x14ac:dyDescent="0.2">
      <c r="B69" s="158"/>
      <c r="C69" s="499"/>
      <c r="D69" s="523"/>
      <c r="E69" s="523"/>
      <c r="F69" s="517"/>
      <c r="G69" s="777"/>
      <c r="H69" s="517"/>
      <c r="I69" s="517"/>
      <c r="J69" s="499"/>
      <c r="K69" s="681">
        <f t="shared" si="17"/>
        <v>0</v>
      </c>
      <c r="L69" s="775">
        <f t="shared" si="18"/>
        <v>0</v>
      </c>
      <c r="M69" s="775">
        <f t="shared" si="19"/>
        <v>0</v>
      </c>
      <c r="N69" s="776" t="str">
        <f t="shared" si="20"/>
        <v>-</v>
      </c>
      <c r="O69" s="775">
        <f t="shared" si="21"/>
        <v>0</v>
      </c>
      <c r="P69" s="499"/>
      <c r="Q69" s="775">
        <f t="shared" si="22"/>
        <v>0</v>
      </c>
      <c r="R69" s="775">
        <f t="shared" si="22"/>
        <v>0</v>
      </c>
      <c r="S69" s="775">
        <f t="shared" si="9"/>
        <v>0</v>
      </c>
      <c r="T69" s="770">
        <f t="shared" si="23"/>
        <v>0</v>
      </c>
      <c r="U69" s="770">
        <f t="shared" si="23"/>
        <v>0</v>
      </c>
      <c r="V69" s="499"/>
      <c r="W69" s="775">
        <f t="shared" ref="W69:AA70" si="24">IF(W$8=$H69,($F69*$G69),0)</f>
        <v>0</v>
      </c>
      <c r="X69" s="775">
        <f t="shared" si="24"/>
        <v>0</v>
      </c>
      <c r="Y69" s="775">
        <f t="shared" si="24"/>
        <v>0</v>
      </c>
      <c r="Z69" s="770">
        <f t="shared" si="24"/>
        <v>0</v>
      </c>
      <c r="AA69" s="770">
        <f t="shared" si="24"/>
        <v>0</v>
      </c>
      <c r="AB69" s="499"/>
      <c r="AC69" s="158"/>
    </row>
    <row r="70" spans="2:29" x14ac:dyDescent="0.2">
      <c r="B70" s="158"/>
      <c r="C70" s="499"/>
      <c r="D70" s="681"/>
      <c r="E70" s="681"/>
      <c r="F70" s="681"/>
      <c r="G70" s="681"/>
      <c r="H70" s="681"/>
      <c r="I70" s="681"/>
      <c r="J70" s="499"/>
      <c r="K70" s="681">
        <f>IF(I70="geen",9999999999,I70)</f>
        <v>0</v>
      </c>
      <c r="L70" s="773">
        <f>F70*G70</f>
        <v>0</v>
      </c>
      <c r="M70" s="773">
        <f>IF(F70=0,0,(F70*G70)/K70)</f>
        <v>0</v>
      </c>
      <c r="N70" s="774" t="str">
        <f>IF(K70=0,"-",(IF(K70&gt;3000,"-",H70+K70-1)))</f>
        <v>-</v>
      </c>
      <c r="O70" s="773">
        <f>IF(I70="geen",IF(H70&lt;$Q$8,F70*G70,0),IF(H70&gt;=$Q$8,0,IF((G70*F70-(Q$8-H70)*M70)&lt;0,0,G70*F70-(Q$8-H70)*M70)))</f>
        <v>0</v>
      </c>
      <c r="P70" s="499"/>
      <c r="Q70" s="773">
        <f>(IF(Q$8&lt;$H70,0,IF($N70&lt;=Q$8-1,0,$M70)))</f>
        <v>0</v>
      </c>
      <c r="R70" s="773">
        <f>(IF(R$8&lt;$H70,0,IF($N70&lt;=R$8-1,0,$M70)))</f>
        <v>0</v>
      </c>
      <c r="S70" s="773">
        <f>(IF(S$8&lt;$H70,0,IF($N70&lt;=S$8-1,0,$M70)))</f>
        <v>0</v>
      </c>
      <c r="T70" s="773">
        <f>(IF(T$8&lt;$H70,0,IF($N70&lt;=T$8-1,0,$M70)))</f>
        <v>0</v>
      </c>
      <c r="U70" s="773">
        <f>(IF(U$8&lt;$H70,0,IF($N70&lt;=U$8-1,0,$M70)))</f>
        <v>0</v>
      </c>
      <c r="V70" s="499"/>
      <c r="W70" s="773">
        <f t="shared" si="24"/>
        <v>0</v>
      </c>
      <c r="X70" s="773">
        <f t="shared" si="24"/>
        <v>0</v>
      </c>
      <c r="Y70" s="773">
        <f t="shared" si="24"/>
        <v>0</v>
      </c>
      <c r="Z70" s="771">
        <f t="shared" si="24"/>
        <v>0</v>
      </c>
      <c r="AA70" s="771">
        <f t="shared" si="24"/>
        <v>0</v>
      </c>
      <c r="AB70" s="499"/>
      <c r="AC70" s="158"/>
    </row>
    <row r="71" spans="2:29" x14ac:dyDescent="0.2">
      <c r="B71" s="158"/>
      <c r="C71" s="499"/>
      <c r="D71" s="695"/>
      <c r="E71" s="695"/>
      <c r="F71" s="681"/>
      <c r="G71" s="770"/>
      <c r="H71" s="681"/>
      <c r="I71" s="681"/>
      <c r="J71" s="499"/>
      <c r="K71" s="681"/>
      <c r="L71" s="770"/>
      <c r="M71" s="770"/>
      <c r="N71" s="699"/>
      <c r="O71" s="770"/>
      <c r="P71" s="499"/>
      <c r="Q71" s="770"/>
      <c r="R71" s="770"/>
      <c r="S71" s="770"/>
      <c r="T71" s="770"/>
      <c r="U71" s="770"/>
      <c r="V71" s="499"/>
      <c r="W71" s="733"/>
      <c r="X71" s="770"/>
      <c r="Y71" s="770"/>
      <c r="Z71" s="770"/>
      <c r="AA71" s="770"/>
      <c r="AB71" s="499"/>
      <c r="AC71" s="158"/>
    </row>
    <row r="72" spans="2:29" x14ac:dyDescent="0.2">
      <c r="B72" s="158"/>
      <c r="C72" s="158"/>
      <c r="D72" s="167"/>
      <c r="E72" s="167"/>
      <c r="F72" s="160"/>
      <c r="G72" s="160"/>
      <c r="H72" s="160"/>
      <c r="I72" s="160"/>
      <c r="J72" s="158"/>
      <c r="K72" s="158"/>
      <c r="L72" s="158"/>
      <c r="M72" s="158"/>
      <c r="N72" s="158"/>
      <c r="O72" s="158"/>
      <c r="P72" s="158"/>
      <c r="Q72" s="158"/>
      <c r="R72" s="158"/>
      <c r="S72" s="158"/>
      <c r="T72" s="158"/>
      <c r="U72" s="158"/>
      <c r="V72" s="158"/>
      <c r="W72" s="158"/>
      <c r="X72" s="158"/>
      <c r="Y72" s="158"/>
      <c r="Z72" s="158"/>
      <c r="AA72" s="158"/>
      <c r="AB72" s="158"/>
      <c r="AC72" s="158"/>
    </row>
  </sheetData>
  <sheetProtection password="DFB1" sheet="1" objects="1" scenarios="1"/>
  <phoneticPr fontId="0" type="noConversion"/>
  <dataValidations count="2">
    <dataValidation type="list" allowBlank="1" showInputMessage="1" showErrorMessage="1" sqref="D70:H70 I14:I71">
      <formula1>"geen,1,2,3,4,5,6,7,8,9,10,11,12,13,14,15,16,17,18,19,20,21,22,23,24,25,26,27,28,29,30,31,32,33,34,35,36,37,38,39,40,41,42,43,44,45,46,47,48,49,50"</formula1>
    </dataValidation>
    <dataValidation type="list" allowBlank="1" showInputMessage="1" showErrorMessage="1" sqref="D71 D14:D69">
      <formula1>"gebouwen en terreinen, inventaris en apparatuur, leermiddelen PO, overige materiële vaste activa"</formula1>
    </dataValidation>
  </dataValidations>
  <pageMargins left="0.74803149606299213" right="0.74803149606299213" top="0.98425196850393704" bottom="0.98425196850393704" header="0.51181102362204722" footer="0.51181102362204722"/>
  <pageSetup paperSize="9" scale="50" orientation="landscape" r:id="rId1"/>
  <headerFooter alignWithMargins="0">
    <oddHeader>&amp;L&amp;"Arial,Vet"&amp;F&amp;R&amp;"Arial,Vet"&amp;A</oddHeader>
    <oddFooter>&amp;L&amp;"Arial,Vet"PO-Raad&amp;C&amp;"Arial,Vet"pagina &amp;P&amp;R&amp;"Arial,Vet"&amp;D</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U54"/>
  <sheetViews>
    <sheetView showGridLines="0" zoomScale="85" zoomScaleNormal="85" workbookViewId="0">
      <selection activeCell="B2" sqref="B2"/>
    </sheetView>
  </sheetViews>
  <sheetFormatPr defaultColWidth="9.140625" defaultRowHeight="12.75" x14ac:dyDescent="0.2"/>
  <cols>
    <col min="1" max="1" width="3.7109375" style="34" customWidth="1"/>
    <col min="2" max="2" width="2.7109375" style="34" customWidth="1"/>
    <col min="3" max="3" width="2.5703125" style="34" customWidth="1"/>
    <col min="4" max="4" width="33.28515625" style="34" customWidth="1"/>
    <col min="5" max="5" width="2.7109375" style="34" customWidth="1"/>
    <col min="6" max="8" width="15.7109375" style="34" customWidth="1"/>
    <col min="9" max="10" width="15.7109375" style="34" hidden="1" customWidth="1"/>
    <col min="11" max="12" width="2.7109375" style="34" customWidth="1"/>
    <col min="13" max="13" width="5.7109375" style="34" customWidth="1"/>
    <col min="14" max="14" width="2.7109375" style="34" customWidth="1"/>
    <col min="15" max="15" width="12.7109375" style="65" customWidth="1"/>
    <col min="16" max="17" width="12.7109375" style="66" customWidth="1"/>
    <col min="18" max="19" width="10.7109375" style="66" customWidth="1"/>
    <col min="20" max="20" width="2.7109375" style="34" customWidth="1"/>
    <col min="21" max="16384" width="9.140625" style="34"/>
  </cols>
  <sheetData>
    <row r="2" spans="2:21" x14ac:dyDescent="0.2">
      <c r="B2" s="153"/>
      <c r="C2" s="154"/>
      <c r="D2" s="154"/>
      <c r="E2" s="154"/>
      <c r="F2" s="154"/>
      <c r="G2" s="154"/>
      <c r="H2" s="154"/>
      <c r="I2" s="154"/>
      <c r="J2" s="154"/>
      <c r="K2" s="154"/>
      <c r="L2" s="156"/>
    </row>
    <row r="3" spans="2:21" x14ac:dyDescent="0.2">
      <c r="B3" s="157"/>
      <c r="C3" s="158"/>
      <c r="D3" s="158"/>
      <c r="E3" s="158"/>
      <c r="F3" s="158"/>
      <c r="G3" s="158"/>
      <c r="H3" s="158"/>
      <c r="I3" s="158"/>
      <c r="J3" s="158"/>
      <c r="K3" s="158"/>
      <c r="L3" s="161"/>
    </row>
    <row r="4" spans="2:21" s="68" customFormat="1" ht="18" customHeight="1" x14ac:dyDescent="0.3">
      <c r="B4" s="321"/>
      <c r="C4" s="766" t="s">
        <v>249</v>
      </c>
      <c r="D4" s="183"/>
      <c r="E4" s="191"/>
      <c r="F4" s="191"/>
      <c r="G4" s="191"/>
      <c r="H4" s="191"/>
      <c r="I4" s="191"/>
      <c r="J4" s="191"/>
      <c r="K4" s="191"/>
      <c r="L4" s="193"/>
    </row>
    <row r="5" spans="2:21" s="68" customFormat="1" ht="18" customHeight="1" x14ac:dyDescent="0.3">
      <c r="B5" s="321"/>
      <c r="C5" s="194" t="str">
        <f>geg!F10</f>
        <v>Zorgzaam</v>
      </c>
      <c r="D5" s="163"/>
      <c r="E5" s="191"/>
      <c r="F5" s="191"/>
      <c r="G5" s="191"/>
      <c r="H5" s="191"/>
      <c r="I5" s="191"/>
      <c r="J5" s="191"/>
      <c r="K5" s="191"/>
      <c r="L5" s="193"/>
    </row>
    <row r="6" spans="2:21" s="48" customFormat="1" x14ac:dyDescent="0.2">
      <c r="B6" s="195"/>
      <c r="C6" s="196"/>
      <c r="D6" s="196"/>
      <c r="E6" s="196"/>
      <c r="F6" s="196"/>
      <c r="G6" s="196"/>
      <c r="H6" s="196"/>
      <c r="I6" s="196"/>
      <c r="J6" s="196"/>
      <c r="K6" s="196"/>
      <c r="L6" s="197"/>
      <c r="O6" s="52"/>
    </row>
    <row r="7" spans="2:21" s="48" customFormat="1" x14ac:dyDescent="0.2">
      <c r="B7" s="195"/>
      <c r="C7" s="196"/>
      <c r="D7" s="196"/>
      <c r="E7" s="196"/>
      <c r="F7" s="196"/>
      <c r="G7" s="196"/>
      <c r="H7" s="468"/>
      <c r="I7" s="196"/>
      <c r="J7" s="196"/>
      <c r="K7" s="196"/>
      <c r="L7" s="197"/>
      <c r="O7" s="52"/>
    </row>
    <row r="8" spans="2:21" s="48" customFormat="1" x14ac:dyDescent="0.2">
      <c r="B8" s="195"/>
      <c r="C8" s="196"/>
      <c r="D8" s="196"/>
      <c r="E8" s="196"/>
      <c r="F8" s="320">
        <f>mip!Q8</f>
        <v>2012</v>
      </c>
      <c r="G8" s="320">
        <f>mip!R8</f>
        <v>2013</v>
      </c>
      <c r="H8" s="528">
        <v>41851</v>
      </c>
      <c r="I8" s="320">
        <f>mip!T8</f>
        <v>2015</v>
      </c>
      <c r="J8" s="320">
        <f>mip!U8</f>
        <v>2016</v>
      </c>
      <c r="K8" s="196"/>
      <c r="L8" s="197"/>
      <c r="O8" s="52"/>
    </row>
    <row r="9" spans="2:21" x14ac:dyDescent="0.2">
      <c r="B9" s="157"/>
      <c r="C9" s="158"/>
      <c r="D9" s="158"/>
      <c r="E9" s="158"/>
      <c r="F9" s="158"/>
      <c r="G9" s="158"/>
      <c r="H9" s="158"/>
      <c r="I9" s="158"/>
      <c r="J9" s="158"/>
      <c r="K9" s="158"/>
      <c r="L9" s="161"/>
    </row>
    <row r="10" spans="2:21" x14ac:dyDescent="0.2">
      <c r="B10" s="157"/>
      <c r="C10" s="499"/>
      <c r="D10" s="499"/>
      <c r="E10" s="499"/>
      <c r="F10" s="499"/>
      <c r="G10" s="499"/>
      <c r="H10" s="499"/>
      <c r="I10" s="499"/>
      <c r="J10" s="499"/>
      <c r="K10" s="499"/>
      <c r="L10" s="161"/>
      <c r="P10" s="65"/>
      <c r="Q10" s="65"/>
      <c r="R10" s="65"/>
      <c r="T10" s="65"/>
      <c r="U10" s="65"/>
    </row>
    <row r="11" spans="2:21" x14ac:dyDescent="0.2">
      <c r="B11" s="157"/>
      <c r="C11" s="499"/>
      <c r="D11" s="779" t="s">
        <v>206</v>
      </c>
      <c r="E11" s="499"/>
      <c r="F11" s="499"/>
      <c r="G11" s="499"/>
      <c r="H11" s="499"/>
      <c r="I11" s="499"/>
      <c r="J11" s="499"/>
      <c r="K11" s="499"/>
      <c r="L11" s="161"/>
      <c r="P11" s="65"/>
      <c r="Q11" s="65"/>
      <c r="R11" s="65"/>
      <c r="T11" s="65"/>
      <c r="U11" s="65"/>
    </row>
    <row r="12" spans="2:21" x14ac:dyDescent="0.2">
      <c r="B12" s="157"/>
      <c r="C12" s="499"/>
      <c r="D12" s="695" t="s">
        <v>125</v>
      </c>
      <c r="E12" s="499"/>
      <c r="F12" s="778">
        <v>0</v>
      </c>
      <c r="G12" s="783">
        <f>+F47</f>
        <v>0</v>
      </c>
      <c r="H12" s="783">
        <f t="shared" ref="H12:J15" si="0">G47</f>
        <v>0</v>
      </c>
      <c r="I12" s="781">
        <f t="shared" si="0"/>
        <v>0</v>
      </c>
      <c r="J12" s="781">
        <f t="shared" si="0"/>
        <v>0</v>
      </c>
      <c r="K12" s="499"/>
      <c r="L12" s="161"/>
      <c r="P12" s="65"/>
      <c r="Q12" s="65"/>
      <c r="R12" s="65"/>
      <c r="T12" s="65"/>
      <c r="U12" s="65"/>
    </row>
    <row r="13" spans="2:21" x14ac:dyDescent="0.2">
      <c r="B13" s="157"/>
      <c r="C13" s="499"/>
      <c r="D13" s="695" t="s">
        <v>126</v>
      </c>
      <c r="E13" s="499"/>
      <c r="F13" s="778">
        <v>0</v>
      </c>
      <c r="G13" s="783">
        <f>F48</f>
        <v>0</v>
      </c>
      <c r="H13" s="783">
        <f t="shared" si="0"/>
        <v>0</v>
      </c>
      <c r="I13" s="781">
        <f t="shared" si="0"/>
        <v>0</v>
      </c>
      <c r="J13" s="781">
        <f t="shared" si="0"/>
        <v>0</v>
      </c>
      <c r="K13" s="499"/>
      <c r="L13" s="161"/>
      <c r="P13" s="65"/>
      <c r="Q13" s="65"/>
      <c r="R13" s="65"/>
      <c r="T13" s="65"/>
      <c r="U13" s="65"/>
    </row>
    <row r="14" spans="2:21" x14ac:dyDescent="0.2">
      <c r="B14" s="157"/>
      <c r="C14" s="499"/>
      <c r="D14" s="695" t="s">
        <v>127</v>
      </c>
      <c r="E14" s="499"/>
      <c r="F14" s="778">
        <v>0</v>
      </c>
      <c r="G14" s="783">
        <f>F49</f>
        <v>0</v>
      </c>
      <c r="H14" s="783">
        <f t="shared" si="0"/>
        <v>0</v>
      </c>
      <c r="I14" s="781">
        <f t="shared" si="0"/>
        <v>0</v>
      </c>
      <c r="J14" s="781">
        <f t="shared" si="0"/>
        <v>0</v>
      </c>
      <c r="K14" s="499"/>
      <c r="L14" s="161"/>
      <c r="P14" s="65"/>
      <c r="Q14" s="65"/>
      <c r="R14" s="65"/>
      <c r="T14" s="65"/>
      <c r="U14" s="65"/>
    </row>
    <row r="15" spans="2:21" x14ac:dyDescent="0.2">
      <c r="B15" s="157"/>
      <c r="C15" s="499"/>
      <c r="D15" s="695" t="s">
        <v>128</v>
      </c>
      <c r="E15" s="499"/>
      <c r="F15" s="778">
        <v>0</v>
      </c>
      <c r="G15" s="783">
        <f>F50</f>
        <v>0</v>
      </c>
      <c r="H15" s="783">
        <f t="shared" si="0"/>
        <v>0</v>
      </c>
      <c r="I15" s="781">
        <f t="shared" si="0"/>
        <v>0</v>
      </c>
      <c r="J15" s="781">
        <f t="shared" si="0"/>
        <v>0</v>
      </c>
      <c r="K15" s="499"/>
      <c r="L15" s="161"/>
      <c r="P15" s="65"/>
      <c r="Q15" s="65"/>
      <c r="R15" s="65"/>
      <c r="T15" s="65"/>
      <c r="U15" s="65"/>
    </row>
    <row r="16" spans="2:21" x14ac:dyDescent="0.2">
      <c r="B16" s="157"/>
      <c r="C16" s="499"/>
      <c r="D16" s="735"/>
      <c r="E16" s="499"/>
      <c r="F16" s="772">
        <f>SUM(F12:F15)</f>
        <v>0</v>
      </c>
      <c r="G16" s="772">
        <f>SUM(G12:G15)</f>
        <v>0</v>
      </c>
      <c r="H16" s="772">
        <f>SUM(H12:H15)</f>
        <v>0</v>
      </c>
      <c r="I16" s="768">
        <f>SUM(I12:I15)</f>
        <v>0</v>
      </c>
      <c r="J16" s="768">
        <f>SUM(J12:J15)</f>
        <v>0</v>
      </c>
      <c r="K16" s="499"/>
      <c r="L16" s="161"/>
      <c r="O16" s="66"/>
      <c r="T16" s="66"/>
      <c r="U16" s="66"/>
    </row>
    <row r="17" spans="2:21" x14ac:dyDescent="0.2">
      <c r="B17" s="157"/>
      <c r="C17" s="499"/>
      <c r="D17" s="612"/>
      <c r="E17" s="499"/>
      <c r="F17" s="499"/>
      <c r="G17" s="499"/>
      <c r="H17" s="499"/>
      <c r="I17" s="499"/>
      <c r="J17" s="499"/>
      <c r="K17" s="499"/>
      <c r="L17" s="161"/>
      <c r="P17" s="65"/>
      <c r="Q17" s="65"/>
      <c r="R17" s="65"/>
      <c r="T17" s="65"/>
      <c r="U17" s="65"/>
    </row>
    <row r="18" spans="2:21" x14ac:dyDescent="0.2">
      <c r="B18" s="157"/>
      <c r="C18" s="158"/>
      <c r="D18" s="158"/>
      <c r="E18" s="158"/>
      <c r="F18" s="158"/>
      <c r="G18" s="158"/>
      <c r="H18" s="158"/>
      <c r="I18" s="158"/>
      <c r="J18" s="158"/>
      <c r="K18" s="158"/>
      <c r="L18" s="161"/>
      <c r="P18" s="65"/>
      <c r="Q18" s="65"/>
      <c r="R18" s="65"/>
      <c r="T18" s="65"/>
      <c r="U18" s="65"/>
    </row>
    <row r="19" spans="2:21" x14ac:dyDescent="0.2">
      <c r="B19" s="157"/>
      <c r="C19" s="499"/>
      <c r="D19" s="499"/>
      <c r="E19" s="499"/>
      <c r="F19" s="499"/>
      <c r="G19" s="499"/>
      <c r="H19" s="499"/>
      <c r="I19" s="499"/>
      <c r="J19" s="499"/>
      <c r="K19" s="499"/>
      <c r="L19" s="161"/>
      <c r="P19" s="65"/>
      <c r="Q19" s="65"/>
      <c r="R19" s="65"/>
      <c r="T19" s="65"/>
      <c r="U19" s="65"/>
    </row>
    <row r="20" spans="2:21" x14ac:dyDescent="0.2">
      <c r="B20" s="157"/>
      <c r="C20" s="499"/>
      <c r="D20" s="779" t="s">
        <v>207</v>
      </c>
      <c r="E20" s="499"/>
      <c r="F20" s="499"/>
      <c r="G20" s="499"/>
      <c r="H20" s="499"/>
      <c r="I20" s="499"/>
      <c r="J20" s="499"/>
      <c r="K20" s="499"/>
      <c r="L20" s="161"/>
      <c r="P20" s="65"/>
      <c r="Q20" s="65"/>
      <c r="R20" s="65"/>
      <c r="T20" s="65"/>
      <c r="U20" s="65"/>
    </row>
    <row r="21" spans="2:21" x14ac:dyDescent="0.2">
      <c r="B21" s="157"/>
      <c r="C21" s="499"/>
      <c r="D21" s="695" t="s">
        <v>125</v>
      </c>
      <c r="E21" s="499"/>
      <c r="F21" s="783">
        <f>SUMIF(mip!$D$14:$D$70,"gebouwen en terreinen",mip!W$14:W$70)</f>
        <v>0</v>
      </c>
      <c r="G21" s="783">
        <f>SUMIF(mip!$D$14:$D$70,"gebouwen en terreinen",mip!X$14:X$70)</f>
        <v>0</v>
      </c>
      <c r="H21" s="783">
        <f>SUMIF(mip!$D$14:$D$70,"gebouwen en terreinen",mip!Y$14:Y$70)</f>
        <v>0</v>
      </c>
      <c r="I21" s="781">
        <f>SUMIF(mip!$D$14:$D$70,"gebouwen en terreinen",mip!Z$14:Z$70)</f>
        <v>0</v>
      </c>
      <c r="J21" s="781">
        <f>SUMIF(mip!$D$14:$D$70,"gebouwen en terreinen",mip!AA$14:AA$70)</f>
        <v>0</v>
      </c>
      <c r="K21" s="499"/>
      <c r="L21" s="161"/>
      <c r="P21" s="65"/>
      <c r="Q21" s="65"/>
      <c r="R21" s="65"/>
      <c r="T21" s="65"/>
      <c r="U21" s="65"/>
    </row>
    <row r="22" spans="2:21" x14ac:dyDescent="0.2">
      <c r="B22" s="157"/>
      <c r="C22" s="499"/>
      <c r="D22" s="695" t="s">
        <v>126</v>
      </c>
      <c r="E22" s="499"/>
      <c r="F22" s="783">
        <f>SUMIF(mip!$D$14:$D$70,"inventaris en apparatuur",mip!W$14:W$70)</f>
        <v>0</v>
      </c>
      <c r="G22" s="783">
        <f>SUMIF(mip!$D$14:$D$70,"inventaris en apparatuur",mip!X$14:X$70)</f>
        <v>0</v>
      </c>
      <c r="H22" s="783">
        <f>SUMIF(mip!$D$14:$D$70,"inventaris en apparatuur",mip!Y$14:Y$70)</f>
        <v>0</v>
      </c>
      <c r="I22" s="781">
        <f>SUMIF(mip!$D$14:$D$70,"inventaris en apparatuur",mip!Z$14:Z$70)</f>
        <v>0</v>
      </c>
      <c r="J22" s="781">
        <f>SUMIF(mip!$D$14:$D$70,"inventaris en apparatuur",mip!AA$14:AA$70)</f>
        <v>0</v>
      </c>
      <c r="K22" s="499"/>
      <c r="L22" s="161"/>
      <c r="P22" s="65"/>
      <c r="Q22" s="65"/>
      <c r="R22" s="65"/>
      <c r="T22" s="65"/>
      <c r="U22" s="65"/>
    </row>
    <row r="23" spans="2:21" x14ac:dyDescent="0.2">
      <c r="B23" s="157"/>
      <c r="C23" s="499"/>
      <c r="D23" s="695" t="s">
        <v>127</v>
      </c>
      <c r="E23" s="499"/>
      <c r="F23" s="783">
        <f>SUMIF(mip!$D$14:$D$70,"leermiddelen po",mip!W$14:W$70)</f>
        <v>0</v>
      </c>
      <c r="G23" s="783">
        <f>SUMIF(mip!$D$14:$D$70,"leermiddelen po",mip!X$14:X$70)</f>
        <v>0</v>
      </c>
      <c r="H23" s="783">
        <f>SUMIF(mip!$D$14:$D$70,"leermiddelen po",mip!Y$14:Y$70)</f>
        <v>0</v>
      </c>
      <c r="I23" s="781">
        <f>SUMIF(mip!$D$14:$D$70,"leermiddelen po",mip!Z$14:Z$70)</f>
        <v>0</v>
      </c>
      <c r="J23" s="781">
        <f>SUMIF(mip!$D$14:$D$70,"leermiddelen po",mip!AA$14:AA$70)</f>
        <v>0</v>
      </c>
      <c r="K23" s="499"/>
      <c r="L23" s="161"/>
      <c r="P23" s="65"/>
      <c r="Q23" s="65"/>
      <c r="R23" s="65"/>
      <c r="T23" s="65"/>
      <c r="U23" s="65"/>
    </row>
    <row r="24" spans="2:21" x14ac:dyDescent="0.2">
      <c r="B24" s="157"/>
      <c r="C24" s="499"/>
      <c r="D24" s="695" t="s">
        <v>128</v>
      </c>
      <c r="E24" s="499"/>
      <c r="F24" s="783">
        <f>SUMIF(mip!$D$14:$D$70,"overige materiële vaste activa",mip!W$14:W$70)</f>
        <v>0</v>
      </c>
      <c r="G24" s="783">
        <f>SUMIF(mip!$D$14:$D$70,"overige materiële vaste activa",mip!X$14:X$70)</f>
        <v>0</v>
      </c>
      <c r="H24" s="783">
        <f>SUMIF(mip!$D$14:$D$70,"overige materiële vaste activa",mip!Y$14:Y$70)</f>
        <v>0</v>
      </c>
      <c r="I24" s="781">
        <f>SUMIF(mip!$D$14:$D$70,"overige materiële vaste activa",mip!Z$14:Z$70)</f>
        <v>0</v>
      </c>
      <c r="J24" s="781">
        <f>SUMIF(mip!$D$14:$D$70,"overige materiële vaste activa",mip!AA$14:AA$70)</f>
        <v>0</v>
      </c>
      <c r="K24" s="499"/>
      <c r="L24" s="161"/>
      <c r="P24" s="65"/>
      <c r="Q24" s="65"/>
      <c r="R24" s="65"/>
      <c r="T24" s="65"/>
      <c r="U24" s="65"/>
    </row>
    <row r="25" spans="2:21" x14ac:dyDescent="0.2">
      <c r="B25" s="157"/>
      <c r="C25" s="499"/>
      <c r="D25" s="735"/>
      <c r="E25" s="499"/>
      <c r="F25" s="772">
        <f>SUM(F21:F24)</f>
        <v>0</v>
      </c>
      <c r="G25" s="772">
        <f>SUM(G21:G24)</f>
        <v>0</v>
      </c>
      <c r="H25" s="772">
        <f>SUM(H21:H24)</f>
        <v>0</v>
      </c>
      <c r="I25" s="768">
        <f>SUM(I21:I24)</f>
        <v>0</v>
      </c>
      <c r="J25" s="768">
        <f>SUM(J21:J24)</f>
        <v>0</v>
      </c>
      <c r="K25" s="499"/>
      <c r="L25" s="161"/>
      <c r="O25" s="66"/>
      <c r="T25" s="66"/>
      <c r="U25" s="66"/>
    </row>
    <row r="26" spans="2:21" x14ac:dyDescent="0.2">
      <c r="B26" s="157"/>
      <c r="C26" s="499"/>
      <c r="D26" s="612"/>
      <c r="E26" s="499"/>
      <c r="F26" s="499"/>
      <c r="G26" s="499"/>
      <c r="H26" s="499"/>
      <c r="I26" s="499"/>
      <c r="J26" s="499"/>
      <c r="K26" s="499"/>
      <c r="L26" s="161"/>
      <c r="P26" s="65"/>
      <c r="Q26" s="65"/>
      <c r="R26" s="65"/>
      <c r="T26" s="65"/>
      <c r="U26" s="65"/>
    </row>
    <row r="27" spans="2:21" x14ac:dyDescent="0.2">
      <c r="B27" s="157"/>
      <c r="C27" s="158"/>
      <c r="D27" s="158"/>
      <c r="E27" s="158"/>
      <c r="F27" s="158"/>
      <c r="G27" s="158"/>
      <c r="H27" s="158"/>
      <c r="I27" s="158"/>
      <c r="J27" s="158"/>
      <c r="K27" s="158"/>
      <c r="L27" s="161"/>
      <c r="P27" s="65"/>
      <c r="Q27" s="65"/>
      <c r="R27" s="65"/>
      <c r="T27" s="65"/>
      <c r="U27" s="65"/>
    </row>
    <row r="28" spans="2:21" x14ac:dyDescent="0.2">
      <c r="B28" s="157"/>
      <c r="C28" s="499"/>
      <c r="D28" s="499"/>
      <c r="E28" s="499"/>
      <c r="F28" s="781"/>
      <c r="G28" s="781"/>
      <c r="H28" s="781"/>
      <c r="I28" s="781"/>
      <c r="J28" s="781"/>
      <c r="K28" s="499"/>
      <c r="L28" s="161"/>
      <c r="P28" s="65"/>
      <c r="Q28" s="65"/>
      <c r="R28" s="65"/>
      <c r="T28" s="65"/>
      <c r="U28" s="65"/>
    </row>
    <row r="29" spans="2:21" x14ac:dyDescent="0.2">
      <c r="B29" s="157"/>
      <c r="C29" s="499"/>
      <c r="D29" s="779" t="s">
        <v>118</v>
      </c>
      <c r="E29" s="499"/>
      <c r="F29" s="781"/>
      <c r="G29" s="781"/>
      <c r="H29" s="781"/>
      <c r="I29" s="781"/>
      <c r="J29" s="781"/>
      <c r="K29" s="499"/>
      <c r="L29" s="161"/>
      <c r="P29" s="65"/>
      <c r="Q29" s="65"/>
      <c r="R29" s="65"/>
      <c r="T29" s="65"/>
      <c r="U29" s="65"/>
    </row>
    <row r="30" spans="2:21" x14ac:dyDescent="0.2">
      <c r="B30" s="157"/>
      <c r="C30" s="499"/>
      <c r="D30" s="695" t="s">
        <v>125</v>
      </c>
      <c r="E30" s="499"/>
      <c r="F30" s="783">
        <f>SUMIF(mip!$D$14:$D$70,"gebouwen en terreinen",mip!Q$14:Q$70)</f>
        <v>0</v>
      </c>
      <c r="G30" s="783">
        <f>SUMIF(mip!$D$14:$D$70,"gebouwen en terreinen",mip!R$14:R$70)</f>
        <v>0</v>
      </c>
      <c r="H30" s="783">
        <f>SUMIF(mip!$D$14:$D$70,"gebouwen en terreinen",mip!S$14:S$70)</f>
        <v>0</v>
      </c>
      <c r="I30" s="781">
        <f>SUMIF(mip!$D$14:$D$70,"gebouwen en terreinen",mip!T$14:T$70)</f>
        <v>0</v>
      </c>
      <c r="J30" s="781">
        <f>SUMIF(mip!$D$14:$D$70,"gebouwen en terreinen",mip!U$14:U$70)</f>
        <v>0</v>
      </c>
      <c r="K30" s="499"/>
      <c r="L30" s="161"/>
      <c r="P30" s="65"/>
      <c r="Q30" s="65"/>
      <c r="R30" s="65"/>
      <c r="T30" s="65"/>
      <c r="U30" s="65"/>
    </row>
    <row r="31" spans="2:21" x14ac:dyDescent="0.2">
      <c r="B31" s="157"/>
      <c r="C31" s="499"/>
      <c r="D31" s="695" t="s">
        <v>126</v>
      </c>
      <c r="E31" s="499"/>
      <c r="F31" s="783">
        <f>SUMIF(mip!$D$14:$D$70,"inventaris en apparatuur",mip!Q$14:Q$70)</f>
        <v>0</v>
      </c>
      <c r="G31" s="783">
        <f>SUMIF(mip!$D$14:$D$70,"inventaris en apparatuur",mip!R$14:R$70)</f>
        <v>0</v>
      </c>
      <c r="H31" s="783">
        <f>SUMIF(mip!$D$14:$D$70,"inventaris en apparatuur",mip!S$14:S$70)</f>
        <v>0</v>
      </c>
      <c r="I31" s="781">
        <f>SUMIF(mip!$D$14:$D$70,"inventaris en apparatuur",mip!T$14:T$70)</f>
        <v>0</v>
      </c>
      <c r="J31" s="781">
        <f>SUMIF(mip!$D$14:$D$70,"inventaris en apparatuur",mip!U$14:U$70)</f>
        <v>0</v>
      </c>
      <c r="K31" s="499"/>
      <c r="L31" s="161"/>
      <c r="P31" s="65"/>
      <c r="Q31" s="65"/>
      <c r="R31" s="65"/>
      <c r="T31" s="65"/>
      <c r="U31" s="65"/>
    </row>
    <row r="32" spans="2:21" x14ac:dyDescent="0.2">
      <c r="B32" s="157"/>
      <c r="C32" s="499"/>
      <c r="D32" s="695" t="s">
        <v>127</v>
      </c>
      <c r="E32" s="499"/>
      <c r="F32" s="783">
        <f>SUMIF(mip!$D$14:$D$70,"leermiddelen po",mip!Q$14:Q$70)</f>
        <v>0</v>
      </c>
      <c r="G32" s="783">
        <f>SUMIF(mip!$D$14:$D$70,"leermiddelen po",mip!R$14:R$70)</f>
        <v>0</v>
      </c>
      <c r="H32" s="783">
        <f>SUMIF(mip!$D$14:$D$70,"leermiddelen po",mip!S$14:S$70)</f>
        <v>0</v>
      </c>
      <c r="I32" s="781">
        <f>SUMIF(mip!$D$14:$D$70,"leermiddelen po",mip!T$14:T$70)</f>
        <v>0</v>
      </c>
      <c r="J32" s="781">
        <f>SUMIF(mip!$D$14:$D$70,"leermiddelen po",mip!U$14:U$70)</f>
        <v>0</v>
      </c>
      <c r="K32" s="499"/>
      <c r="L32" s="161"/>
      <c r="P32" s="65"/>
      <c r="Q32" s="65"/>
      <c r="R32" s="65"/>
      <c r="T32" s="65"/>
      <c r="U32" s="65"/>
    </row>
    <row r="33" spans="2:21" x14ac:dyDescent="0.2">
      <c r="B33" s="157"/>
      <c r="C33" s="499"/>
      <c r="D33" s="695" t="s">
        <v>128</v>
      </c>
      <c r="E33" s="499"/>
      <c r="F33" s="783">
        <f>SUMIF(mip!$D$14:$D$70,"overige materiële vaste activa",mip!Q$14:Q$70)</f>
        <v>0</v>
      </c>
      <c r="G33" s="783">
        <f>SUMIF(mip!$D$14:$D$70,"overige materiële vaste activa",mip!R$14:R$70)</f>
        <v>0</v>
      </c>
      <c r="H33" s="783">
        <f>SUMIF(mip!$D$14:$D$70,"overige materiële vaste activa",mip!S$14:S$70)</f>
        <v>0</v>
      </c>
      <c r="I33" s="781">
        <f>SUMIF(mip!$D$14:$D$70,"overige materiële vaste activa",mip!T$14:T$70)</f>
        <v>0</v>
      </c>
      <c r="J33" s="781">
        <f>SUMIF(mip!$D$14:$D$70,"overige materiële vaste activa",mip!U$14:U$70)</f>
        <v>0</v>
      </c>
      <c r="K33" s="499"/>
      <c r="L33" s="161"/>
      <c r="P33" s="65"/>
      <c r="Q33" s="65"/>
      <c r="R33" s="65"/>
      <c r="T33" s="65"/>
      <c r="U33" s="65"/>
    </row>
    <row r="34" spans="2:21" x14ac:dyDescent="0.2">
      <c r="B34" s="157"/>
      <c r="C34" s="499"/>
      <c r="D34" s="612"/>
      <c r="E34" s="499"/>
      <c r="F34" s="772">
        <f>SUM(F30:F33)</f>
        <v>0</v>
      </c>
      <c r="G34" s="772">
        <f>SUM(G30:G33)</f>
        <v>0</v>
      </c>
      <c r="H34" s="772">
        <f>SUM(H30:H33)</f>
        <v>0</v>
      </c>
      <c r="I34" s="768">
        <f>SUM(I30:I33)</f>
        <v>0</v>
      </c>
      <c r="J34" s="768">
        <f>SUM(J30:J33)</f>
        <v>0</v>
      </c>
      <c r="K34" s="499"/>
      <c r="L34" s="161"/>
      <c r="P34" s="65"/>
      <c r="Q34" s="65"/>
      <c r="R34" s="65"/>
      <c r="T34" s="65"/>
      <c r="U34" s="65"/>
    </row>
    <row r="35" spans="2:21" x14ac:dyDescent="0.2">
      <c r="B35" s="157"/>
      <c r="C35" s="499"/>
      <c r="D35" s="735" t="s">
        <v>379</v>
      </c>
      <c r="E35" s="499"/>
      <c r="F35" s="499"/>
      <c r="G35" s="499"/>
      <c r="H35" s="499"/>
      <c r="I35" s="499"/>
      <c r="J35" s="499"/>
      <c r="K35" s="499"/>
      <c r="L35" s="161"/>
      <c r="P35" s="65"/>
      <c r="Q35" s="65"/>
      <c r="R35" s="65"/>
      <c r="T35" s="65"/>
      <c r="U35" s="65"/>
    </row>
    <row r="36" spans="2:21" x14ac:dyDescent="0.2">
      <c r="B36" s="157"/>
      <c r="C36" s="499"/>
      <c r="D36" s="695" t="s">
        <v>125</v>
      </c>
      <c r="E36" s="499"/>
      <c r="F36" s="778">
        <v>0</v>
      </c>
      <c r="G36" s="778">
        <v>0</v>
      </c>
      <c r="H36" s="778">
        <v>0</v>
      </c>
      <c r="I36" s="782">
        <v>0</v>
      </c>
      <c r="J36" s="782">
        <v>0</v>
      </c>
      <c r="K36" s="499"/>
      <c r="L36" s="161"/>
      <c r="P36" s="65"/>
      <c r="Q36" s="65"/>
      <c r="R36" s="65"/>
      <c r="T36" s="65"/>
      <c r="U36" s="65"/>
    </row>
    <row r="37" spans="2:21" x14ac:dyDescent="0.2">
      <c r="B37" s="157"/>
      <c r="C37" s="499"/>
      <c r="D37" s="695" t="s">
        <v>126</v>
      </c>
      <c r="E37" s="499"/>
      <c r="F37" s="778">
        <v>0</v>
      </c>
      <c r="G37" s="778">
        <v>0</v>
      </c>
      <c r="H37" s="778">
        <v>0</v>
      </c>
      <c r="I37" s="782">
        <v>0</v>
      </c>
      <c r="J37" s="782">
        <v>0</v>
      </c>
      <c r="K37" s="499"/>
      <c r="L37" s="161"/>
      <c r="P37" s="65"/>
      <c r="Q37" s="65"/>
      <c r="R37" s="65"/>
      <c r="T37" s="65"/>
      <c r="U37" s="65"/>
    </row>
    <row r="38" spans="2:21" x14ac:dyDescent="0.2">
      <c r="B38" s="157"/>
      <c r="C38" s="499"/>
      <c r="D38" s="695" t="s">
        <v>127</v>
      </c>
      <c r="E38" s="499"/>
      <c r="F38" s="778">
        <v>0</v>
      </c>
      <c r="G38" s="778">
        <v>0</v>
      </c>
      <c r="H38" s="778">
        <v>0</v>
      </c>
      <c r="I38" s="782">
        <v>0</v>
      </c>
      <c r="J38" s="782">
        <v>0</v>
      </c>
      <c r="K38" s="499"/>
      <c r="L38" s="161"/>
      <c r="P38" s="65"/>
      <c r="Q38" s="65"/>
      <c r="R38" s="65"/>
      <c r="T38" s="65"/>
      <c r="U38" s="65"/>
    </row>
    <row r="39" spans="2:21" x14ac:dyDescent="0.2">
      <c r="B39" s="157"/>
      <c r="C39" s="499"/>
      <c r="D39" s="695" t="s">
        <v>128</v>
      </c>
      <c r="E39" s="499"/>
      <c r="F39" s="778">
        <v>0</v>
      </c>
      <c r="G39" s="778">
        <v>0</v>
      </c>
      <c r="H39" s="778">
        <v>0</v>
      </c>
      <c r="I39" s="782">
        <v>0</v>
      </c>
      <c r="J39" s="782">
        <v>0</v>
      </c>
      <c r="K39" s="499"/>
      <c r="L39" s="161"/>
      <c r="P39" s="65"/>
      <c r="Q39" s="65"/>
      <c r="R39" s="65"/>
      <c r="T39" s="65"/>
      <c r="U39" s="65"/>
    </row>
    <row r="40" spans="2:21" x14ac:dyDescent="0.2">
      <c r="B40" s="157"/>
      <c r="C40" s="499"/>
      <c r="D40" s="612"/>
      <c r="E40" s="499"/>
      <c r="F40" s="772">
        <f>SUM(F36:F39)</f>
        <v>0</v>
      </c>
      <c r="G40" s="772">
        <f>SUM(G36:G39)</f>
        <v>0</v>
      </c>
      <c r="H40" s="772">
        <f>SUM(H36:H39)</f>
        <v>0</v>
      </c>
      <c r="I40" s="768">
        <f>SUM(I36:I39)</f>
        <v>0</v>
      </c>
      <c r="J40" s="768">
        <f>SUM(J36:J39)</f>
        <v>0</v>
      </c>
      <c r="K40" s="499"/>
      <c r="L40" s="161"/>
      <c r="P40" s="65"/>
      <c r="Q40" s="65"/>
      <c r="R40" s="65"/>
      <c r="T40" s="65"/>
      <c r="U40" s="65"/>
    </row>
    <row r="41" spans="2:21" x14ac:dyDescent="0.2">
      <c r="B41" s="157"/>
      <c r="C41" s="499"/>
      <c r="D41" s="499"/>
      <c r="E41" s="499"/>
      <c r="F41" s="499"/>
      <c r="G41" s="499"/>
      <c r="H41" s="499"/>
      <c r="I41" s="499"/>
      <c r="J41" s="499"/>
      <c r="K41" s="499"/>
      <c r="L41" s="161"/>
      <c r="P41" s="65"/>
      <c r="Q41" s="65"/>
      <c r="R41" s="65"/>
      <c r="T41" s="65"/>
      <c r="U41" s="65"/>
    </row>
    <row r="42" spans="2:21" s="35" customFormat="1" x14ac:dyDescent="0.2">
      <c r="B42" s="170"/>
      <c r="C42" s="502"/>
      <c r="D42" s="502" t="s">
        <v>250</v>
      </c>
      <c r="E42" s="502"/>
      <c r="F42" s="772">
        <f>F34+F40</f>
        <v>0</v>
      </c>
      <c r="G42" s="772">
        <f>G34+G40</f>
        <v>0</v>
      </c>
      <c r="H42" s="772">
        <f>H34+H40</f>
        <v>0</v>
      </c>
      <c r="I42" s="768">
        <f>I34+I40</f>
        <v>0</v>
      </c>
      <c r="J42" s="768">
        <f>J34+J40</f>
        <v>0</v>
      </c>
      <c r="K42" s="502"/>
      <c r="L42" s="171"/>
      <c r="O42" s="70"/>
      <c r="P42" s="70"/>
      <c r="Q42" s="70"/>
      <c r="R42" s="70"/>
      <c r="S42" s="70"/>
      <c r="T42" s="70"/>
      <c r="U42" s="70"/>
    </row>
    <row r="43" spans="2:21" x14ac:dyDescent="0.2">
      <c r="B43" s="157"/>
      <c r="C43" s="499"/>
      <c r="D43" s="499"/>
      <c r="E43" s="499"/>
      <c r="F43" s="499"/>
      <c r="G43" s="499"/>
      <c r="H43" s="499"/>
      <c r="I43" s="499"/>
      <c r="J43" s="499"/>
      <c r="K43" s="499"/>
      <c r="L43" s="161"/>
      <c r="P43" s="65"/>
      <c r="Q43" s="65"/>
      <c r="R43" s="65"/>
      <c r="T43" s="65"/>
      <c r="U43" s="65"/>
    </row>
    <row r="44" spans="2:21" x14ac:dyDescent="0.2">
      <c r="B44" s="157"/>
      <c r="C44" s="158"/>
      <c r="D44" s="158"/>
      <c r="E44" s="158"/>
      <c r="F44" s="158"/>
      <c r="G44" s="158"/>
      <c r="H44" s="158"/>
      <c r="I44" s="158"/>
      <c r="J44" s="158"/>
      <c r="K44" s="158"/>
      <c r="L44" s="161"/>
      <c r="P44" s="65"/>
      <c r="Q44" s="65"/>
      <c r="R44" s="65"/>
      <c r="T44" s="65"/>
      <c r="U44" s="65"/>
    </row>
    <row r="45" spans="2:21" x14ac:dyDescent="0.2">
      <c r="B45" s="157"/>
      <c r="C45" s="499"/>
      <c r="D45" s="499"/>
      <c r="E45" s="499"/>
      <c r="F45" s="499"/>
      <c r="G45" s="499"/>
      <c r="H45" s="499"/>
      <c r="I45" s="499"/>
      <c r="J45" s="499"/>
      <c r="K45" s="499"/>
      <c r="L45" s="161"/>
      <c r="P45" s="65"/>
      <c r="Q45" s="65"/>
      <c r="R45" s="65"/>
      <c r="T45" s="65"/>
      <c r="U45" s="65"/>
    </row>
    <row r="46" spans="2:21" x14ac:dyDescent="0.2">
      <c r="B46" s="157"/>
      <c r="C46" s="499"/>
      <c r="D46" s="779" t="s">
        <v>208</v>
      </c>
      <c r="E46" s="499"/>
      <c r="F46" s="499"/>
      <c r="G46" s="499"/>
      <c r="H46" s="499"/>
      <c r="I46" s="499"/>
      <c r="J46" s="499"/>
      <c r="K46" s="499"/>
      <c r="L46" s="161"/>
      <c r="P46" s="65"/>
      <c r="Q46" s="65"/>
      <c r="R46" s="65"/>
      <c r="T46" s="65"/>
      <c r="U46" s="65"/>
    </row>
    <row r="47" spans="2:21" x14ac:dyDescent="0.2">
      <c r="B47" s="157"/>
      <c r="C47" s="499"/>
      <c r="D47" s="695" t="s">
        <v>125</v>
      </c>
      <c r="E47" s="499"/>
      <c r="F47" s="784">
        <f t="shared" ref="F47:J50" si="1">F12+F21-F30-F36</f>
        <v>0</v>
      </c>
      <c r="G47" s="784">
        <f t="shared" si="1"/>
        <v>0</v>
      </c>
      <c r="H47" s="784">
        <f>H12+H21-H30-H36</f>
        <v>0</v>
      </c>
      <c r="I47" s="780">
        <f t="shared" si="1"/>
        <v>0</v>
      </c>
      <c r="J47" s="780">
        <f t="shared" si="1"/>
        <v>0</v>
      </c>
      <c r="K47" s="499"/>
      <c r="L47" s="161"/>
      <c r="P47" s="65"/>
      <c r="Q47" s="65"/>
      <c r="R47" s="65"/>
      <c r="T47" s="65"/>
      <c r="U47" s="65"/>
    </row>
    <row r="48" spans="2:21" x14ac:dyDescent="0.2">
      <c r="B48" s="157"/>
      <c r="C48" s="499"/>
      <c r="D48" s="695" t="s">
        <v>126</v>
      </c>
      <c r="E48" s="499"/>
      <c r="F48" s="784">
        <f t="shared" si="1"/>
        <v>0</v>
      </c>
      <c r="G48" s="784">
        <f t="shared" si="1"/>
        <v>0</v>
      </c>
      <c r="H48" s="784">
        <f t="shared" si="1"/>
        <v>0</v>
      </c>
      <c r="I48" s="780">
        <f t="shared" si="1"/>
        <v>0</v>
      </c>
      <c r="J48" s="780">
        <f t="shared" si="1"/>
        <v>0</v>
      </c>
      <c r="K48" s="499"/>
      <c r="L48" s="161"/>
      <c r="P48" s="65"/>
      <c r="Q48" s="65"/>
      <c r="R48" s="65"/>
      <c r="T48" s="65"/>
      <c r="U48" s="65"/>
    </row>
    <row r="49" spans="2:21" x14ac:dyDescent="0.2">
      <c r="B49" s="157"/>
      <c r="C49" s="499"/>
      <c r="D49" s="695" t="s">
        <v>127</v>
      </c>
      <c r="E49" s="499"/>
      <c r="F49" s="784">
        <f t="shared" si="1"/>
        <v>0</v>
      </c>
      <c r="G49" s="784">
        <f t="shared" si="1"/>
        <v>0</v>
      </c>
      <c r="H49" s="784">
        <f t="shared" si="1"/>
        <v>0</v>
      </c>
      <c r="I49" s="780">
        <f t="shared" si="1"/>
        <v>0</v>
      </c>
      <c r="J49" s="780">
        <f t="shared" si="1"/>
        <v>0</v>
      </c>
      <c r="K49" s="499"/>
      <c r="L49" s="161"/>
      <c r="P49" s="65"/>
      <c r="Q49" s="65"/>
      <c r="R49" s="65"/>
      <c r="T49" s="65"/>
      <c r="U49" s="65"/>
    </row>
    <row r="50" spans="2:21" x14ac:dyDescent="0.2">
      <c r="B50" s="157"/>
      <c r="C50" s="499"/>
      <c r="D50" s="695" t="s">
        <v>128</v>
      </c>
      <c r="E50" s="499"/>
      <c r="F50" s="784">
        <f t="shared" si="1"/>
        <v>0</v>
      </c>
      <c r="G50" s="784">
        <f t="shared" si="1"/>
        <v>0</v>
      </c>
      <c r="H50" s="784">
        <f t="shared" si="1"/>
        <v>0</v>
      </c>
      <c r="I50" s="780">
        <f t="shared" si="1"/>
        <v>0</v>
      </c>
      <c r="J50" s="780">
        <f t="shared" si="1"/>
        <v>0</v>
      </c>
      <c r="K50" s="499"/>
      <c r="L50" s="161"/>
      <c r="P50" s="65"/>
      <c r="Q50" s="65"/>
      <c r="R50" s="65"/>
      <c r="T50" s="65"/>
      <c r="U50" s="65"/>
    </row>
    <row r="51" spans="2:21" s="53" customFormat="1" x14ac:dyDescent="0.2">
      <c r="B51" s="323"/>
      <c r="C51" s="500"/>
      <c r="D51" s="612"/>
      <c r="E51" s="500"/>
      <c r="F51" s="772">
        <f>SUM(F47:F50)</f>
        <v>0</v>
      </c>
      <c r="G51" s="772">
        <f>SUM(G47:G50)</f>
        <v>0</v>
      </c>
      <c r="H51" s="772">
        <f>SUM(H47:H50)</f>
        <v>0</v>
      </c>
      <c r="I51" s="768">
        <f>SUM(I47:I50)</f>
        <v>0</v>
      </c>
      <c r="J51" s="768">
        <f>SUM(J47:J50)</f>
        <v>0</v>
      </c>
      <c r="K51" s="500"/>
      <c r="L51" s="324"/>
      <c r="O51" s="65"/>
      <c r="P51" s="65"/>
      <c r="Q51" s="65"/>
      <c r="R51" s="65"/>
      <c r="S51" s="65"/>
      <c r="T51" s="65"/>
      <c r="U51" s="65"/>
    </row>
    <row r="52" spans="2:21" x14ac:dyDescent="0.2">
      <c r="B52" s="157"/>
      <c r="C52" s="499"/>
      <c r="D52" s="499"/>
      <c r="E52" s="499"/>
      <c r="F52" s="499"/>
      <c r="G52" s="499"/>
      <c r="H52" s="499"/>
      <c r="I52" s="499"/>
      <c r="J52" s="499"/>
      <c r="K52" s="499"/>
      <c r="L52" s="161"/>
      <c r="P52" s="65"/>
      <c r="Q52" s="65"/>
      <c r="R52" s="65"/>
      <c r="T52" s="65"/>
      <c r="U52" s="65"/>
    </row>
    <row r="53" spans="2:21" x14ac:dyDescent="0.2">
      <c r="B53" s="157"/>
      <c r="C53" s="158"/>
      <c r="D53" s="158"/>
      <c r="E53" s="158"/>
      <c r="F53" s="158"/>
      <c r="G53" s="158"/>
      <c r="H53" s="158"/>
      <c r="I53" s="158"/>
      <c r="J53" s="158"/>
      <c r="K53" s="158"/>
      <c r="L53" s="161"/>
      <c r="P53" s="65"/>
      <c r="Q53" s="65"/>
      <c r="R53" s="65"/>
      <c r="T53" s="65"/>
      <c r="U53" s="65"/>
    </row>
    <row r="54" spans="2:21" ht="15" x14ac:dyDescent="0.25">
      <c r="B54" s="172"/>
      <c r="C54" s="173"/>
      <c r="D54" s="173"/>
      <c r="E54" s="173"/>
      <c r="F54" s="173"/>
      <c r="G54" s="173"/>
      <c r="H54" s="173"/>
      <c r="I54" s="173"/>
      <c r="J54" s="173"/>
      <c r="K54" s="175" t="s">
        <v>423</v>
      </c>
      <c r="L54" s="176"/>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65" orientation="landscape" r:id="rId1"/>
  <headerFooter alignWithMargins="0">
    <oddHeader>&amp;L&amp;"Arial,Vet"&amp;F&amp;R&amp;"Arial,Vet"&amp;A</oddHeader>
    <oddFooter>&amp;L&amp;"Arial,Vet"PO-Raad&amp;C&amp;"Arial,Vet"pagina &amp;P&amp;R&amp;"Arial,Vet"&amp;D</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15</vt:i4>
      </vt:variant>
      <vt:variant>
        <vt:lpstr>Benoemde bereiken</vt:lpstr>
      </vt:variant>
      <vt:variant>
        <vt:i4>17</vt:i4>
      </vt:variant>
    </vt:vector>
  </HeadingPairs>
  <TitlesOfParts>
    <vt:vector size="32" baseType="lpstr">
      <vt:lpstr>toel</vt:lpstr>
      <vt:lpstr>geg</vt:lpstr>
      <vt:lpstr>pers</vt:lpstr>
      <vt:lpstr>loonkosten CD</vt:lpstr>
      <vt:lpstr>hulpblad kosten functie</vt:lpstr>
      <vt:lpstr>overdracht aan sbo</vt:lpstr>
      <vt:lpstr>mat</vt:lpstr>
      <vt:lpstr>mip</vt:lpstr>
      <vt:lpstr>act</vt:lpstr>
      <vt:lpstr>begr</vt:lpstr>
      <vt:lpstr>bal</vt:lpstr>
      <vt:lpstr>liq</vt:lpstr>
      <vt:lpstr>bas</vt:lpstr>
      <vt:lpstr>verdeling</vt:lpstr>
      <vt:lpstr>tab</vt:lpstr>
      <vt:lpstr>act!Afdrukbereik</vt:lpstr>
      <vt:lpstr>bal!Afdrukbereik</vt:lpstr>
      <vt:lpstr>bas!Afdrukbereik</vt:lpstr>
      <vt:lpstr>begr!Afdrukbereik</vt:lpstr>
      <vt:lpstr>geg!Afdrukbereik</vt:lpstr>
      <vt:lpstr>'hulpblad kosten functie'!Afdrukbereik</vt:lpstr>
      <vt:lpstr>liq!Afdrukbereik</vt:lpstr>
      <vt:lpstr>'loonkosten CD'!Afdrukbereik</vt:lpstr>
      <vt:lpstr>mat!Afdrukbereik</vt:lpstr>
      <vt:lpstr>mip!Afdrukbereik</vt:lpstr>
      <vt:lpstr>'overdracht aan sbo'!Afdrukbereik</vt:lpstr>
      <vt:lpstr>pers!Afdrukbereik</vt:lpstr>
      <vt:lpstr>tab!Afdrukbereik</vt:lpstr>
      <vt:lpstr>toel!Afdrukbereik</vt:lpstr>
      <vt:lpstr>verdeling!Afdrukbereik</vt:lpstr>
      <vt:lpstr>tabelsalaris</vt:lpstr>
      <vt:lpstr>verhoudingstabel_LB</vt:lpstr>
    </vt:vector>
  </TitlesOfParts>
  <Company>VOS/ABB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LS Meerjarenbegroting WSNS</dc:title>
  <dc:creator>Keizer/Goedhart</dc:creator>
  <cp:lastModifiedBy>Keizer</cp:lastModifiedBy>
  <cp:lastPrinted>2013-12-01T14:51:55Z</cp:lastPrinted>
  <dcterms:created xsi:type="dcterms:W3CDTF">2000-01-17T20:34:37Z</dcterms:created>
  <dcterms:modified xsi:type="dcterms:W3CDTF">2013-12-01T14:53:13Z</dcterms:modified>
</cp:coreProperties>
</file>