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1460" yWindow="0" windowWidth="7650" windowHeight="9255" tabRatio="762" activeTab="1"/>
  </bookViews>
  <sheets>
    <sheet name="Toelichting" sheetId="10" r:id="rId1"/>
    <sheet name="wgl" sheetId="1" r:id="rId2"/>
    <sheet name="Ouderschapsverlof" sheetId="9" state="hidden" r:id="rId3"/>
    <sheet name="Functiedifferentiatie" sheetId="8" state="hidden" r:id="rId4"/>
    <sheet name="Extra periodieken" sheetId="7" state="hidden" r:id="rId5"/>
    <sheet name="wgl tot" sheetId="12" r:id="rId6"/>
    <sheet name="tabellen" sheetId="3" r:id="rId7"/>
  </sheets>
  <definedNames>
    <definedName name="_xlnm._FilterDatabase" localSheetId="1" hidden="1">wgl!#REF!</definedName>
    <definedName name="_xlnm.Print_Area" localSheetId="4">'Extra periodieken'!$B$2:$J$52</definedName>
    <definedName name="_xlnm.Print_Area" localSheetId="3">Functiedifferentiatie!$B$2:$J$52</definedName>
    <definedName name="_xlnm.Print_Area" localSheetId="2">Ouderschapsverlof!$B$2:$L$66</definedName>
    <definedName name="_xlnm.Print_Area" localSheetId="6">tabellen!$A$52:$V$115</definedName>
    <definedName name="_xlnm.Print_Area" localSheetId="0">Toelichting!$B$2:$O$192</definedName>
    <definedName name="_xlnm.Print_Area" localSheetId="1">wgl!$B$2:$V$61</definedName>
    <definedName name="_xlnm.Print_Area" localSheetId="5">'wgl tot'!$B$2:$BD$72</definedName>
    <definedName name="arbeidskorting">tabellen!$B$112:$D$115</definedName>
    <definedName name="bindingstoelage">tabellen!$B$78:$D$81</definedName>
    <definedName name="eindejaarsuitkering_OOP">tabellen!$C$89:$D$92</definedName>
    <definedName name="premies">tabellen!$B$54:$G$67</definedName>
    <definedName name="salaristabellen">tabellen!$A$6:$V$49</definedName>
    <definedName name="uitlooptoeslag">tabellen!$B$70:$C$73</definedName>
  </definedNames>
  <calcPr calcId="145621"/>
</workbook>
</file>

<file path=xl/calcChain.xml><?xml version="1.0" encoding="utf-8"?>
<calcChain xmlns="http://schemas.openxmlformats.org/spreadsheetml/2006/main">
  <c r="BZ14" i="12" l="1"/>
  <c r="BZ15" i="12"/>
  <c r="BZ16" i="12"/>
  <c r="BZ17" i="12"/>
  <c r="BZ18" i="12"/>
  <c r="BZ19" i="12"/>
  <c r="BZ20" i="12"/>
  <c r="BZ21" i="12"/>
  <c r="BZ22" i="12"/>
  <c r="BZ23" i="12"/>
  <c r="BZ24" i="12"/>
  <c r="BZ25" i="12"/>
  <c r="BZ26" i="12"/>
  <c r="BZ27" i="12"/>
  <c r="BZ28" i="12"/>
  <c r="BZ29" i="12"/>
  <c r="BZ30" i="12"/>
  <c r="BZ31" i="12"/>
  <c r="BZ32" i="12"/>
  <c r="BZ33" i="12"/>
  <c r="BZ34" i="12"/>
  <c r="BZ35" i="12"/>
  <c r="BZ36" i="12"/>
  <c r="BZ37" i="12"/>
  <c r="BZ38" i="12"/>
  <c r="BZ39" i="12"/>
  <c r="BZ40" i="12"/>
  <c r="BZ41" i="12"/>
  <c r="BZ42" i="12"/>
  <c r="BZ43" i="12"/>
  <c r="BZ44" i="12"/>
  <c r="BZ45" i="12"/>
  <c r="BZ46" i="12"/>
  <c r="BZ47" i="12"/>
  <c r="BZ48" i="12"/>
  <c r="BZ49" i="12"/>
  <c r="BZ50" i="12"/>
  <c r="BZ51" i="12"/>
  <c r="BZ52" i="12"/>
  <c r="BZ53" i="12"/>
  <c r="BZ54" i="12"/>
  <c r="BZ55" i="12"/>
  <c r="BZ56" i="12"/>
  <c r="BZ57" i="12"/>
  <c r="BZ58" i="12"/>
  <c r="BZ59" i="12"/>
  <c r="BZ60" i="12"/>
  <c r="BZ61" i="12"/>
  <c r="BZ62" i="12"/>
  <c r="BZ63" i="12"/>
  <c r="BZ64" i="12"/>
  <c r="BZ65" i="12"/>
  <c r="BZ66" i="12"/>
  <c r="BZ67" i="12"/>
  <c r="BZ13" i="12"/>
  <c r="C5" i="1" l="1"/>
  <c r="AT15" i="12"/>
  <c r="AT16" i="12"/>
  <c r="AT17" i="12"/>
  <c r="AT18" i="12"/>
  <c r="AT19" i="12"/>
  <c r="AT20" i="12"/>
  <c r="AT21" i="12"/>
  <c r="AT22" i="12"/>
  <c r="AT23" i="12"/>
  <c r="AT24" i="12"/>
  <c r="AT25" i="12"/>
  <c r="AT26" i="12"/>
  <c r="AT27" i="12"/>
  <c r="AT28" i="12"/>
  <c r="AT29" i="12"/>
  <c r="AT30" i="12"/>
  <c r="AT31" i="12"/>
  <c r="AT32" i="12"/>
  <c r="AT33" i="12"/>
  <c r="AT34" i="12"/>
  <c r="AT35" i="12"/>
  <c r="AT36" i="12"/>
  <c r="AT37" i="12"/>
  <c r="AT38" i="12"/>
  <c r="AT39" i="12"/>
  <c r="AT40" i="12"/>
  <c r="AT41" i="12"/>
  <c r="AT42" i="12"/>
  <c r="AT43" i="12"/>
  <c r="AT44" i="12"/>
  <c r="AT45" i="12"/>
  <c r="AT46" i="12"/>
  <c r="AT47" i="12"/>
  <c r="AT48" i="12"/>
  <c r="AT49" i="12"/>
  <c r="AT50" i="12"/>
  <c r="AT51" i="12"/>
  <c r="AT52" i="12"/>
  <c r="AT53" i="12"/>
  <c r="AT54" i="12"/>
  <c r="AT55" i="12"/>
  <c r="AT56" i="12"/>
  <c r="AT57" i="12"/>
  <c r="AT58" i="12"/>
  <c r="AT59" i="12"/>
  <c r="AT60" i="12"/>
  <c r="AT61" i="12"/>
  <c r="AT62" i="12"/>
  <c r="AT63" i="12"/>
  <c r="AT64" i="12"/>
  <c r="AT65" i="12"/>
  <c r="AT66" i="12"/>
  <c r="AT67" i="12"/>
  <c r="AQ15" i="12" l="1"/>
  <c r="AQ16" i="12"/>
  <c r="AQ17" i="12"/>
  <c r="AQ18" i="12"/>
  <c r="AQ19" i="12"/>
  <c r="AQ20" i="12"/>
  <c r="AQ21" i="12"/>
  <c r="AQ22" i="12"/>
  <c r="AQ23" i="12"/>
  <c r="AQ24" i="12"/>
  <c r="AQ25" i="12"/>
  <c r="AQ26" i="12"/>
  <c r="AQ27" i="12"/>
  <c r="AQ28" i="12"/>
  <c r="AQ29" i="12"/>
  <c r="AQ30" i="12"/>
  <c r="AQ31" i="12"/>
  <c r="AQ32" i="12"/>
  <c r="AQ33" i="12"/>
  <c r="AQ34" i="12"/>
  <c r="AQ35" i="12"/>
  <c r="AQ36" i="12"/>
  <c r="AQ37" i="12"/>
  <c r="AQ38" i="12"/>
  <c r="AQ39" i="12"/>
  <c r="AQ40" i="12"/>
  <c r="AQ41" i="12"/>
  <c r="AQ42" i="12"/>
  <c r="AQ43" i="12"/>
  <c r="AQ44" i="12"/>
  <c r="AQ45" i="12"/>
  <c r="AQ46" i="12"/>
  <c r="AQ47" i="12"/>
  <c r="AQ48" i="12"/>
  <c r="AQ49" i="12"/>
  <c r="AQ50" i="12"/>
  <c r="AQ51" i="12"/>
  <c r="AQ52" i="12"/>
  <c r="AQ53" i="12"/>
  <c r="AQ54" i="12"/>
  <c r="AQ55" i="12"/>
  <c r="AQ56" i="12"/>
  <c r="AQ57" i="12"/>
  <c r="AQ58" i="12"/>
  <c r="AQ59" i="12"/>
  <c r="AQ60" i="12"/>
  <c r="AQ61" i="12"/>
  <c r="AQ62" i="12"/>
  <c r="AQ63" i="12"/>
  <c r="AQ64" i="12"/>
  <c r="AQ65" i="12"/>
  <c r="AQ66" i="12"/>
  <c r="AQ67" i="12"/>
  <c r="CC14" i="12"/>
  <c r="CC15" i="12"/>
  <c r="CD15" i="12" s="1"/>
  <c r="CC16" i="12"/>
  <c r="CD16" i="12" s="1"/>
  <c r="CC17" i="12"/>
  <c r="CD17" i="12" s="1"/>
  <c r="CC18" i="12"/>
  <c r="CD18" i="12" s="1"/>
  <c r="CC19" i="12"/>
  <c r="CD19" i="12" s="1"/>
  <c r="CC20" i="12"/>
  <c r="CD20" i="12" s="1"/>
  <c r="CC21" i="12"/>
  <c r="CD21" i="12" s="1"/>
  <c r="CC22" i="12"/>
  <c r="CD22" i="12" s="1"/>
  <c r="CC23" i="12"/>
  <c r="CD23" i="12" s="1"/>
  <c r="CC24" i="12"/>
  <c r="CD24" i="12" s="1"/>
  <c r="CC25" i="12"/>
  <c r="CD25" i="12" s="1"/>
  <c r="CC26" i="12"/>
  <c r="CD26" i="12" s="1"/>
  <c r="CC27" i="12"/>
  <c r="CD27" i="12" s="1"/>
  <c r="CC28" i="12"/>
  <c r="CD28" i="12" s="1"/>
  <c r="CC29" i="12"/>
  <c r="CD29" i="12" s="1"/>
  <c r="CC30" i="12"/>
  <c r="CD30" i="12" s="1"/>
  <c r="CC31" i="12"/>
  <c r="CD31" i="12" s="1"/>
  <c r="CC32" i="12"/>
  <c r="CD32" i="12" s="1"/>
  <c r="CC33" i="12"/>
  <c r="CD33" i="12" s="1"/>
  <c r="CC34" i="12"/>
  <c r="CD34" i="12" s="1"/>
  <c r="CC35" i="12"/>
  <c r="CD35" i="12" s="1"/>
  <c r="CC36" i="12"/>
  <c r="CD36" i="12" s="1"/>
  <c r="CC37" i="12"/>
  <c r="CD37" i="12" s="1"/>
  <c r="CC38" i="12"/>
  <c r="CD38" i="12" s="1"/>
  <c r="CC39" i="12"/>
  <c r="CD39" i="12" s="1"/>
  <c r="CC40" i="12"/>
  <c r="CD40" i="12" s="1"/>
  <c r="CC41" i="12"/>
  <c r="CD41" i="12" s="1"/>
  <c r="CC42" i="12"/>
  <c r="CD42" i="12" s="1"/>
  <c r="CC43" i="12"/>
  <c r="CD43" i="12" s="1"/>
  <c r="CC44" i="12"/>
  <c r="CD44" i="12" s="1"/>
  <c r="CC45" i="12"/>
  <c r="CD45" i="12" s="1"/>
  <c r="CC46" i="12"/>
  <c r="CD46" i="12" s="1"/>
  <c r="CC47" i="12"/>
  <c r="CD47" i="12" s="1"/>
  <c r="CC48" i="12"/>
  <c r="CD48" i="12" s="1"/>
  <c r="CC49" i="12"/>
  <c r="CD49" i="12" s="1"/>
  <c r="CC50" i="12"/>
  <c r="CD50" i="12" s="1"/>
  <c r="CC51" i="12"/>
  <c r="CD51" i="12" s="1"/>
  <c r="CC52" i="12"/>
  <c r="CD52" i="12" s="1"/>
  <c r="CC53" i="12"/>
  <c r="CD53" i="12" s="1"/>
  <c r="CC54" i="12"/>
  <c r="CD54" i="12" s="1"/>
  <c r="CC55" i="12"/>
  <c r="CD55" i="12" s="1"/>
  <c r="CC56" i="12"/>
  <c r="CD56" i="12" s="1"/>
  <c r="CC57" i="12"/>
  <c r="CD57" i="12" s="1"/>
  <c r="CC58" i="12"/>
  <c r="CD58" i="12" s="1"/>
  <c r="CC59" i="12"/>
  <c r="CD59" i="12" s="1"/>
  <c r="CC60" i="12"/>
  <c r="CD60" i="12" s="1"/>
  <c r="CC61" i="12"/>
  <c r="CD61" i="12" s="1"/>
  <c r="CC62" i="12"/>
  <c r="CD62" i="12" s="1"/>
  <c r="CC63" i="12"/>
  <c r="CD63" i="12" s="1"/>
  <c r="CC64" i="12"/>
  <c r="CD64" i="12" s="1"/>
  <c r="CC65" i="12"/>
  <c r="CD65" i="12" s="1"/>
  <c r="CC66" i="12"/>
  <c r="CD66" i="12" s="1"/>
  <c r="CC67" i="12"/>
  <c r="CD67" i="12" s="1"/>
  <c r="CC13" i="12"/>
  <c r="D132" i="3"/>
  <c r="CB15" i="12" l="1"/>
  <c r="CB16" i="12"/>
  <c r="CB17" i="12"/>
  <c r="CB18" i="12"/>
  <c r="CB19" i="12"/>
  <c r="CB20" i="12"/>
  <c r="CB21" i="12"/>
  <c r="CB22" i="12"/>
  <c r="CB23" i="12"/>
  <c r="CB24" i="12"/>
  <c r="CB25" i="12"/>
  <c r="CB26" i="12"/>
  <c r="CB27" i="12"/>
  <c r="CB28" i="12"/>
  <c r="CB29" i="12"/>
  <c r="CB30" i="12"/>
  <c r="CB31" i="12"/>
  <c r="CB32" i="12"/>
  <c r="CB33" i="12"/>
  <c r="CB34" i="12"/>
  <c r="CB35" i="12"/>
  <c r="CB36" i="12"/>
  <c r="CB37" i="12"/>
  <c r="CB38" i="12"/>
  <c r="CB39" i="12"/>
  <c r="CB40" i="12"/>
  <c r="CB41" i="12"/>
  <c r="CB42" i="12"/>
  <c r="CB43" i="12"/>
  <c r="CB44" i="12"/>
  <c r="CB45" i="12"/>
  <c r="CB46" i="12"/>
  <c r="CB47" i="12"/>
  <c r="CB48" i="12"/>
  <c r="CB49" i="12"/>
  <c r="CB50" i="12"/>
  <c r="CB51" i="12"/>
  <c r="CB52" i="12"/>
  <c r="CB53" i="12"/>
  <c r="CB54" i="12"/>
  <c r="CB55" i="12"/>
  <c r="CB56" i="12"/>
  <c r="CB57" i="12"/>
  <c r="CB58" i="12"/>
  <c r="CB59" i="12"/>
  <c r="CB60" i="12"/>
  <c r="CB61" i="12"/>
  <c r="CB62" i="12"/>
  <c r="CB63" i="12"/>
  <c r="CB64" i="12"/>
  <c r="CB65" i="12"/>
  <c r="CB66" i="12"/>
  <c r="CB67" i="12"/>
  <c r="CB14" i="12"/>
  <c r="CB13" i="12"/>
  <c r="J55" i="1" l="1"/>
  <c r="BQ67" i="12" l="1"/>
  <c r="BQ66" i="12"/>
  <c r="BQ65" i="12"/>
  <c r="BQ64" i="12"/>
  <c r="BQ63" i="12"/>
  <c r="BQ62" i="12"/>
  <c r="BQ61" i="12"/>
  <c r="BQ60" i="12"/>
  <c r="BQ59" i="12"/>
  <c r="BQ58" i="12"/>
  <c r="BQ57" i="12"/>
  <c r="BQ56" i="12"/>
  <c r="BQ55" i="12"/>
  <c r="BQ54" i="12"/>
  <c r="BQ53" i="12"/>
  <c r="BQ52" i="12"/>
  <c r="BQ51" i="12"/>
  <c r="BQ50" i="12"/>
  <c r="BQ49" i="12"/>
  <c r="BQ48" i="12"/>
  <c r="BQ47" i="12"/>
  <c r="BQ46" i="12"/>
  <c r="BQ45" i="12"/>
  <c r="BQ44" i="12"/>
  <c r="BQ43" i="12"/>
  <c r="BQ42" i="12"/>
  <c r="BQ41" i="12"/>
  <c r="BQ40" i="12"/>
  <c r="BQ39" i="12"/>
  <c r="BQ38" i="12"/>
  <c r="BQ37" i="12"/>
  <c r="BQ36" i="12"/>
  <c r="BQ35" i="12"/>
  <c r="BQ34" i="12"/>
  <c r="BQ33" i="12"/>
  <c r="BQ32" i="12"/>
  <c r="BQ31" i="12"/>
  <c r="BQ30" i="12"/>
  <c r="BQ29" i="12"/>
  <c r="BQ28" i="12"/>
  <c r="BQ27" i="12"/>
  <c r="BQ26" i="12"/>
  <c r="BQ25" i="12"/>
  <c r="BQ24" i="12"/>
  <c r="BQ23" i="12"/>
  <c r="BQ22" i="12"/>
  <c r="BQ21" i="12"/>
  <c r="BQ20" i="12"/>
  <c r="BQ19" i="12"/>
  <c r="BQ18" i="12"/>
  <c r="BQ17" i="12"/>
  <c r="BQ16" i="12"/>
  <c r="BQ15" i="12"/>
  <c r="BQ14" i="12"/>
  <c r="BM67" i="12"/>
  <c r="BL67" i="12"/>
  <c r="BM66" i="12"/>
  <c r="BL66" i="12"/>
  <c r="BM65" i="12"/>
  <c r="BL65" i="12"/>
  <c r="BM64" i="12"/>
  <c r="BL64" i="12"/>
  <c r="BM63" i="12"/>
  <c r="BL63" i="12"/>
  <c r="BM62" i="12"/>
  <c r="BL62" i="12"/>
  <c r="BM61" i="12"/>
  <c r="BL61" i="12"/>
  <c r="BM60" i="12"/>
  <c r="BL60" i="12"/>
  <c r="BM59" i="12"/>
  <c r="BL59" i="12"/>
  <c r="BM58" i="12"/>
  <c r="BL58" i="12"/>
  <c r="BM57" i="12"/>
  <c r="BL57" i="12"/>
  <c r="BM56" i="12"/>
  <c r="BL56" i="12"/>
  <c r="BM55" i="12"/>
  <c r="BL55" i="12"/>
  <c r="BM54" i="12"/>
  <c r="BL54" i="12"/>
  <c r="BM53" i="12"/>
  <c r="BL53" i="12"/>
  <c r="BM52" i="12"/>
  <c r="BL52" i="12"/>
  <c r="BM51" i="12"/>
  <c r="BL51" i="12"/>
  <c r="BM50" i="12"/>
  <c r="BL50" i="12"/>
  <c r="BM49" i="12"/>
  <c r="BL49" i="12"/>
  <c r="BM48" i="12"/>
  <c r="BL48" i="12"/>
  <c r="BM47" i="12"/>
  <c r="BL47" i="12"/>
  <c r="BM46" i="12"/>
  <c r="BL46" i="12"/>
  <c r="BM45" i="12"/>
  <c r="BL45" i="12"/>
  <c r="BM44" i="12"/>
  <c r="BL44" i="12"/>
  <c r="BM43" i="12"/>
  <c r="BL43" i="12"/>
  <c r="BM42" i="12"/>
  <c r="BL42" i="12"/>
  <c r="BM41" i="12"/>
  <c r="BL41" i="12"/>
  <c r="BM40" i="12"/>
  <c r="BL40" i="12"/>
  <c r="BM39" i="12"/>
  <c r="BL39" i="12"/>
  <c r="BM38" i="12"/>
  <c r="BL38" i="12"/>
  <c r="BM37" i="12"/>
  <c r="BL37" i="12"/>
  <c r="BM36" i="12"/>
  <c r="BL36" i="12"/>
  <c r="BM35" i="12"/>
  <c r="BL35" i="12"/>
  <c r="BM34" i="12"/>
  <c r="BL34" i="12"/>
  <c r="BM33" i="12"/>
  <c r="BL33" i="12"/>
  <c r="BM32" i="12"/>
  <c r="BL32" i="12"/>
  <c r="BM31" i="12"/>
  <c r="BL31" i="12"/>
  <c r="BM30" i="12"/>
  <c r="BL30" i="12"/>
  <c r="BM29" i="12"/>
  <c r="BL29" i="12"/>
  <c r="BM28" i="12"/>
  <c r="BL28" i="12"/>
  <c r="BM27" i="12"/>
  <c r="BL27" i="12"/>
  <c r="BM26" i="12"/>
  <c r="BL26" i="12"/>
  <c r="BM25" i="12"/>
  <c r="BL25" i="12"/>
  <c r="BM24" i="12"/>
  <c r="BL24" i="12"/>
  <c r="BM23" i="12"/>
  <c r="BL23" i="12"/>
  <c r="BM22" i="12"/>
  <c r="BL22" i="12"/>
  <c r="BM21" i="12"/>
  <c r="BL21" i="12"/>
  <c r="BM20" i="12"/>
  <c r="BL20" i="12"/>
  <c r="BM19" i="12"/>
  <c r="BL19" i="12"/>
  <c r="BM18" i="12"/>
  <c r="BL18" i="12"/>
  <c r="BM17" i="12"/>
  <c r="BL17" i="12"/>
  <c r="BM16" i="12"/>
  <c r="BL16" i="12"/>
  <c r="BM15" i="12"/>
  <c r="BL15" i="12"/>
  <c r="BM14" i="12"/>
  <c r="BL14" i="12"/>
  <c r="P66" i="12"/>
  <c r="Q66" i="12" s="1"/>
  <c r="S66" i="12"/>
  <c r="T66" i="12"/>
  <c r="W66" i="12"/>
  <c r="AD66" i="12"/>
  <c r="AI66" i="12"/>
  <c r="AK66" i="12"/>
  <c r="AV66" i="12" s="1"/>
  <c r="AN66" i="12"/>
  <c r="AO66" i="12"/>
  <c r="AR66" i="12"/>
  <c r="AS66" i="12"/>
  <c r="AU66" i="12"/>
  <c r="BI66" i="12"/>
  <c r="BO66" i="12" s="1"/>
  <c r="X66" i="12" s="1"/>
  <c r="BJ66" i="12"/>
  <c r="BK66" i="12"/>
  <c r="BN66" i="12"/>
  <c r="BP66" i="12"/>
  <c r="Y66" i="12" s="1"/>
  <c r="T67" i="12"/>
  <c r="T65" i="12"/>
  <c r="T64" i="12"/>
  <c r="T63" i="12"/>
  <c r="T62" i="12"/>
  <c r="T61" i="12"/>
  <c r="T60" i="12"/>
  <c r="T59" i="12"/>
  <c r="T58" i="12"/>
  <c r="T57" i="12"/>
  <c r="T56" i="12"/>
  <c r="T55" i="12"/>
  <c r="T54" i="12"/>
  <c r="T53" i="12"/>
  <c r="T52" i="12"/>
  <c r="T51" i="12"/>
  <c r="T50" i="12"/>
  <c r="T49" i="12"/>
  <c r="T48" i="12"/>
  <c r="T47" i="12"/>
  <c r="T46" i="12"/>
  <c r="T45" i="12"/>
  <c r="T44" i="12"/>
  <c r="T43" i="12"/>
  <c r="T42" i="12"/>
  <c r="T41" i="12"/>
  <c r="T40" i="12"/>
  <c r="T39" i="12"/>
  <c r="T38" i="12"/>
  <c r="T37" i="12"/>
  <c r="T36" i="12"/>
  <c r="T35" i="12"/>
  <c r="T34" i="12"/>
  <c r="T33" i="12"/>
  <c r="T32" i="12"/>
  <c r="T31" i="12"/>
  <c r="T30" i="12"/>
  <c r="T29" i="12"/>
  <c r="T28" i="12"/>
  <c r="T27" i="12"/>
  <c r="T26" i="12"/>
  <c r="T25" i="12"/>
  <c r="T24" i="12"/>
  <c r="T23" i="12"/>
  <c r="T22" i="12"/>
  <c r="T21" i="12"/>
  <c r="T20" i="12"/>
  <c r="T19" i="12"/>
  <c r="T18" i="12"/>
  <c r="T17" i="12"/>
  <c r="T16" i="12"/>
  <c r="T15" i="12"/>
  <c r="T14" i="12"/>
  <c r="T13" i="12"/>
  <c r="BK13" i="12"/>
  <c r="S13" i="12"/>
  <c r="BP15" i="12"/>
  <c r="BN15" i="12"/>
  <c r="BJ16" i="12"/>
  <c r="BI16" i="12"/>
  <c r="BK16" i="12"/>
  <c r="BK15" i="12"/>
  <c r="C5" i="12"/>
  <c r="F54" i="3"/>
  <c r="BK67" i="12"/>
  <c r="BK65" i="12"/>
  <c r="BK64" i="12"/>
  <c r="BK63" i="12"/>
  <c r="BK62" i="12"/>
  <c r="BK61" i="12"/>
  <c r="BK60" i="12"/>
  <c r="BK59" i="12"/>
  <c r="BK58" i="12"/>
  <c r="BK57" i="12"/>
  <c r="BK56" i="12"/>
  <c r="BK55" i="12"/>
  <c r="BK54" i="12"/>
  <c r="BK53" i="12"/>
  <c r="BK52" i="12"/>
  <c r="BK51" i="12"/>
  <c r="BK50" i="12"/>
  <c r="BK49" i="12"/>
  <c r="BK48" i="12"/>
  <c r="BK47" i="12"/>
  <c r="BK46" i="12"/>
  <c r="BK45" i="12"/>
  <c r="BK44" i="12"/>
  <c r="BK43" i="12"/>
  <c r="BK42" i="12"/>
  <c r="BK41" i="12"/>
  <c r="BK40" i="12"/>
  <c r="BK39" i="12"/>
  <c r="BK38" i="12"/>
  <c r="BK37" i="12"/>
  <c r="BK36" i="12"/>
  <c r="BK35" i="12"/>
  <c r="BK34" i="12"/>
  <c r="BK33" i="12"/>
  <c r="BK32" i="12"/>
  <c r="BK31" i="12"/>
  <c r="BK30" i="12"/>
  <c r="BK29" i="12"/>
  <c r="BK28" i="12"/>
  <c r="BK27" i="12"/>
  <c r="BK26" i="12"/>
  <c r="BK25" i="12"/>
  <c r="BK24" i="12"/>
  <c r="BK23" i="12"/>
  <c r="BK22" i="12"/>
  <c r="BK21" i="12"/>
  <c r="BK20" i="12"/>
  <c r="BK19" i="12"/>
  <c r="BK18" i="12"/>
  <c r="BK17" i="12"/>
  <c r="AU67" i="12"/>
  <c r="AU65" i="12"/>
  <c r="AU64" i="12"/>
  <c r="AU63" i="12"/>
  <c r="AU62" i="12"/>
  <c r="AU61" i="12"/>
  <c r="AU60" i="12"/>
  <c r="AU59" i="12"/>
  <c r="AU58" i="12"/>
  <c r="AU57" i="12"/>
  <c r="AU56" i="12"/>
  <c r="AU55" i="12"/>
  <c r="AU54" i="12"/>
  <c r="AU53" i="12"/>
  <c r="AU52" i="12"/>
  <c r="AU51" i="12"/>
  <c r="AU50" i="12"/>
  <c r="AU49" i="12"/>
  <c r="AU48" i="12"/>
  <c r="AU47" i="12"/>
  <c r="AU46" i="12"/>
  <c r="AU45" i="12"/>
  <c r="AU44" i="12"/>
  <c r="AU43" i="12"/>
  <c r="AU42" i="12"/>
  <c r="AU41" i="12"/>
  <c r="AU40" i="12"/>
  <c r="AU39" i="12"/>
  <c r="AU38" i="12"/>
  <c r="AU37" i="12"/>
  <c r="AU36" i="12"/>
  <c r="AU35" i="12"/>
  <c r="AU34" i="12"/>
  <c r="AU33" i="12"/>
  <c r="AU32" i="12"/>
  <c r="AU31" i="12"/>
  <c r="AU30" i="12"/>
  <c r="AU29" i="12"/>
  <c r="AU28" i="12"/>
  <c r="AU27" i="12"/>
  <c r="AU26" i="12"/>
  <c r="AU25" i="12"/>
  <c r="AU24" i="12"/>
  <c r="AU23" i="12"/>
  <c r="AU22" i="12"/>
  <c r="AU21" i="12"/>
  <c r="AU20" i="12"/>
  <c r="AU19" i="12"/>
  <c r="AU18" i="12"/>
  <c r="AU17" i="12"/>
  <c r="AU16" i="12"/>
  <c r="AS67" i="12"/>
  <c r="AS65" i="12"/>
  <c r="AS64" i="12"/>
  <c r="AS63" i="12"/>
  <c r="AS62" i="12"/>
  <c r="AS61" i="12"/>
  <c r="AS60" i="12"/>
  <c r="AS59" i="12"/>
  <c r="AS58" i="12"/>
  <c r="AS57" i="12"/>
  <c r="AS56" i="12"/>
  <c r="AS55" i="12"/>
  <c r="AS54" i="12"/>
  <c r="AS53" i="12"/>
  <c r="AS52" i="12"/>
  <c r="AS51" i="12"/>
  <c r="AS50" i="12"/>
  <c r="AS49" i="12"/>
  <c r="AS48" i="12"/>
  <c r="AS47" i="12"/>
  <c r="AS46" i="12"/>
  <c r="AS45" i="12"/>
  <c r="AS44" i="12"/>
  <c r="AS43" i="12"/>
  <c r="AS42" i="12"/>
  <c r="AS41" i="12"/>
  <c r="AS40" i="12"/>
  <c r="AS39" i="12"/>
  <c r="AS38" i="12"/>
  <c r="AS37" i="12"/>
  <c r="AS36" i="12"/>
  <c r="AS35" i="12"/>
  <c r="AS34" i="12"/>
  <c r="AS33" i="12"/>
  <c r="AS32" i="12"/>
  <c r="AS31" i="12"/>
  <c r="AS30" i="12"/>
  <c r="AS29" i="12"/>
  <c r="AS28" i="12"/>
  <c r="AS27" i="12"/>
  <c r="AS26" i="12"/>
  <c r="AS25" i="12"/>
  <c r="AS24" i="12"/>
  <c r="AS23" i="12"/>
  <c r="AS22" i="12"/>
  <c r="AS21" i="12"/>
  <c r="AS20" i="12"/>
  <c r="AS19" i="12"/>
  <c r="AS18" i="12"/>
  <c r="AS17" i="12"/>
  <c r="AS16" i="12"/>
  <c r="AR67" i="12"/>
  <c r="AR65" i="12"/>
  <c r="AR64" i="12"/>
  <c r="AR63" i="12"/>
  <c r="AR62" i="12"/>
  <c r="AR61" i="12"/>
  <c r="AR60" i="12"/>
  <c r="AR59" i="12"/>
  <c r="AR58" i="12"/>
  <c r="AR57" i="12"/>
  <c r="AR56" i="12"/>
  <c r="AR55" i="12"/>
  <c r="AR54" i="12"/>
  <c r="AR53" i="12"/>
  <c r="AR52" i="12"/>
  <c r="AR51" i="12"/>
  <c r="AR50" i="12"/>
  <c r="AR49" i="12"/>
  <c r="AR48" i="12"/>
  <c r="AR47" i="12"/>
  <c r="AR46" i="12"/>
  <c r="AR45" i="12"/>
  <c r="AR44" i="12"/>
  <c r="AR43" i="12"/>
  <c r="AR42" i="12"/>
  <c r="AR41" i="12"/>
  <c r="AR40" i="12"/>
  <c r="AR39" i="12"/>
  <c r="AR38" i="12"/>
  <c r="AR37" i="12"/>
  <c r="AR36" i="12"/>
  <c r="AR35" i="12"/>
  <c r="AR34" i="12"/>
  <c r="AR33" i="12"/>
  <c r="AR32" i="12"/>
  <c r="AR31" i="12"/>
  <c r="AR30" i="12"/>
  <c r="AR29" i="12"/>
  <c r="AR28" i="12"/>
  <c r="AR27" i="12"/>
  <c r="AR26" i="12"/>
  <c r="AR25" i="12"/>
  <c r="AR24" i="12"/>
  <c r="AR23" i="12"/>
  <c r="AR22" i="12"/>
  <c r="AR21" i="12"/>
  <c r="AR20" i="12"/>
  <c r="AR19" i="12"/>
  <c r="AR18" i="12"/>
  <c r="AR17" i="12"/>
  <c r="AR16" i="12"/>
  <c r="AO67" i="12"/>
  <c r="AO65" i="12"/>
  <c r="AO64" i="12"/>
  <c r="AO63" i="12"/>
  <c r="AO62" i="12"/>
  <c r="AO61" i="12"/>
  <c r="AO60" i="12"/>
  <c r="AO59" i="12"/>
  <c r="AO58" i="12"/>
  <c r="AO57" i="12"/>
  <c r="AO56" i="12"/>
  <c r="AO55" i="12"/>
  <c r="AO54" i="12"/>
  <c r="AO53" i="12"/>
  <c r="AO52" i="12"/>
  <c r="AO51" i="12"/>
  <c r="AO50" i="12"/>
  <c r="AO49" i="12"/>
  <c r="AO48" i="12"/>
  <c r="AO47" i="12"/>
  <c r="AO46" i="12"/>
  <c r="AO45" i="12"/>
  <c r="AO44" i="12"/>
  <c r="AO43" i="12"/>
  <c r="AO42" i="12"/>
  <c r="AO41" i="12"/>
  <c r="AO40" i="12"/>
  <c r="AO39" i="12"/>
  <c r="AO38" i="12"/>
  <c r="AO37" i="12"/>
  <c r="AO36" i="12"/>
  <c r="AO35" i="12"/>
  <c r="AO34" i="12"/>
  <c r="AO33" i="12"/>
  <c r="AO32" i="12"/>
  <c r="AO31" i="12"/>
  <c r="AO30" i="12"/>
  <c r="AO29" i="12"/>
  <c r="AO28" i="12"/>
  <c r="AO27" i="12"/>
  <c r="AO26" i="12"/>
  <c r="AO25" i="12"/>
  <c r="AO24" i="12"/>
  <c r="AO23" i="12"/>
  <c r="AO22" i="12"/>
  <c r="AO21" i="12"/>
  <c r="AO20" i="12"/>
  <c r="AO19" i="12"/>
  <c r="AO18" i="12"/>
  <c r="AO17" i="12"/>
  <c r="AO16" i="12"/>
  <c r="AN67" i="12"/>
  <c r="AN65" i="12"/>
  <c r="AN64" i="12"/>
  <c r="AN63" i="12"/>
  <c r="AN62" i="12"/>
  <c r="AN61" i="12"/>
  <c r="AN60" i="12"/>
  <c r="AN59" i="12"/>
  <c r="AN58" i="12"/>
  <c r="AN57" i="12"/>
  <c r="AN56" i="12"/>
  <c r="AN55" i="12"/>
  <c r="AN54" i="12"/>
  <c r="AN53" i="12"/>
  <c r="AN52" i="12"/>
  <c r="AN51" i="12"/>
  <c r="AN50" i="12"/>
  <c r="AN49" i="12"/>
  <c r="AN48" i="12"/>
  <c r="AN47" i="12"/>
  <c r="AN46" i="12"/>
  <c r="AN45" i="12"/>
  <c r="AN44" i="12"/>
  <c r="AN43" i="12"/>
  <c r="AN42" i="12"/>
  <c r="AN41" i="12"/>
  <c r="AN40" i="12"/>
  <c r="AN39" i="12"/>
  <c r="AN38" i="12"/>
  <c r="AN37" i="12"/>
  <c r="AN36" i="12"/>
  <c r="AN35" i="12"/>
  <c r="AN34" i="12"/>
  <c r="AN33" i="12"/>
  <c r="AN32" i="12"/>
  <c r="AN31" i="12"/>
  <c r="AN30" i="12"/>
  <c r="AN29" i="12"/>
  <c r="AN28" i="12"/>
  <c r="AN27" i="12"/>
  <c r="AN26" i="12"/>
  <c r="AN25" i="12"/>
  <c r="AN24" i="12"/>
  <c r="AN23" i="12"/>
  <c r="AN22" i="12"/>
  <c r="AN21" i="12"/>
  <c r="AN20" i="12"/>
  <c r="AN19" i="12"/>
  <c r="AN18" i="12"/>
  <c r="AN17" i="12"/>
  <c r="AN16" i="12"/>
  <c r="AI67" i="12"/>
  <c r="AI65" i="12"/>
  <c r="AI64" i="12"/>
  <c r="AI63" i="12"/>
  <c r="AI62" i="12"/>
  <c r="AI61" i="12"/>
  <c r="AI60" i="12"/>
  <c r="AI59" i="12"/>
  <c r="AI58" i="12"/>
  <c r="AI57" i="12"/>
  <c r="AI56" i="12"/>
  <c r="AI55" i="12"/>
  <c r="AI54" i="12"/>
  <c r="AI53" i="12"/>
  <c r="AI52" i="12"/>
  <c r="AI51" i="12"/>
  <c r="AI50" i="12"/>
  <c r="AI49" i="12"/>
  <c r="AI48" i="12"/>
  <c r="AI47" i="12"/>
  <c r="AI46" i="12"/>
  <c r="AI45" i="12"/>
  <c r="AI44" i="12"/>
  <c r="AI43" i="12"/>
  <c r="AI42" i="12"/>
  <c r="AI41" i="12"/>
  <c r="AI40" i="12"/>
  <c r="AI39" i="12"/>
  <c r="AI38" i="12"/>
  <c r="AI37" i="12"/>
  <c r="AI36" i="12"/>
  <c r="AI35" i="12"/>
  <c r="AI34" i="12"/>
  <c r="AI33" i="12"/>
  <c r="AI32" i="12"/>
  <c r="AI31" i="12"/>
  <c r="AI30" i="12"/>
  <c r="AI29" i="12"/>
  <c r="AI28" i="12"/>
  <c r="AI27" i="12"/>
  <c r="AI26" i="12"/>
  <c r="AI25" i="12"/>
  <c r="AI24" i="12"/>
  <c r="AI23" i="12"/>
  <c r="AI22" i="12"/>
  <c r="AI21" i="12"/>
  <c r="AI20" i="12"/>
  <c r="AI19" i="12"/>
  <c r="AI18" i="12"/>
  <c r="AI17" i="12"/>
  <c r="AI16" i="12"/>
  <c r="AI15" i="12"/>
  <c r="AI14" i="12"/>
  <c r="AI13" i="12"/>
  <c r="P67" i="12"/>
  <c r="Q67" i="12" s="1"/>
  <c r="P65" i="12"/>
  <c r="Q65" i="12" s="1"/>
  <c r="P64" i="12"/>
  <c r="Q64" i="12" s="1"/>
  <c r="P63" i="12"/>
  <c r="Q63" i="12" s="1"/>
  <c r="P62" i="12"/>
  <c r="Q62" i="12" s="1"/>
  <c r="P61" i="12"/>
  <c r="Q61" i="12" s="1"/>
  <c r="P60" i="12"/>
  <c r="Q60" i="12" s="1"/>
  <c r="P59" i="12"/>
  <c r="Q59" i="12" s="1"/>
  <c r="P58" i="12"/>
  <c r="Q58" i="12" s="1"/>
  <c r="P57" i="12"/>
  <c r="Q57" i="12" s="1"/>
  <c r="P56" i="12"/>
  <c r="Q56" i="12" s="1"/>
  <c r="P55" i="12"/>
  <c r="Q55" i="12" s="1"/>
  <c r="P54" i="12"/>
  <c r="Q54" i="12" s="1"/>
  <c r="P53" i="12"/>
  <c r="Q53" i="12" s="1"/>
  <c r="P52" i="12"/>
  <c r="Q52" i="12" s="1"/>
  <c r="P51" i="12"/>
  <c r="Q51" i="12" s="1"/>
  <c r="P50" i="12"/>
  <c r="Q50" i="12" s="1"/>
  <c r="P49" i="12"/>
  <c r="Q49" i="12" s="1"/>
  <c r="P48" i="12"/>
  <c r="Q48" i="12" s="1"/>
  <c r="P47" i="12"/>
  <c r="Q47" i="12" s="1"/>
  <c r="P46" i="12"/>
  <c r="Q46" i="12" s="1"/>
  <c r="P45" i="12"/>
  <c r="Q45" i="12" s="1"/>
  <c r="P44" i="12"/>
  <c r="Q44" i="12" s="1"/>
  <c r="P43" i="12"/>
  <c r="Q43" i="12" s="1"/>
  <c r="P42" i="12"/>
  <c r="Q42" i="12" s="1"/>
  <c r="P41" i="12"/>
  <c r="Q41" i="12" s="1"/>
  <c r="P40" i="12"/>
  <c r="Q40" i="12" s="1"/>
  <c r="P39" i="12"/>
  <c r="Q39" i="12" s="1"/>
  <c r="P38" i="12"/>
  <c r="Q38" i="12" s="1"/>
  <c r="P37" i="12"/>
  <c r="Q37" i="12" s="1"/>
  <c r="P36" i="12"/>
  <c r="Q36" i="12" s="1"/>
  <c r="P35" i="12"/>
  <c r="Q35" i="12" s="1"/>
  <c r="P34" i="12"/>
  <c r="Q34" i="12" s="1"/>
  <c r="P33" i="12"/>
  <c r="Q33" i="12" s="1"/>
  <c r="P32" i="12"/>
  <c r="Q32" i="12" s="1"/>
  <c r="P31" i="12"/>
  <c r="Q31" i="12" s="1"/>
  <c r="P30" i="12"/>
  <c r="Q30" i="12" s="1"/>
  <c r="P29" i="12"/>
  <c r="Q29" i="12" s="1"/>
  <c r="P28" i="12"/>
  <c r="Q28" i="12" s="1"/>
  <c r="P27" i="12"/>
  <c r="Q27" i="12" s="1"/>
  <c r="P26" i="12"/>
  <c r="Q26" i="12" s="1"/>
  <c r="P25" i="12"/>
  <c r="Q25" i="12" s="1"/>
  <c r="P24" i="12"/>
  <c r="Q24" i="12" s="1"/>
  <c r="P23" i="12"/>
  <c r="Q23" i="12" s="1"/>
  <c r="P22" i="12"/>
  <c r="Q22" i="12" s="1"/>
  <c r="P21" i="12"/>
  <c r="Q21" i="12" s="1"/>
  <c r="P20" i="12"/>
  <c r="Q20" i="12" s="1"/>
  <c r="P19" i="12"/>
  <c r="Q19" i="12" s="1"/>
  <c r="P18" i="12"/>
  <c r="Q18" i="12" s="1"/>
  <c r="P17" i="12"/>
  <c r="Q17" i="12" s="1"/>
  <c r="P16" i="12"/>
  <c r="Q16" i="12" s="1"/>
  <c r="P15" i="12"/>
  <c r="Q15" i="12" s="1"/>
  <c r="BK14" i="12"/>
  <c r="J14" i="1"/>
  <c r="G27" i="1" s="1"/>
  <c r="I27" i="1" s="1"/>
  <c r="BI13" i="12"/>
  <c r="BO13" i="12" s="1"/>
  <c r="X13" i="12" s="1"/>
  <c r="D131" i="3"/>
  <c r="I122" i="3"/>
  <c r="I123" i="3"/>
  <c r="D124" i="3"/>
  <c r="D125" i="3"/>
  <c r="I124" i="3"/>
  <c r="I125" i="3"/>
  <c r="BP61" i="12"/>
  <c r="Y61" i="12" s="1"/>
  <c r="BN61" i="12"/>
  <c r="BI61" i="12"/>
  <c r="BO61" i="12" s="1"/>
  <c r="X61" i="12" s="1"/>
  <c r="AD61" i="12"/>
  <c r="W61" i="12"/>
  <c r="S61" i="12"/>
  <c r="BP60" i="12"/>
  <c r="Y60" i="12" s="1"/>
  <c r="BN60" i="12"/>
  <c r="BI60" i="12"/>
  <c r="BO60" i="12" s="1"/>
  <c r="X60" i="12" s="1"/>
  <c r="AD60" i="12"/>
  <c r="W60" i="12"/>
  <c r="S60" i="12"/>
  <c r="BP59" i="12"/>
  <c r="Y59" i="12" s="1"/>
  <c r="BN59" i="12"/>
  <c r="BI59" i="12"/>
  <c r="BO59" i="12" s="1"/>
  <c r="X59" i="12" s="1"/>
  <c r="AD59" i="12"/>
  <c r="W59" i="12"/>
  <c r="S59" i="12"/>
  <c r="BP58" i="12"/>
  <c r="Y58" i="12" s="1"/>
  <c r="BN58" i="12"/>
  <c r="BI58" i="12"/>
  <c r="BO58" i="12" s="1"/>
  <c r="X58" i="12" s="1"/>
  <c r="AD58" i="12"/>
  <c r="W58" i="12"/>
  <c r="S58" i="12"/>
  <c r="BP57" i="12"/>
  <c r="Y57" i="12" s="1"/>
  <c r="BN57" i="12"/>
  <c r="BI57" i="12"/>
  <c r="BO57" i="12" s="1"/>
  <c r="X57" i="12" s="1"/>
  <c r="AD57" i="12"/>
  <c r="W57" i="12"/>
  <c r="S57" i="12"/>
  <c r="C4" i="1"/>
  <c r="BP67" i="12"/>
  <c r="Y67" i="12" s="1"/>
  <c r="BN67" i="12"/>
  <c r="BI67" i="12"/>
  <c r="BO67" i="12" s="1"/>
  <c r="X67" i="12" s="1"/>
  <c r="AD67" i="12"/>
  <c r="W67" i="12"/>
  <c r="S67" i="12"/>
  <c r="BP65" i="12"/>
  <c r="Y65" i="12" s="1"/>
  <c r="BN65" i="12"/>
  <c r="BI65" i="12"/>
  <c r="BO65" i="12" s="1"/>
  <c r="X65" i="12" s="1"/>
  <c r="AD65" i="12"/>
  <c r="W65" i="12"/>
  <c r="S65" i="12"/>
  <c r="BP64" i="12"/>
  <c r="Y64" i="12" s="1"/>
  <c r="BN64" i="12"/>
  <c r="BI64" i="12"/>
  <c r="BO64" i="12" s="1"/>
  <c r="X64" i="12" s="1"/>
  <c r="AD64" i="12"/>
  <c r="W64" i="12"/>
  <c r="S64" i="12"/>
  <c r="BP63" i="12"/>
  <c r="Y63" i="12" s="1"/>
  <c r="BN63" i="12"/>
  <c r="BI63" i="12"/>
  <c r="BO63" i="12" s="1"/>
  <c r="X63" i="12" s="1"/>
  <c r="AD63" i="12"/>
  <c r="W63" i="12"/>
  <c r="S63" i="12"/>
  <c r="BP62" i="12"/>
  <c r="Y62" i="12" s="1"/>
  <c r="BN62" i="12"/>
  <c r="BI62" i="12"/>
  <c r="BO62" i="12" s="1"/>
  <c r="X62" i="12" s="1"/>
  <c r="AD62" i="12"/>
  <c r="W62" i="12"/>
  <c r="S62" i="12"/>
  <c r="BP56" i="12"/>
  <c r="Y56" i="12" s="1"/>
  <c r="BN56" i="12"/>
  <c r="BI56" i="12"/>
  <c r="BO56" i="12" s="1"/>
  <c r="X56" i="12" s="1"/>
  <c r="AD56" i="12"/>
  <c r="W56" i="12"/>
  <c r="S56" i="12"/>
  <c r="BP55" i="12"/>
  <c r="Y55" i="12" s="1"/>
  <c r="BN55" i="12"/>
  <c r="BI55" i="12"/>
  <c r="BO55" i="12" s="1"/>
  <c r="X55" i="12" s="1"/>
  <c r="AD55" i="12"/>
  <c r="W55" i="12"/>
  <c r="S55" i="12"/>
  <c r="BP54" i="12"/>
  <c r="Y54" i="12" s="1"/>
  <c r="BN54" i="12"/>
  <c r="BI54" i="12"/>
  <c r="BO54" i="12" s="1"/>
  <c r="X54" i="12" s="1"/>
  <c r="AD54" i="12"/>
  <c r="W54" i="12"/>
  <c r="S54" i="12"/>
  <c r="BP53" i="12"/>
  <c r="Y53" i="12" s="1"/>
  <c r="BN53" i="12"/>
  <c r="BI53" i="12"/>
  <c r="BO53" i="12" s="1"/>
  <c r="X53" i="12" s="1"/>
  <c r="AD53" i="12"/>
  <c r="W53" i="12"/>
  <c r="S53" i="12"/>
  <c r="BP52" i="12"/>
  <c r="Y52" i="12" s="1"/>
  <c r="BN52" i="12"/>
  <c r="BI52" i="12"/>
  <c r="BO52" i="12" s="1"/>
  <c r="X52" i="12" s="1"/>
  <c r="AD52" i="12"/>
  <c r="W52" i="12"/>
  <c r="S52" i="12"/>
  <c r="BP51" i="12"/>
  <c r="Y51" i="12" s="1"/>
  <c r="BN51" i="12"/>
  <c r="BI51" i="12"/>
  <c r="BO51" i="12" s="1"/>
  <c r="X51" i="12" s="1"/>
  <c r="AD51" i="12"/>
  <c r="W51" i="12"/>
  <c r="S51" i="12"/>
  <c r="BP50" i="12"/>
  <c r="Y50" i="12" s="1"/>
  <c r="BN50" i="12"/>
  <c r="BI50" i="12"/>
  <c r="BO50" i="12" s="1"/>
  <c r="X50" i="12" s="1"/>
  <c r="AD50" i="12"/>
  <c r="W50" i="12"/>
  <c r="S50" i="12"/>
  <c r="BP49" i="12"/>
  <c r="Y49" i="12" s="1"/>
  <c r="BN49" i="12"/>
  <c r="BI49" i="12"/>
  <c r="BO49" i="12" s="1"/>
  <c r="X49" i="12" s="1"/>
  <c r="AD49" i="12"/>
  <c r="W49" i="12"/>
  <c r="S49" i="12"/>
  <c r="U49" i="12" s="1"/>
  <c r="BP48" i="12"/>
  <c r="Y48" i="12" s="1"/>
  <c r="BN48" i="12"/>
  <c r="BI48" i="12"/>
  <c r="BO48" i="12" s="1"/>
  <c r="X48" i="12" s="1"/>
  <c r="AD48" i="12"/>
  <c r="W48" i="12"/>
  <c r="S48" i="12"/>
  <c r="BP47" i="12"/>
  <c r="Y47" i="12" s="1"/>
  <c r="BN47" i="12"/>
  <c r="BI47" i="12"/>
  <c r="BO47" i="12" s="1"/>
  <c r="X47" i="12" s="1"/>
  <c r="AD47" i="12"/>
  <c r="W47" i="12"/>
  <c r="S47" i="12"/>
  <c r="BP46" i="12"/>
  <c r="Y46" i="12" s="1"/>
  <c r="BN46" i="12"/>
  <c r="BI46" i="12"/>
  <c r="BO46" i="12" s="1"/>
  <c r="X46" i="12" s="1"/>
  <c r="AD46" i="12"/>
  <c r="W46" i="12"/>
  <c r="S46" i="12"/>
  <c r="BP45" i="12"/>
  <c r="Y45" i="12" s="1"/>
  <c r="BN45" i="12"/>
  <c r="BI45" i="12"/>
  <c r="BO45" i="12" s="1"/>
  <c r="X45" i="12" s="1"/>
  <c r="AD45" i="12"/>
  <c r="W45" i="12"/>
  <c r="S45" i="12"/>
  <c r="BP44" i="12"/>
  <c r="Y44" i="12" s="1"/>
  <c r="BN44" i="12"/>
  <c r="BI44" i="12"/>
  <c r="BO44" i="12" s="1"/>
  <c r="X44" i="12" s="1"/>
  <c r="AD44" i="12"/>
  <c r="W44" i="12"/>
  <c r="S44" i="12"/>
  <c r="BP43" i="12"/>
  <c r="Y43" i="12" s="1"/>
  <c r="BN43" i="12"/>
  <c r="BI43" i="12"/>
  <c r="BO43" i="12" s="1"/>
  <c r="X43" i="12" s="1"/>
  <c r="AD43" i="12"/>
  <c r="W43" i="12"/>
  <c r="S43" i="12"/>
  <c r="BP42" i="12"/>
  <c r="Y42" i="12" s="1"/>
  <c r="BN42" i="12"/>
  <c r="BI42" i="12"/>
  <c r="BO42" i="12" s="1"/>
  <c r="X42" i="12" s="1"/>
  <c r="AD42" i="12"/>
  <c r="W42" i="12"/>
  <c r="S42" i="12"/>
  <c r="BP41" i="12"/>
  <c r="Y41" i="12" s="1"/>
  <c r="BN41" i="12"/>
  <c r="BI41" i="12"/>
  <c r="BO41" i="12" s="1"/>
  <c r="X41" i="12" s="1"/>
  <c r="AD41" i="12"/>
  <c r="W41" i="12"/>
  <c r="S41" i="12"/>
  <c r="BP40" i="12"/>
  <c r="Y40" i="12" s="1"/>
  <c r="BN40" i="12"/>
  <c r="BI40" i="12"/>
  <c r="BO40" i="12" s="1"/>
  <c r="X40" i="12" s="1"/>
  <c r="AD40" i="12"/>
  <c r="W40" i="12"/>
  <c r="S40" i="12"/>
  <c r="BP39" i="12"/>
  <c r="Y39" i="12" s="1"/>
  <c r="BN39" i="12"/>
  <c r="BI39" i="12"/>
  <c r="BO39" i="12" s="1"/>
  <c r="X39" i="12" s="1"/>
  <c r="AD39" i="12"/>
  <c r="W39" i="12"/>
  <c r="S39" i="12"/>
  <c r="BP38" i="12"/>
  <c r="Y38" i="12" s="1"/>
  <c r="BN38" i="12"/>
  <c r="BI38" i="12"/>
  <c r="BO38" i="12" s="1"/>
  <c r="X38" i="12" s="1"/>
  <c r="AD38" i="12"/>
  <c r="W38" i="12"/>
  <c r="S38" i="12"/>
  <c r="BP37" i="12"/>
  <c r="Y37" i="12" s="1"/>
  <c r="BN37" i="12"/>
  <c r="BI37" i="12"/>
  <c r="BO37" i="12" s="1"/>
  <c r="X37" i="12" s="1"/>
  <c r="AD37" i="12"/>
  <c r="W37" i="12"/>
  <c r="S37" i="12"/>
  <c r="BP36" i="12"/>
  <c r="Y36" i="12" s="1"/>
  <c r="BN36" i="12"/>
  <c r="BI36" i="12"/>
  <c r="BO36" i="12" s="1"/>
  <c r="X36" i="12" s="1"/>
  <c r="AD36" i="12"/>
  <c r="W36" i="12"/>
  <c r="S36" i="12"/>
  <c r="BP35" i="12"/>
  <c r="Y35" i="12" s="1"/>
  <c r="BN35" i="12"/>
  <c r="BI35" i="12"/>
  <c r="BO35" i="12" s="1"/>
  <c r="X35" i="12" s="1"/>
  <c r="AD35" i="12"/>
  <c r="W35" i="12"/>
  <c r="S35" i="12"/>
  <c r="BP34" i="12"/>
  <c r="Y34" i="12" s="1"/>
  <c r="BN34" i="12"/>
  <c r="BI34" i="12"/>
  <c r="BO34" i="12" s="1"/>
  <c r="X34" i="12" s="1"/>
  <c r="AD34" i="12"/>
  <c r="W34" i="12"/>
  <c r="S34" i="12"/>
  <c r="BP33" i="12"/>
  <c r="Y33" i="12" s="1"/>
  <c r="BN33" i="12"/>
  <c r="BI33" i="12"/>
  <c r="BO33" i="12" s="1"/>
  <c r="X33" i="12" s="1"/>
  <c r="AD33" i="12"/>
  <c r="W33" i="12"/>
  <c r="S33" i="12"/>
  <c r="BP32" i="12"/>
  <c r="Y32" i="12" s="1"/>
  <c r="BN32" i="12"/>
  <c r="BI32" i="12"/>
  <c r="BO32" i="12" s="1"/>
  <c r="X32" i="12" s="1"/>
  <c r="AD32" i="12"/>
  <c r="W32" i="12"/>
  <c r="S32" i="12"/>
  <c r="BP31" i="12"/>
  <c r="Y31" i="12" s="1"/>
  <c r="BN31" i="12"/>
  <c r="BI31" i="12"/>
  <c r="BO31" i="12" s="1"/>
  <c r="X31" i="12" s="1"/>
  <c r="AD31" i="12"/>
  <c r="W31" i="12"/>
  <c r="S31" i="12"/>
  <c r="BP30" i="12"/>
  <c r="Y30" i="12" s="1"/>
  <c r="BN30" i="12"/>
  <c r="BI30" i="12"/>
  <c r="BO30" i="12" s="1"/>
  <c r="X30" i="12" s="1"/>
  <c r="AD30" i="12"/>
  <c r="W30" i="12"/>
  <c r="S30" i="12"/>
  <c r="BP29" i="12"/>
  <c r="Y29" i="12" s="1"/>
  <c r="BN29" i="12"/>
  <c r="BI29" i="12"/>
  <c r="BO29" i="12" s="1"/>
  <c r="X29" i="12" s="1"/>
  <c r="AD29" i="12"/>
  <c r="W29" i="12"/>
  <c r="S29" i="12"/>
  <c r="BP28" i="12"/>
  <c r="Y28" i="12" s="1"/>
  <c r="BN28" i="12"/>
  <c r="BI28" i="12"/>
  <c r="BO28" i="12" s="1"/>
  <c r="X28" i="12" s="1"/>
  <c r="AD28" i="12"/>
  <c r="W28" i="12"/>
  <c r="S28" i="12"/>
  <c r="BP27" i="12"/>
  <c r="Y27" i="12" s="1"/>
  <c r="BN27" i="12"/>
  <c r="BI27" i="12"/>
  <c r="BO27" i="12" s="1"/>
  <c r="X27" i="12" s="1"/>
  <c r="AD27" i="12"/>
  <c r="W27" i="12"/>
  <c r="S27" i="12"/>
  <c r="BP26" i="12"/>
  <c r="Y26" i="12" s="1"/>
  <c r="BN26" i="12"/>
  <c r="BI26" i="12"/>
  <c r="BO26" i="12" s="1"/>
  <c r="X26" i="12" s="1"/>
  <c r="AD26" i="12"/>
  <c r="W26" i="12"/>
  <c r="S26" i="12"/>
  <c r="BP25" i="12"/>
  <c r="Y25" i="12" s="1"/>
  <c r="BN25" i="12"/>
  <c r="BI25" i="12"/>
  <c r="BO25" i="12" s="1"/>
  <c r="X25" i="12" s="1"/>
  <c r="AD25" i="12"/>
  <c r="W25" i="12"/>
  <c r="S25" i="12"/>
  <c r="BP24" i="12"/>
  <c r="Y24" i="12" s="1"/>
  <c r="BN24" i="12"/>
  <c r="BI24" i="12"/>
  <c r="BO24" i="12" s="1"/>
  <c r="X24" i="12" s="1"/>
  <c r="AD24" i="12"/>
  <c r="W24" i="12"/>
  <c r="S24" i="12"/>
  <c r="BP23" i="12"/>
  <c r="Y23" i="12" s="1"/>
  <c r="BN23" i="12"/>
  <c r="BI23" i="12"/>
  <c r="BO23" i="12" s="1"/>
  <c r="X23" i="12" s="1"/>
  <c r="AD23" i="12"/>
  <c r="W23" i="12"/>
  <c r="S23" i="12"/>
  <c r="U23" i="12" s="1"/>
  <c r="BP22" i="12"/>
  <c r="Y22" i="12" s="1"/>
  <c r="BN22" i="12"/>
  <c r="BI22" i="12"/>
  <c r="BO22" i="12" s="1"/>
  <c r="X22" i="12" s="1"/>
  <c r="AD22" i="12"/>
  <c r="W22" i="12"/>
  <c r="S22" i="12"/>
  <c r="BP21" i="12"/>
  <c r="Y21" i="12" s="1"/>
  <c r="BN21" i="12"/>
  <c r="BI21" i="12"/>
  <c r="BO21" i="12" s="1"/>
  <c r="X21" i="12" s="1"/>
  <c r="AD21" i="12"/>
  <c r="W21" i="12"/>
  <c r="S21" i="12"/>
  <c r="V21" i="12" s="1"/>
  <c r="BP20" i="12"/>
  <c r="Y20" i="12" s="1"/>
  <c r="BN20" i="12"/>
  <c r="BI20" i="12"/>
  <c r="BO20" i="12" s="1"/>
  <c r="X20" i="12" s="1"/>
  <c r="AD20" i="12"/>
  <c r="W20" i="12"/>
  <c r="S20" i="12"/>
  <c r="BP19" i="12"/>
  <c r="Y19" i="12" s="1"/>
  <c r="BN19" i="12"/>
  <c r="BI19" i="12"/>
  <c r="BO19" i="12" s="1"/>
  <c r="X19" i="12" s="1"/>
  <c r="AD19" i="12"/>
  <c r="W19" i="12"/>
  <c r="S19" i="12"/>
  <c r="V19" i="12" s="1"/>
  <c r="BP18" i="12"/>
  <c r="Y18" i="12" s="1"/>
  <c r="BN18" i="12"/>
  <c r="BI18" i="12"/>
  <c r="BO18" i="12" s="1"/>
  <c r="X18" i="12" s="1"/>
  <c r="AD18" i="12"/>
  <c r="W18" i="12"/>
  <c r="S18" i="12"/>
  <c r="BP17" i="12"/>
  <c r="Y17" i="12" s="1"/>
  <c r="BN17" i="12"/>
  <c r="BI17" i="12"/>
  <c r="BO17" i="12" s="1"/>
  <c r="X17" i="12" s="1"/>
  <c r="AD17" i="12"/>
  <c r="W17" i="12"/>
  <c r="S17" i="12"/>
  <c r="U17" i="12" s="1"/>
  <c r="BP16" i="12"/>
  <c r="Y16" i="12" s="1"/>
  <c r="BN16" i="12"/>
  <c r="BO16" i="12"/>
  <c r="X16" i="12" s="1"/>
  <c r="AD16" i="12"/>
  <c r="W16" i="12"/>
  <c r="S16" i="12"/>
  <c r="Y15" i="12"/>
  <c r="BI15" i="12"/>
  <c r="AD15" i="12"/>
  <c r="W15" i="12"/>
  <c r="S15" i="12"/>
  <c r="W14" i="12"/>
  <c r="W13" i="12"/>
  <c r="BP14" i="12"/>
  <c r="Y14" i="12" s="1"/>
  <c r="BN14" i="12"/>
  <c r="BN13" i="12"/>
  <c r="S14" i="12"/>
  <c r="BI14" i="12"/>
  <c r="BO14" i="12" s="1"/>
  <c r="X14" i="12" s="1"/>
  <c r="BP13" i="12"/>
  <c r="Y13" i="12" s="1"/>
  <c r="BF10" i="12"/>
  <c r="CD14" i="12" s="1"/>
  <c r="C62" i="3"/>
  <c r="C68" i="3" s="1"/>
  <c r="I23" i="1"/>
  <c r="I22" i="1"/>
  <c r="G28" i="1"/>
  <c r="I28" i="1" s="1"/>
  <c r="G61" i="3"/>
  <c r="H61" i="3" s="1"/>
  <c r="G58" i="3"/>
  <c r="G59" i="3" s="1"/>
  <c r="G25" i="1"/>
  <c r="I26" i="1"/>
  <c r="D56" i="3"/>
  <c r="D68" i="3" s="1"/>
  <c r="D81" i="3"/>
  <c r="D79" i="3"/>
  <c r="N27" i="3"/>
  <c r="P26" i="3"/>
  <c r="I16" i="1" s="1"/>
  <c r="I18" i="1" s="1"/>
  <c r="P30" i="3"/>
  <c r="O30" i="3"/>
  <c r="N30" i="3"/>
  <c r="M30" i="3"/>
  <c r="L30" i="3"/>
  <c r="K30" i="3"/>
  <c r="J30" i="3"/>
  <c r="I30" i="3"/>
  <c r="H30" i="3"/>
  <c r="G30" i="3"/>
  <c r="F30" i="3"/>
  <c r="E30" i="3"/>
  <c r="D30" i="3"/>
  <c r="C30" i="3"/>
  <c r="B30" i="3"/>
  <c r="P29" i="3"/>
  <c r="O29" i="3"/>
  <c r="N29" i="3"/>
  <c r="M29" i="3"/>
  <c r="L29" i="3"/>
  <c r="K29" i="3"/>
  <c r="J29" i="3"/>
  <c r="I29" i="3"/>
  <c r="H29" i="3"/>
  <c r="G29" i="3"/>
  <c r="F29" i="3"/>
  <c r="E29" i="3"/>
  <c r="D29" i="3"/>
  <c r="C29" i="3"/>
  <c r="B29" i="3"/>
  <c r="P28" i="3"/>
  <c r="O28" i="3"/>
  <c r="N28" i="3"/>
  <c r="M28" i="3"/>
  <c r="L28" i="3"/>
  <c r="K28" i="3"/>
  <c r="J28" i="3"/>
  <c r="I28" i="3"/>
  <c r="H28" i="3"/>
  <c r="G28" i="3"/>
  <c r="F28" i="3"/>
  <c r="E28" i="3"/>
  <c r="D28" i="3"/>
  <c r="C28" i="3"/>
  <c r="B28" i="3"/>
  <c r="P27" i="3"/>
  <c r="O27" i="3"/>
  <c r="M27" i="3"/>
  <c r="F32" i="8" s="1"/>
  <c r="F36" i="8" s="1"/>
  <c r="L27" i="3"/>
  <c r="K27" i="3"/>
  <c r="J27" i="3"/>
  <c r="I27" i="3"/>
  <c r="H27" i="3"/>
  <c r="G27" i="3"/>
  <c r="F27" i="3"/>
  <c r="E27" i="3"/>
  <c r="D27" i="3"/>
  <c r="C27" i="3"/>
  <c r="B27" i="3"/>
  <c r="B46" i="3" s="1"/>
  <c r="V46" i="3" s="1"/>
  <c r="O26" i="3"/>
  <c r="N26" i="3"/>
  <c r="M26" i="3"/>
  <c r="L26" i="3"/>
  <c r="K26" i="3"/>
  <c r="F15" i="7" s="1"/>
  <c r="F17" i="7" s="1"/>
  <c r="J26" i="3"/>
  <c r="I26" i="3"/>
  <c r="H15" i="9" s="1"/>
  <c r="H26" i="3"/>
  <c r="G26" i="3"/>
  <c r="F26" i="3"/>
  <c r="E26" i="3"/>
  <c r="D26" i="3"/>
  <c r="C26" i="3"/>
  <c r="B26" i="3"/>
  <c r="B45" i="3" s="1"/>
  <c r="V45" i="3" s="1"/>
  <c r="D90" i="3"/>
  <c r="D94" i="3"/>
  <c r="AE66" i="12" s="1"/>
  <c r="Q32" i="1"/>
  <c r="Q33" i="1"/>
  <c r="Q34" i="1"/>
  <c r="Q35" i="1"/>
  <c r="G9" i="1"/>
  <c r="F4" i="7"/>
  <c r="F4" i="8"/>
  <c r="G4" i="9"/>
  <c r="C78" i="3"/>
  <c r="D78" i="3" s="1"/>
  <c r="H31" i="9"/>
  <c r="H34" i="9"/>
  <c r="O57" i="7"/>
  <c r="H58" i="9"/>
  <c r="H60" i="9" s="1"/>
  <c r="H62" i="9" s="1"/>
  <c r="I25" i="9"/>
  <c r="I27" i="9"/>
  <c r="H33" i="9" s="1"/>
  <c r="H35" i="9" s="1"/>
  <c r="D91" i="3"/>
  <c r="D96" i="3"/>
  <c r="F55" i="3"/>
  <c r="G62" i="3"/>
  <c r="H62" i="3" s="1"/>
  <c r="V6" i="3"/>
  <c r="V7" i="3"/>
  <c r="V8" i="3"/>
  <c r="V9" i="3"/>
  <c r="V10" i="3"/>
  <c r="V11" i="3"/>
  <c r="V12" i="3"/>
  <c r="V13" i="3"/>
  <c r="V14" i="3"/>
  <c r="V15" i="3"/>
  <c r="V16" i="3"/>
  <c r="V17" i="3"/>
  <c r="V18" i="3"/>
  <c r="V19" i="3"/>
  <c r="V20" i="3"/>
  <c r="V21" i="3"/>
  <c r="V22" i="3"/>
  <c r="V23" i="3"/>
  <c r="V24" i="3"/>
  <c r="V25" i="3"/>
  <c r="P72" i="7"/>
  <c r="V31" i="3"/>
  <c r="V32" i="3"/>
  <c r="V33" i="3"/>
  <c r="V34" i="3"/>
  <c r="V35" i="3"/>
  <c r="V36" i="3"/>
  <c r="V37" i="3"/>
  <c r="V38" i="3"/>
  <c r="V39" i="3"/>
  <c r="V40" i="3"/>
  <c r="V41" i="3"/>
  <c r="V42" i="3"/>
  <c r="V43" i="3"/>
  <c r="V44" i="3"/>
  <c r="B47" i="3"/>
  <c r="C47" i="3"/>
  <c r="D47" i="3"/>
  <c r="E47" i="3"/>
  <c r="F47" i="3"/>
  <c r="G47" i="3"/>
  <c r="H47" i="3"/>
  <c r="B48" i="3"/>
  <c r="C48" i="3"/>
  <c r="D48" i="3"/>
  <c r="E48" i="3"/>
  <c r="F48" i="3"/>
  <c r="G48" i="3"/>
  <c r="H48" i="3"/>
  <c r="I48" i="3"/>
  <c r="B49" i="3"/>
  <c r="C49" i="3"/>
  <c r="D49" i="3"/>
  <c r="E49" i="3"/>
  <c r="F49" i="3"/>
  <c r="G49" i="3"/>
  <c r="H49" i="3"/>
  <c r="H57" i="3"/>
  <c r="C80" i="3"/>
  <c r="D80" i="3" s="1"/>
  <c r="N57" i="7"/>
  <c r="P57" i="7"/>
  <c r="O58" i="7"/>
  <c r="N58" i="7"/>
  <c r="P58" i="7"/>
  <c r="O59" i="7"/>
  <c r="N59" i="7"/>
  <c r="P59" i="7"/>
  <c r="O60" i="7"/>
  <c r="N60" i="7"/>
  <c r="P60" i="7"/>
  <c r="O61" i="7"/>
  <c r="N61" i="7"/>
  <c r="P61" i="7"/>
  <c r="O62" i="7"/>
  <c r="N62" i="7"/>
  <c r="P62" i="7"/>
  <c r="O63" i="7"/>
  <c r="N63" i="7"/>
  <c r="P63" i="7"/>
  <c r="O64" i="7"/>
  <c r="N64" i="7"/>
  <c r="P64" i="7"/>
  <c r="O65" i="7"/>
  <c r="N65" i="7"/>
  <c r="P65" i="7"/>
  <c r="O66" i="7"/>
  <c r="N66" i="7"/>
  <c r="P66" i="7"/>
  <c r="O67" i="7"/>
  <c r="N67" i="7"/>
  <c r="P67" i="7"/>
  <c r="O68" i="7"/>
  <c r="N68" i="7"/>
  <c r="P68" i="7"/>
  <c r="O69" i="7"/>
  <c r="N69" i="7"/>
  <c r="P69" i="7"/>
  <c r="O70" i="7"/>
  <c r="N70" i="7"/>
  <c r="P70" i="7"/>
  <c r="O71" i="7"/>
  <c r="N71" i="7"/>
  <c r="P71" i="7"/>
  <c r="O72" i="7"/>
  <c r="N72" i="7"/>
  <c r="O73" i="7"/>
  <c r="N73" i="7"/>
  <c r="P73" i="7"/>
  <c r="O74" i="7"/>
  <c r="N74" i="7"/>
  <c r="P74" i="7"/>
  <c r="O75" i="7"/>
  <c r="N75" i="7"/>
  <c r="P75" i="7"/>
  <c r="O76" i="7"/>
  <c r="N76" i="7"/>
  <c r="P76" i="7"/>
  <c r="F42" i="7"/>
  <c r="F45" i="7" s="1"/>
  <c r="F48" i="7" s="1"/>
  <c r="F45" i="8"/>
  <c r="R26" i="8"/>
  <c r="L4" i="8"/>
  <c r="M4" i="8"/>
  <c r="P4" i="8"/>
  <c r="O4" i="8"/>
  <c r="L5" i="8"/>
  <c r="M5" i="8"/>
  <c r="P5" i="8"/>
  <c r="O5" i="8"/>
  <c r="L6" i="8"/>
  <c r="M6" i="8"/>
  <c r="P6" i="8"/>
  <c r="O6" i="8"/>
  <c r="L7" i="8"/>
  <c r="M7" i="8"/>
  <c r="P7" i="8"/>
  <c r="O7" i="8"/>
  <c r="L8" i="8"/>
  <c r="M8" i="8"/>
  <c r="P8" i="8"/>
  <c r="O8" i="8"/>
  <c r="L9" i="8"/>
  <c r="M9" i="8"/>
  <c r="P9" i="8"/>
  <c r="O9" i="8"/>
  <c r="L10" i="8"/>
  <c r="M10" i="8"/>
  <c r="P10" i="8"/>
  <c r="O10" i="8"/>
  <c r="L11" i="8"/>
  <c r="M11" i="8"/>
  <c r="P11" i="8"/>
  <c r="O11" i="8"/>
  <c r="L12" i="8"/>
  <c r="M12" i="8"/>
  <c r="P12" i="8"/>
  <c r="O12" i="8"/>
  <c r="L13" i="8"/>
  <c r="M13" i="8"/>
  <c r="P13" i="8"/>
  <c r="O13" i="8"/>
  <c r="L14" i="8"/>
  <c r="M14" i="8"/>
  <c r="P14" i="8"/>
  <c r="O14" i="8"/>
  <c r="L15" i="8"/>
  <c r="M15" i="8"/>
  <c r="P15" i="8"/>
  <c r="O15" i="8"/>
  <c r="L16" i="8"/>
  <c r="M16" i="8"/>
  <c r="P16" i="8"/>
  <c r="O16" i="8"/>
  <c r="L17" i="8"/>
  <c r="M17" i="8"/>
  <c r="P17" i="8"/>
  <c r="O17" i="8"/>
  <c r="L18" i="8"/>
  <c r="M18" i="8"/>
  <c r="P18" i="8"/>
  <c r="O18" i="8"/>
  <c r="L19" i="8"/>
  <c r="M19" i="8"/>
  <c r="P19" i="8"/>
  <c r="O19" i="8"/>
  <c r="L20" i="8"/>
  <c r="M20" i="8"/>
  <c r="P20" i="8"/>
  <c r="O20" i="8"/>
  <c r="L21" i="8"/>
  <c r="M21" i="8"/>
  <c r="P21" i="8"/>
  <c r="O21" i="8"/>
  <c r="L22" i="8"/>
  <c r="M22" i="8"/>
  <c r="P22" i="8"/>
  <c r="O22" i="8"/>
  <c r="L23" i="8"/>
  <c r="M23" i="8"/>
  <c r="P23" i="8"/>
  <c r="O23" i="8"/>
  <c r="L24" i="8"/>
  <c r="M24" i="8"/>
  <c r="P24" i="8"/>
  <c r="O24" i="8"/>
  <c r="L25" i="8"/>
  <c r="M25" i="8"/>
  <c r="P25" i="8"/>
  <c r="O25" i="8"/>
  <c r="L26" i="8"/>
  <c r="M26" i="8"/>
  <c r="P26" i="8"/>
  <c r="O26" i="8"/>
  <c r="L27" i="8"/>
  <c r="M27" i="8"/>
  <c r="P27" i="8"/>
  <c r="O27" i="8"/>
  <c r="L28" i="8"/>
  <c r="M28" i="8"/>
  <c r="P28" i="8"/>
  <c r="O28" i="8"/>
  <c r="L29" i="8"/>
  <c r="M29" i="8"/>
  <c r="P29" i="8"/>
  <c r="L30" i="8"/>
  <c r="M30" i="8"/>
  <c r="P30" i="8"/>
  <c r="M31" i="8"/>
  <c r="P31" i="8"/>
  <c r="S31" i="8"/>
  <c r="M32" i="8"/>
  <c r="P32" i="8"/>
  <c r="M33" i="8"/>
  <c r="P33" i="8"/>
  <c r="M34" i="8"/>
  <c r="P34" i="8"/>
  <c r="S34" i="8"/>
  <c r="M35" i="8"/>
  <c r="P35" i="8"/>
  <c r="M36" i="8"/>
  <c r="P36" i="8"/>
  <c r="M37" i="8"/>
  <c r="P37" i="8"/>
  <c r="M38" i="8"/>
  <c r="P38" i="8"/>
  <c r="S38" i="8"/>
  <c r="S46" i="8"/>
  <c r="O29" i="8"/>
  <c r="O30" i="8"/>
  <c r="L31" i="8"/>
  <c r="O31" i="8"/>
  <c r="L32" i="8"/>
  <c r="O32" i="8"/>
  <c r="L33" i="8"/>
  <c r="O33" i="8"/>
  <c r="L34" i="8"/>
  <c r="O34" i="8"/>
  <c r="L35" i="8"/>
  <c r="O35" i="8"/>
  <c r="L36" i="8"/>
  <c r="O36" i="8"/>
  <c r="L37" i="8"/>
  <c r="O37" i="8"/>
  <c r="L38" i="8"/>
  <c r="O38" i="8"/>
  <c r="L39" i="8"/>
  <c r="M39" i="8"/>
  <c r="O39" i="8"/>
  <c r="P39" i="8"/>
  <c r="L40" i="8"/>
  <c r="M40" i="8"/>
  <c r="O40" i="8"/>
  <c r="P40" i="8"/>
  <c r="L41" i="8"/>
  <c r="M41" i="8"/>
  <c r="O41" i="8"/>
  <c r="P41" i="8"/>
  <c r="L42" i="8"/>
  <c r="M42" i="8"/>
  <c r="O42" i="8"/>
  <c r="P42" i="8"/>
  <c r="L43" i="8"/>
  <c r="M43" i="8"/>
  <c r="O43" i="8"/>
  <c r="P43" i="8"/>
  <c r="L44" i="8"/>
  <c r="M44" i="8"/>
  <c r="O44" i="8"/>
  <c r="P44" i="8"/>
  <c r="L45" i="8"/>
  <c r="M45" i="8"/>
  <c r="O45" i="8"/>
  <c r="P45" i="8"/>
  <c r="L46" i="8"/>
  <c r="M46" i="8"/>
  <c r="O46" i="8"/>
  <c r="P46" i="8"/>
  <c r="L47" i="8"/>
  <c r="M47" i="8"/>
  <c r="O47" i="8"/>
  <c r="P47" i="8"/>
  <c r="L48" i="8"/>
  <c r="M48" i="8"/>
  <c r="O48" i="8"/>
  <c r="P48" i="8"/>
  <c r="L49" i="8"/>
  <c r="M49" i="8"/>
  <c r="O49" i="8"/>
  <c r="P49" i="8"/>
  <c r="H25" i="9"/>
  <c r="H30" i="9" s="1"/>
  <c r="I28" i="9"/>
  <c r="R39" i="8"/>
  <c r="S49" i="8"/>
  <c r="S41" i="8"/>
  <c r="S26" i="8"/>
  <c r="R44" i="8"/>
  <c r="BO15" i="12"/>
  <c r="X15" i="12" s="1"/>
  <c r="P14" i="12"/>
  <c r="Q14" i="12" s="1"/>
  <c r="BJ60" i="12"/>
  <c r="BJ57" i="12"/>
  <c r="BJ67" i="12"/>
  <c r="BJ65" i="12"/>
  <c r="BJ63" i="12"/>
  <c r="BJ56" i="12"/>
  <c r="BJ54" i="12"/>
  <c r="BJ52" i="12"/>
  <c r="BJ50" i="12"/>
  <c r="BJ48" i="12"/>
  <c r="BJ46" i="12"/>
  <c r="BJ44" i="12"/>
  <c r="BJ42" i="12"/>
  <c r="BJ40" i="12"/>
  <c r="BJ38" i="12"/>
  <c r="BJ36" i="12"/>
  <c r="BJ34" i="12"/>
  <c r="BJ32" i="12"/>
  <c r="BJ30" i="12"/>
  <c r="BJ28" i="12"/>
  <c r="BJ26" i="12"/>
  <c r="BJ24" i="12"/>
  <c r="BJ22" i="12"/>
  <c r="BJ20" i="12"/>
  <c r="BJ18" i="12"/>
  <c r="BJ61" i="12"/>
  <c r="BJ59" i="12"/>
  <c r="BJ58" i="12"/>
  <c r="BJ64" i="12"/>
  <c r="BJ62" i="12"/>
  <c r="BJ55" i="12"/>
  <c r="BJ53" i="12"/>
  <c r="BJ51" i="12"/>
  <c r="BJ49" i="12"/>
  <c r="BJ47" i="12"/>
  <c r="BJ45" i="12"/>
  <c r="BJ43" i="12"/>
  <c r="BJ41" i="12"/>
  <c r="BJ39" i="12"/>
  <c r="BJ37" i="12"/>
  <c r="BJ35" i="12"/>
  <c r="BJ33" i="12"/>
  <c r="BJ31" i="12"/>
  <c r="BJ29" i="12"/>
  <c r="BJ27" i="12"/>
  <c r="BJ25" i="12"/>
  <c r="BJ23" i="12"/>
  <c r="BJ21" i="12"/>
  <c r="BJ19" i="12"/>
  <c r="BJ17" i="12"/>
  <c r="BJ15" i="12"/>
  <c r="AE14" i="12"/>
  <c r="AE22" i="12"/>
  <c r="AE30" i="12"/>
  <c r="AE38" i="12"/>
  <c r="AE46" i="12"/>
  <c r="AE54" i="12"/>
  <c r="AE67" i="12"/>
  <c r="AE17" i="12"/>
  <c r="AE25" i="12"/>
  <c r="AE33" i="12"/>
  <c r="AE41" i="12"/>
  <c r="AE49" i="12"/>
  <c r="AE62" i="12"/>
  <c r="AK63" i="12"/>
  <c r="AV63" i="12" s="1"/>
  <c r="AK60" i="12"/>
  <c r="AV60" i="12" s="1"/>
  <c r="AK57" i="12"/>
  <c r="AV57" i="12" s="1"/>
  <c r="AK61" i="12"/>
  <c r="AV61" i="12" s="1"/>
  <c r="AK58" i="12"/>
  <c r="AV58" i="12" s="1"/>
  <c r="AK59" i="12"/>
  <c r="AV59" i="12" s="1"/>
  <c r="AK54" i="12"/>
  <c r="AV54" i="12" s="1"/>
  <c r="AK52" i="12"/>
  <c r="AV52" i="12" s="1"/>
  <c r="AK30" i="12"/>
  <c r="AV30" i="12" s="1"/>
  <c r="AK36" i="12"/>
  <c r="AV36" i="12" s="1"/>
  <c r="AK28" i="12"/>
  <c r="AV28" i="12" s="1"/>
  <c r="AK26" i="12"/>
  <c r="AV26" i="12" s="1"/>
  <c r="AK65" i="12"/>
  <c r="AV65" i="12" s="1"/>
  <c r="AK50" i="12"/>
  <c r="AV50" i="12" s="1"/>
  <c r="AK56" i="12"/>
  <c r="AV56" i="12" s="1"/>
  <c r="AK44" i="12"/>
  <c r="AV44" i="12" s="1"/>
  <c r="AK48" i="12"/>
  <c r="AV48" i="12" s="1"/>
  <c r="AK46" i="12"/>
  <c r="AV46" i="12" s="1"/>
  <c r="AK29" i="12"/>
  <c r="AV29" i="12" s="1"/>
  <c r="AK31" i="12"/>
  <c r="AV31" i="12" s="1"/>
  <c r="AK27" i="12"/>
  <c r="AV27" i="12" s="1"/>
  <c r="AK34" i="12"/>
  <c r="AV34" i="12" s="1"/>
  <c r="AK42" i="12"/>
  <c r="AV42" i="12" s="1"/>
  <c r="AK43" i="12"/>
  <c r="AV43" i="12" s="1"/>
  <c r="AK49" i="12"/>
  <c r="AV49" i="12" s="1"/>
  <c r="AK40" i="12"/>
  <c r="AV40" i="12" s="1"/>
  <c r="AK41" i="12"/>
  <c r="AV41" i="12" s="1"/>
  <c r="AK55" i="12"/>
  <c r="AV55" i="12" s="1"/>
  <c r="AK64" i="12"/>
  <c r="AV64" i="12" s="1"/>
  <c r="AK32" i="12"/>
  <c r="AV32" i="12" s="1"/>
  <c r="AK33" i="12"/>
  <c r="AV33" i="12" s="1"/>
  <c r="AK35" i="12"/>
  <c r="AV35" i="12" s="1"/>
  <c r="AK38" i="12"/>
  <c r="AV38" i="12" s="1"/>
  <c r="AK39" i="12"/>
  <c r="AV39" i="12" s="1"/>
  <c r="AK45" i="12"/>
  <c r="AV45" i="12" s="1"/>
  <c r="AK53" i="12"/>
  <c r="AV53" i="12" s="1"/>
  <c r="AK62" i="12"/>
  <c r="AV62" i="12" s="1"/>
  <c r="AK37" i="12"/>
  <c r="AV37" i="12" s="1"/>
  <c r="AK47" i="12"/>
  <c r="AV47" i="12" s="1"/>
  <c r="AK51" i="12"/>
  <c r="AV51" i="12" s="1"/>
  <c r="AK25" i="12"/>
  <c r="AV25" i="12" s="1"/>
  <c r="AK24" i="12"/>
  <c r="AV24" i="12" s="1"/>
  <c r="AK23" i="12"/>
  <c r="AV23" i="12" s="1"/>
  <c r="AK22" i="12"/>
  <c r="AV22" i="12" s="1"/>
  <c r="AK21" i="12"/>
  <c r="AV21" i="12" s="1"/>
  <c r="AK20" i="12"/>
  <c r="AV20" i="12" s="1"/>
  <c r="AK19" i="12"/>
  <c r="AV19" i="12" s="1"/>
  <c r="AK18" i="12"/>
  <c r="AV18" i="12" s="1"/>
  <c r="AK17" i="12"/>
  <c r="AV17" i="12" s="1"/>
  <c r="AK16" i="12"/>
  <c r="AV16" i="12" s="1"/>
  <c r="AK15" i="12"/>
  <c r="AV15" i="12" s="1"/>
  <c r="R28" i="8"/>
  <c r="R42" i="8"/>
  <c r="R48" i="8"/>
  <c r="R32" i="8"/>
  <c r="R35" i="8"/>
  <c r="R38" i="8"/>
  <c r="U38" i="8" s="1"/>
  <c r="S43" i="8"/>
  <c r="R27" i="8"/>
  <c r="R43" i="8"/>
  <c r="R47" i="8"/>
  <c r="S42" i="8"/>
  <c r="S36" i="8"/>
  <c r="S33" i="8"/>
  <c r="R40" i="8"/>
  <c r="R46" i="8"/>
  <c r="S28" i="8"/>
  <c r="R31" i="8"/>
  <c r="R34" i="8"/>
  <c r="R37" i="8"/>
  <c r="R25" i="8"/>
  <c r="R41" i="8"/>
  <c r="S47" i="8"/>
  <c r="U47" i="8" s="1"/>
  <c r="S44" i="8"/>
  <c r="S35" i="8"/>
  <c r="S32" i="8"/>
  <c r="S27" i="8"/>
  <c r="S25" i="8"/>
  <c r="R24" i="8"/>
  <c r="S29" i="8"/>
  <c r="S24" i="8"/>
  <c r="R30" i="8"/>
  <c r="R33" i="8"/>
  <c r="R36" i="8"/>
  <c r="S39" i="8"/>
  <c r="U39" i="8" s="1"/>
  <c r="S45" i="8"/>
  <c r="R29" i="8"/>
  <c r="R45" i="8"/>
  <c r="R49" i="8"/>
  <c r="S48" i="8"/>
  <c r="S40" i="8"/>
  <c r="S37" i="8"/>
  <c r="S30" i="8"/>
  <c r="AK67" i="12"/>
  <c r="AV67" i="12" s="1"/>
  <c r="U40" i="8"/>
  <c r="AO15" i="12"/>
  <c r="AN15" i="12"/>
  <c r="AU15" i="12"/>
  <c r="AS15" i="12"/>
  <c r="AR15" i="12"/>
  <c r="AE58" i="12" l="1"/>
  <c r="AE53" i="12"/>
  <c r="AE45" i="12"/>
  <c r="AE37" i="12"/>
  <c r="AE29" i="12"/>
  <c r="AE21" i="12"/>
  <c r="AE60" i="12"/>
  <c r="AE63" i="12"/>
  <c r="AE50" i="12"/>
  <c r="AE42" i="12"/>
  <c r="AE34" i="12"/>
  <c r="AE26" i="12"/>
  <c r="AE18" i="12"/>
  <c r="U21" i="12"/>
  <c r="Z21" i="12" s="1"/>
  <c r="AC21" i="12" s="1"/>
  <c r="AE13" i="12"/>
  <c r="AE59" i="12"/>
  <c r="AE64" i="12"/>
  <c r="AE55" i="12"/>
  <c r="AE51" i="12"/>
  <c r="AE47" i="12"/>
  <c r="AE43" i="12"/>
  <c r="AE39" i="12"/>
  <c r="AE35" i="12"/>
  <c r="AE31" i="12"/>
  <c r="AE27" i="12"/>
  <c r="AE23" i="12"/>
  <c r="AE19" i="12"/>
  <c r="AE15" i="12"/>
  <c r="AE57" i="12"/>
  <c r="AE65" i="12"/>
  <c r="AE56" i="12"/>
  <c r="AE52" i="12"/>
  <c r="AE48" i="12"/>
  <c r="AE44" i="12"/>
  <c r="AE40" i="12"/>
  <c r="AE36" i="12"/>
  <c r="AE32" i="12"/>
  <c r="AE28" i="12"/>
  <c r="AE24" i="12"/>
  <c r="AE20" i="12"/>
  <c r="AE16" i="12"/>
  <c r="I33" i="1"/>
  <c r="V26" i="3"/>
  <c r="U45" i="8"/>
  <c r="U43" i="8"/>
  <c r="U27" i="8"/>
  <c r="V14" i="12"/>
  <c r="BF66" i="12"/>
  <c r="CD13" i="12"/>
  <c r="E125" i="3"/>
  <c r="E126" i="3"/>
  <c r="E124" i="3"/>
  <c r="I9" i="1"/>
  <c r="D128" i="3"/>
  <c r="I127" i="3" s="1"/>
  <c r="F132" i="3" s="1"/>
  <c r="P13" i="12"/>
  <c r="Q13" i="12" s="1"/>
  <c r="AK13" i="12" s="1"/>
  <c r="AV13" i="12" s="1"/>
  <c r="V27" i="3"/>
  <c r="H31" i="8" s="1"/>
  <c r="V27" i="12"/>
  <c r="V51" i="12"/>
  <c r="V63" i="12"/>
  <c r="AF21" i="12"/>
  <c r="AH21" i="12" s="1"/>
  <c r="BR21" i="12" s="1"/>
  <c r="U25" i="12"/>
  <c r="U37" i="12"/>
  <c r="U48" i="12"/>
  <c r="U49" i="8"/>
  <c r="U34" i="8"/>
  <c r="U52" i="12"/>
  <c r="U44" i="12"/>
  <c r="U36" i="12"/>
  <c r="U59" i="12"/>
  <c r="V29" i="3"/>
  <c r="AD13" i="12"/>
  <c r="U48" i="8"/>
  <c r="AD14" i="12"/>
  <c r="V47" i="3"/>
  <c r="I32" i="1"/>
  <c r="U18" i="12"/>
  <c r="V26" i="12"/>
  <c r="U34" i="12"/>
  <c r="U42" i="12"/>
  <c r="U29" i="12"/>
  <c r="U43" i="12"/>
  <c r="V47" i="12"/>
  <c r="U65" i="12"/>
  <c r="U35" i="8"/>
  <c r="V36" i="12"/>
  <c r="U16" i="12"/>
  <c r="BJ14" i="12"/>
  <c r="H14" i="7"/>
  <c r="S72" i="7" s="1"/>
  <c r="H17" i="8"/>
  <c r="S11" i="8" s="1"/>
  <c r="BJ13" i="12"/>
  <c r="U14" i="12"/>
  <c r="Z14" i="12" s="1"/>
  <c r="AC14" i="12" s="1"/>
  <c r="U31" i="8"/>
  <c r="H58" i="3"/>
  <c r="V25" i="12"/>
  <c r="Z25" i="12" s="1"/>
  <c r="AC25" i="12" s="1"/>
  <c r="AF25" i="12" s="1"/>
  <c r="U30" i="8"/>
  <c r="U29" i="8"/>
  <c r="U33" i="8"/>
  <c r="U25" i="8"/>
  <c r="U28" i="8"/>
  <c r="U32" i="8"/>
  <c r="U42" i="8"/>
  <c r="U24" i="8"/>
  <c r="V28" i="3"/>
  <c r="V30" i="3"/>
  <c r="V54" i="12"/>
  <c r="U36" i="8"/>
  <c r="U26" i="8"/>
  <c r="V49" i="3"/>
  <c r="K33" i="9"/>
  <c r="H17" i="9"/>
  <c r="J15" i="1"/>
  <c r="K31" i="9"/>
  <c r="U44" i="8"/>
  <c r="U41" i="8"/>
  <c r="U37" i="8"/>
  <c r="U46" i="8"/>
  <c r="S16" i="8"/>
  <c r="F18" i="8"/>
  <c r="I39" i="1"/>
  <c r="I54" i="1" s="1"/>
  <c r="J54" i="1" s="1"/>
  <c r="G132" i="3"/>
  <c r="E68" i="3"/>
  <c r="H59" i="3"/>
  <c r="V48" i="3"/>
  <c r="V16" i="12"/>
  <c r="V24" i="12"/>
  <c r="U26" i="12"/>
  <c r="V48" i="12"/>
  <c r="U62" i="12"/>
  <c r="V20" i="12"/>
  <c r="V38" i="12"/>
  <c r="U19" i="12"/>
  <c r="Z19" i="12" s="1"/>
  <c r="AC19" i="12" s="1"/>
  <c r="AF19" i="12" s="1"/>
  <c r="V23" i="12"/>
  <c r="Z23" i="12" s="1"/>
  <c r="AC23" i="12" s="1"/>
  <c r="AF23" i="12" s="1"/>
  <c r="U27" i="12"/>
  <c r="U24" i="12"/>
  <c r="U28" i="12"/>
  <c r="U58" i="12"/>
  <c r="I25" i="1"/>
  <c r="I24" i="1"/>
  <c r="V67" i="12"/>
  <c r="U15" i="12"/>
  <c r="V15" i="12"/>
  <c r="AK14" i="12"/>
  <c r="AV14" i="12" s="1"/>
  <c r="U67" i="12"/>
  <c r="V29" i="12"/>
  <c r="V60" i="12"/>
  <c r="U60" i="12"/>
  <c r="V56" i="12"/>
  <c r="U56" i="12"/>
  <c r="U40" i="12"/>
  <c r="V40" i="12"/>
  <c r="V34" i="12"/>
  <c r="U22" i="12"/>
  <c r="V22" i="12"/>
  <c r="V18" i="12"/>
  <c r="U64" i="12"/>
  <c r="V46" i="12"/>
  <c r="U46" i="12"/>
  <c r="U53" i="12"/>
  <c r="V50" i="12"/>
  <c r="U50" i="12"/>
  <c r="V17" i="12"/>
  <c r="Z17" i="12" s="1"/>
  <c r="AC17" i="12" s="1"/>
  <c r="AF17" i="12" s="1"/>
  <c r="V33" i="12"/>
  <c r="V35" i="12"/>
  <c r="U35" i="12"/>
  <c r="V39" i="12"/>
  <c r="U39" i="12"/>
  <c r="U41" i="12"/>
  <c r="U47" i="12"/>
  <c r="U55" i="12"/>
  <c r="V55" i="12"/>
  <c r="V57" i="12"/>
  <c r="U57" i="12"/>
  <c r="U63" i="12"/>
  <c r="Z63" i="12" s="1"/>
  <c r="AC63" i="12" s="1"/>
  <c r="AF63" i="12" s="1"/>
  <c r="AH63" i="12" s="1"/>
  <c r="BR63" i="12" s="1"/>
  <c r="V32" i="12"/>
  <c r="U32" i="12"/>
  <c r="U38" i="12"/>
  <c r="U54" i="12"/>
  <c r="V58" i="12"/>
  <c r="V62" i="12"/>
  <c r="V64" i="12"/>
  <c r="V37" i="12"/>
  <c r="U51" i="12"/>
  <c r="V43" i="12"/>
  <c r="V52" i="12"/>
  <c r="V44" i="12"/>
  <c r="V30" i="12"/>
  <c r="U30" i="12"/>
  <c r="V61" i="12"/>
  <c r="U61" i="12"/>
  <c r="U33" i="12"/>
  <c r="V31" i="12"/>
  <c r="U31" i="12"/>
  <c r="V41" i="12"/>
  <c r="V45" i="12"/>
  <c r="U45" i="12"/>
  <c r="V49" i="12"/>
  <c r="Z49" i="12" s="1"/>
  <c r="AC49" i="12" s="1"/>
  <c r="AF49" i="12" s="1"/>
  <c r="V53" i="12"/>
  <c r="V59" i="12"/>
  <c r="Z59" i="12" s="1"/>
  <c r="AC59" i="12" s="1"/>
  <c r="AF59" i="12" s="1"/>
  <c r="V65" i="12"/>
  <c r="V42" i="12"/>
  <c r="Z42" i="12" s="1"/>
  <c r="AC42" i="12" s="1"/>
  <c r="AF42" i="12" s="1"/>
  <c r="AM42" i="12" s="1"/>
  <c r="V28" i="12"/>
  <c r="U20" i="12"/>
  <c r="J9" i="1"/>
  <c r="BF65" i="12"/>
  <c r="BG31" i="12"/>
  <c r="BG29" i="12"/>
  <c r="BF49" i="12"/>
  <c r="BH14" i="12"/>
  <c r="BF44" i="12"/>
  <c r="BF33" i="12"/>
  <c r="BG40" i="12"/>
  <c r="BG23" i="12"/>
  <c r="BF36" i="12"/>
  <c r="BF52" i="12"/>
  <c r="BG47" i="12"/>
  <c r="BF41" i="12"/>
  <c r="BF62" i="12"/>
  <c r="BG56" i="12"/>
  <c r="BF27" i="12"/>
  <c r="BH57" i="12"/>
  <c r="BF13" i="12"/>
  <c r="BF22" i="12"/>
  <c r="BH24" i="12"/>
  <c r="BH27" i="12"/>
  <c r="BF32" i="12"/>
  <c r="BG30" i="12"/>
  <c r="BF40" i="12"/>
  <c r="BF48" i="12"/>
  <c r="BF56" i="12"/>
  <c r="BG39" i="12"/>
  <c r="BG55" i="12"/>
  <c r="BF37" i="12"/>
  <c r="BF45" i="12"/>
  <c r="BF53" i="12"/>
  <c r="BH67" i="12"/>
  <c r="BG48" i="12"/>
  <c r="BG13" i="12"/>
  <c r="BF31" i="12"/>
  <c r="BG58" i="12"/>
  <c r="BH58" i="12"/>
  <c r="BG32" i="12"/>
  <c r="BG14" i="12"/>
  <c r="BG15" i="12"/>
  <c r="BG16" i="12"/>
  <c r="BG17" i="12"/>
  <c r="BG18" i="12"/>
  <c r="BG19" i="12"/>
  <c r="BG20" i="12"/>
  <c r="BG21" i="12"/>
  <c r="BH22" i="12"/>
  <c r="BF24" i="12"/>
  <c r="BG25" i="12"/>
  <c r="BF34" i="12"/>
  <c r="BF30" i="12"/>
  <c r="BH29" i="12"/>
  <c r="BG26" i="12"/>
  <c r="BF38" i="12"/>
  <c r="BF42" i="12"/>
  <c r="BF46" i="12"/>
  <c r="BF50" i="12"/>
  <c r="BF54" i="12"/>
  <c r="BF63" i="12"/>
  <c r="BG35" i="12"/>
  <c r="BG43" i="12"/>
  <c r="BG51" i="12"/>
  <c r="BG64" i="12"/>
  <c r="BF35" i="12"/>
  <c r="BF39" i="12"/>
  <c r="BF43" i="12"/>
  <c r="BF47" i="12"/>
  <c r="BF51" i="12"/>
  <c r="BF55" i="12"/>
  <c r="BF64" i="12"/>
  <c r="BG36" i="12"/>
  <c r="BG44" i="12"/>
  <c r="BG52" i="12"/>
  <c r="BG65" i="12"/>
  <c r="BF29" i="12"/>
  <c r="BG61" i="12"/>
  <c r="BH61" i="12"/>
  <c r="BG60" i="12"/>
  <c r="BH60" i="12"/>
  <c r="BH59" i="12"/>
  <c r="BH66" i="12"/>
  <c r="BF14" i="12"/>
  <c r="BH13" i="12"/>
  <c r="BF15" i="12"/>
  <c r="BH15" i="12"/>
  <c r="BF16" i="12"/>
  <c r="BH16" i="12"/>
  <c r="BF17" i="12"/>
  <c r="BH17" i="12"/>
  <c r="BF18" i="12"/>
  <c r="BH18" i="12"/>
  <c r="BF19" i="12"/>
  <c r="BH19" i="12"/>
  <c r="BF20" i="12"/>
  <c r="BH20" i="12"/>
  <c r="BF21" i="12"/>
  <c r="BH21" i="12"/>
  <c r="BG22" i="12"/>
  <c r="BF23" i="12"/>
  <c r="BH23" i="12"/>
  <c r="BG24" i="12"/>
  <c r="BF25" i="12"/>
  <c r="BH25" i="12"/>
  <c r="BG27" i="12"/>
  <c r="BG33" i="12"/>
  <c r="BH31" i="12"/>
  <c r="BF28" i="12"/>
  <c r="BF26" i="12"/>
  <c r="BH33" i="12"/>
  <c r="BG28" i="12"/>
  <c r="BH35" i="12"/>
  <c r="BH37" i="12"/>
  <c r="BH39" i="12"/>
  <c r="BH41" i="12"/>
  <c r="BH43" i="12"/>
  <c r="BH45" i="12"/>
  <c r="BH47" i="12"/>
  <c r="BH49" i="12"/>
  <c r="BH51" i="12"/>
  <c r="BH53" i="12"/>
  <c r="BH55" i="12"/>
  <c r="BH62" i="12"/>
  <c r="BH64" i="12"/>
  <c r="BF67" i="12"/>
  <c r="BG37" i="12"/>
  <c r="BG41" i="12"/>
  <c r="BG45" i="12"/>
  <c r="BG49" i="12"/>
  <c r="BG53" i="12"/>
  <c r="BG62" i="12"/>
  <c r="BH32" i="12"/>
  <c r="BH34" i="12"/>
  <c r="BH36" i="12"/>
  <c r="BH38" i="12"/>
  <c r="BH40" i="12"/>
  <c r="BH42" i="12"/>
  <c r="BH44" i="12"/>
  <c r="BH46" i="12"/>
  <c r="BH48" i="12"/>
  <c r="BH50" i="12"/>
  <c r="BH52" i="12"/>
  <c r="BH54" i="12"/>
  <c r="BH56" i="12"/>
  <c r="BH63" i="12"/>
  <c r="BH65" i="12"/>
  <c r="BG34" i="12"/>
  <c r="BG38" i="12"/>
  <c r="BG42" i="12"/>
  <c r="BG46" i="12"/>
  <c r="BG50" i="12"/>
  <c r="BG54" i="12"/>
  <c r="BG63" i="12"/>
  <c r="BG67" i="12"/>
  <c r="BH30" i="12"/>
  <c r="BH28" i="12"/>
  <c r="BH26" i="12"/>
  <c r="BF60" i="12"/>
  <c r="BF57" i="12"/>
  <c r="BF59" i="12"/>
  <c r="BG57" i="12"/>
  <c r="BG59" i="12"/>
  <c r="BF61" i="12"/>
  <c r="BF58" i="12"/>
  <c r="BG66" i="12"/>
  <c r="V66" i="12"/>
  <c r="U66" i="12"/>
  <c r="H27" i="9"/>
  <c r="AE61" i="12"/>
  <c r="AM23" i="12" l="1"/>
  <c r="AH23" i="12"/>
  <c r="BR23" i="12" s="1"/>
  <c r="Z60" i="12"/>
  <c r="AC60" i="12" s="1"/>
  <c r="AF60" i="12" s="1"/>
  <c r="AH60" i="12" s="1"/>
  <c r="Z16" i="12"/>
  <c r="AC16" i="12" s="1"/>
  <c r="AF16" i="12" s="1"/>
  <c r="AM16" i="12" s="1"/>
  <c r="E129" i="3"/>
  <c r="D129" i="3" s="1"/>
  <c r="AM21" i="12"/>
  <c r="Z52" i="12"/>
  <c r="AC52" i="12" s="1"/>
  <c r="AF52" i="12" s="1"/>
  <c r="AH52" i="12" s="1"/>
  <c r="BR52" i="12" s="1"/>
  <c r="Z51" i="12"/>
  <c r="AC51" i="12" s="1"/>
  <c r="AF51" i="12" s="1"/>
  <c r="AH51" i="12" s="1"/>
  <c r="BR51" i="12" s="1"/>
  <c r="R61" i="7"/>
  <c r="S22" i="8"/>
  <c r="Z58" i="12"/>
  <c r="AC58" i="12" s="1"/>
  <c r="AF58" i="12" s="1"/>
  <c r="AM58" i="12" s="1"/>
  <c r="Z24" i="12"/>
  <c r="AC24" i="12" s="1"/>
  <c r="AF24" i="12" s="1"/>
  <c r="AM24" i="12" s="1"/>
  <c r="U13" i="12"/>
  <c r="Z34" i="12"/>
  <c r="AC34" i="12" s="1"/>
  <c r="AF34" i="12" s="1"/>
  <c r="AH34" i="12" s="1"/>
  <c r="AJ34" i="12" s="1"/>
  <c r="S15" i="8"/>
  <c r="S17" i="8"/>
  <c r="S5" i="8"/>
  <c r="Z48" i="12"/>
  <c r="AC48" i="12" s="1"/>
  <c r="AF48" i="12" s="1"/>
  <c r="AM48" i="12" s="1"/>
  <c r="Q69" i="12"/>
  <c r="Q7" i="12" s="1"/>
  <c r="Z27" i="12"/>
  <c r="AC27" i="12" s="1"/>
  <c r="AF27" i="12" s="1"/>
  <c r="AH27" i="12" s="1"/>
  <c r="BR27" i="12" s="1"/>
  <c r="V13" i="12"/>
  <c r="Z13" i="12" s="1"/>
  <c r="AC13" i="12" s="1"/>
  <c r="AF13" i="12" s="1"/>
  <c r="AH13" i="12" s="1"/>
  <c r="BR13" i="12" s="1"/>
  <c r="S73" i="7"/>
  <c r="F25" i="7"/>
  <c r="F27" i="7" s="1"/>
  <c r="R59" i="7"/>
  <c r="Z37" i="12"/>
  <c r="AC37" i="12" s="1"/>
  <c r="AF37" i="12" s="1"/>
  <c r="AH37" i="12" s="1"/>
  <c r="BR37" i="12" s="1"/>
  <c r="Z47" i="12"/>
  <c r="AC47" i="12" s="1"/>
  <c r="AF47" i="12" s="1"/>
  <c r="AH47" i="12" s="1"/>
  <c r="AJ47" i="12" s="1"/>
  <c r="Z18" i="12"/>
  <c r="AC18" i="12" s="1"/>
  <c r="AF18" i="12" s="1"/>
  <c r="AH18" i="12" s="1"/>
  <c r="BR18" i="12" s="1"/>
  <c r="Z29" i="12"/>
  <c r="AC29" i="12" s="1"/>
  <c r="AF29" i="12" s="1"/>
  <c r="AM29" i="12" s="1"/>
  <c r="S6" i="8"/>
  <c r="S7" i="8"/>
  <c r="S23" i="8"/>
  <c r="S8" i="8"/>
  <c r="Z36" i="12"/>
  <c r="AC36" i="12" s="1"/>
  <c r="AF36" i="12" s="1"/>
  <c r="AH36" i="12" s="1"/>
  <c r="BR36" i="12" s="1"/>
  <c r="AM63" i="12"/>
  <c r="Z44" i="12"/>
  <c r="AC44" i="12" s="1"/>
  <c r="AF44" i="12" s="1"/>
  <c r="Z64" i="12"/>
  <c r="AC64" i="12" s="1"/>
  <c r="AF64" i="12" s="1"/>
  <c r="AH64" i="12" s="1"/>
  <c r="BR64" i="12" s="1"/>
  <c r="Z38" i="12"/>
  <c r="AC38" i="12" s="1"/>
  <c r="AF38" i="12" s="1"/>
  <c r="AM38" i="12" s="1"/>
  <c r="R64" i="7"/>
  <c r="R65" i="7"/>
  <c r="R60" i="7"/>
  <c r="AF14" i="12"/>
  <c r="AH14" i="12" s="1"/>
  <c r="BR14" i="12" s="1"/>
  <c r="AJ23" i="12"/>
  <c r="BV23" i="12" s="1"/>
  <c r="S57" i="7"/>
  <c r="Z41" i="12"/>
  <c r="AC41" i="12" s="1"/>
  <c r="AF41" i="12" s="1"/>
  <c r="AM41" i="12" s="1"/>
  <c r="AH16" i="12"/>
  <c r="BR16" i="12" s="1"/>
  <c r="Z62" i="12"/>
  <c r="AC62" i="12" s="1"/>
  <c r="AF62" i="12" s="1"/>
  <c r="R70" i="7"/>
  <c r="R63" i="7"/>
  <c r="R68" i="7"/>
  <c r="R67" i="7"/>
  <c r="S63" i="7"/>
  <c r="S61" i="7"/>
  <c r="R66" i="7"/>
  <c r="AH24" i="12"/>
  <c r="BR24" i="12" s="1"/>
  <c r="Z65" i="12"/>
  <c r="AC65" i="12" s="1"/>
  <c r="AF65" i="12" s="1"/>
  <c r="Z43" i="12"/>
  <c r="AC43" i="12" s="1"/>
  <c r="AF43" i="12" s="1"/>
  <c r="AM43" i="12" s="1"/>
  <c r="Z26" i="12"/>
  <c r="AC26" i="12" s="1"/>
  <c r="AF26" i="12" s="1"/>
  <c r="Z32" i="12"/>
  <c r="AC32" i="12" s="1"/>
  <c r="AF32" i="12" s="1"/>
  <c r="AM32" i="12" s="1"/>
  <c r="Z39" i="12"/>
  <c r="AC39" i="12" s="1"/>
  <c r="AF39" i="12" s="1"/>
  <c r="AH39" i="12" s="1"/>
  <c r="BR39" i="12" s="1"/>
  <c r="Z35" i="12"/>
  <c r="AC35" i="12" s="1"/>
  <c r="AF35" i="12" s="1"/>
  <c r="AM35" i="12" s="1"/>
  <c r="Z40" i="12"/>
  <c r="AC40" i="12" s="1"/>
  <c r="AF40" i="12" s="1"/>
  <c r="AH40" i="12" s="1"/>
  <c r="BR40" i="12" s="1"/>
  <c r="Z56" i="12"/>
  <c r="AC56" i="12" s="1"/>
  <c r="AF56" i="12" s="1"/>
  <c r="AM56" i="12" s="1"/>
  <c r="AM25" i="12"/>
  <c r="AH25" i="12"/>
  <c r="AJ25" i="12" s="1"/>
  <c r="R69" i="7"/>
  <c r="R75" i="7"/>
  <c r="S75" i="7"/>
  <c r="S64" i="7"/>
  <c r="U64" i="7" s="1"/>
  <c r="S65" i="7"/>
  <c r="R76" i="7"/>
  <c r="S58" i="7"/>
  <c r="S67" i="7"/>
  <c r="S62" i="7"/>
  <c r="R62" i="7"/>
  <c r="S68" i="7"/>
  <c r="F28" i="7"/>
  <c r="Z54" i="12"/>
  <c r="AC54" i="12" s="1"/>
  <c r="AF54" i="12" s="1"/>
  <c r="AM54" i="12" s="1"/>
  <c r="R58" i="7"/>
  <c r="S74" i="7"/>
  <c r="S66" i="7"/>
  <c r="S70" i="7"/>
  <c r="S59" i="7"/>
  <c r="R74" i="7"/>
  <c r="U74" i="7" s="1"/>
  <c r="S69" i="7"/>
  <c r="R72" i="7"/>
  <c r="U72" i="7" s="1"/>
  <c r="R57" i="7"/>
  <c r="S71" i="7"/>
  <c r="S76" i="7"/>
  <c r="R71" i="7"/>
  <c r="U71" i="7" s="1"/>
  <c r="S60" i="7"/>
  <c r="R73" i="7"/>
  <c r="S20" i="8"/>
  <c r="F19" i="8"/>
  <c r="F21" i="8" s="1"/>
  <c r="F42" i="8" s="1"/>
  <c r="F44" i="8" s="1"/>
  <c r="S21" i="8"/>
  <c r="S12" i="8"/>
  <c r="S19" i="8"/>
  <c r="S4" i="8"/>
  <c r="S10" i="8"/>
  <c r="S14" i="8"/>
  <c r="S18" i="8"/>
  <c r="S9" i="8"/>
  <c r="S13" i="8"/>
  <c r="AM60" i="12"/>
  <c r="AH42" i="12"/>
  <c r="BR42" i="12" s="1"/>
  <c r="Z28" i="12"/>
  <c r="AC28" i="12" s="1"/>
  <c r="AF28" i="12" s="1"/>
  <c r="AH28" i="12" s="1"/>
  <c r="BR28" i="12" s="1"/>
  <c r="Z53" i="12"/>
  <c r="AC53" i="12" s="1"/>
  <c r="AF53" i="12" s="1"/>
  <c r="Z45" i="12"/>
  <c r="AC45" i="12" s="1"/>
  <c r="AF45" i="12" s="1"/>
  <c r="AH45" i="12" s="1"/>
  <c r="BR45" i="12" s="1"/>
  <c r="Z61" i="12"/>
  <c r="AC61" i="12" s="1"/>
  <c r="AF61" i="12" s="1"/>
  <c r="AH61" i="12" s="1"/>
  <c r="BR61" i="12" s="1"/>
  <c r="Z30" i="12"/>
  <c r="AC30" i="12" s="1"/>
  <c r="AF30" i="12" s="1"/>
  <c r="AM30" i="12" s="1"/>
  <c r="R17" i="8"/>
  <c r="R23" i="8"/>
  <c r="R19" i="8"/>
  <c r="R12" i="8"/>
  <c r="R20" i="8"/>
  <c r="R9" i="8"/>
  <c r="R13" i="8"/>
  <c r="R14" i="8"/>
  <c r="R11" i="8"/>
  <c r="U11" i="8" s="1"/>
  <c r="R22" i="8"/>
  <c r="R6" i="8"/>
  <c r="U6" i="8" s="1"/>
  <c r="R18" i="8"/>
  <c r="R4" i="8"/>
  <c r="U4" i="8" s="1"/>
  <c r="R5" i="8"/>
  <c r="R8" i="8"/>
  <c r="R7" i="8"/>
  <c r="R15" i="8"/>
  <c r="U15" i="8" s="1"/>
  <c r="R21" i="8"/>
  <c r="R16" i="8"/>
  <c r="U16" i="8" s="1"/>
  <c r="R10" i="8"/>
  <c r="Z20" i="12"/>
  <c r="AC20" i="12" s="1"/>
  <c r="AF20" i="12" s="1"/>
  <c r="Z33" i="12"/>
  <c r="AC33" i="12" s="1"/>
  <c r="AF33" i="12" s="1"/>
  <c r="Z67" i="12"/>
  <c r="AC67" i="12" s="1"/>
  <c r="AF67" i="12" s="1"/>
  <c r="AH67" i="12" s="1"/>
  <c r="BR67" i="12" s="1"/>
  <c r="Z15" i="12"/>
  <c r="AC15" i="12" s="1"/>
  <c r="AF15" i="12" s="1"/>
  <c r="AH15" i="12" s="1"/>
  <c r="I29" i="1"/>
  <c r="I31" i="1" s="1"/>
  <c r="I34" i="1" s="1"/>
  <c r="J33" i="9"/>
  <c r="J31" i="9"/>
  <c r="J34" i="9"/>
  <c r="AM27" i="12"/>
  <c r="Z66" i="12"/>
  <c r="AC66" i="12" s="1"/>
  <c r="AF66" i="12" s="1"/>
  <c r="AM66" i="12" s="1"/>
  <c r="Z46" i="12"/>
  <c r="AC46" i="12" s="1"/>
  <c r="AF46" i="12" s="1"/>
  <c r="AH46" i="12" s="1"/>
  <c r="BR46" i="12" s="1"/>
  <c r="Z22" i="12"/>
  <c r="AC22" i="12" s="1"/>
  <c r="AF22" i="12" s="1"/>
  <c r="AM22" i="12" s="1"/>
  <c r="AM47" i="12"/>
  <c r="AM64" i="12"/>
  <c r="Z57" i="12"/>
  <c r="AC57" i="12" s="1"/>
  <c r="AF57" i="12" s="1"/>
  <c r="Z55" i="12"/>
  <c r="AC55" i="12" s="1"/>
  <c r="AF55" i="12" s="1"/>
  <c r="AH19" i="12"/>
  <c r="AM19" i="12"/>
  <c r="Z50" i="12"/>
  <c r="AC50" i="12" s="1"/>
  <c r="AF50" i="12" s="1"/>
  <c r="AH49" i="12"/>
  <c r="BR49" i="12" s="1"/>
  <c r="AM49" i="12"/>
  <c r="AM52" i="12"/>
  <c r="AM51" i="12"/>
  <c r="AM59" i="12"/>
  <c r="AH59" i="12"/>
  <c r="BR59" i="12" s="1"/>
  <c r="Z31" i="12"/>
  <c r="AC31" i="12" s="1"/>
  <c r="AF31" i="12" s="1"/>
  <c r="AH17" i="12"/>
  <c r="AM17" i="12"/>
  <c r="AH58" i="12"/>
  <c r="BR58" i="12" s="1"/>
  <c r="BR60" i="12"/>
  <c r="AJ63" i="12"/>
  <c r="AJ21" i="12"/>
  <c r="U70" i="7" l="1"/>
  <c r="AJ60" i="12"/>
  <c r="AM40" i="12"/>
  <c r="U61" i="7"/>
  <c r="AM36" i="12"/>
  <c r="AM14" i="12"/>
  <c r="BR25" i="12"/>
  <c r="AH43" i="12"/>
  <c r="BR43" i="12" s="1"/>
  <c r="AM67" i="12"/>
  <c r="U22" i="8"/>
  <c r="AH29" i="12"/>
  <c r="BR29" i="12" s="1"/>
  <c r="BT23" i="12"/>
  <c r="BW23" i="12" s="1"/>
  <c r="BX23" i="12" s="1"/>
  <c r="AJ24" i="12"/>
  <c r="BV24" i="12" s="1"/>
  <c r="AM34" i="12"/>
  <c r="AH56" i="12"/>
  <c r="BR56" i="12" s="1"/>
  <c r="U8" i="8"/>
  <c r="U13" i="8"/>
  <c r="U20" i="8"/>
  <c r="U19" i="8"/>
  <c r="U17" i="8"/>
  <c r="U73" i="7"/>
  <c r="AP23" i="12"/>
  <c r="AY23" i="12" s="1"/>
  <c r="BB23" i="12" s="1"/>
  <c r="AM45" i="12"/>
  <c r="AH32" i="12"/>
  <c r="AJ32" i="12" s="1"/>
  <c r="BT32" i="12" s="1"/>
  <c r="BW32" i="12" s="1"/>
  <c r="BX32" i="12" s="1"/>
  <c r="U7" i="8"/>
  <c r="AH48" i="12"/>
  <c r="BR48" i="12" s="1"/>
  <c r="U60" i="7"/>
  <c r="U59" i="7"/>
  <c r="AH35" i="12"/>
  <c r="BR35" i="12" s="1"/>
  <c r="U68" i="7"/>
  <c r="AH30" i="12"/>
  <c r="BR30" i="12" s="1"/>
  <c r="AM37" i="12"/>
  <c r="AH41" i="12"/>
  <c r="BR41" i="12" s="1"/>
  <c r="AM18" i="12"/>
  <c r="U5" i="8"/>
  <c r="U67" i="7"/>
  <c r="AJ42" i="12"/>
  <c r="AP42" i="12" s="1"/>
  <c r="AJ36" i="12"/>
  <c r="BU36" i="12" s="1"/>
  <c r="AJ14" i="12"/>
  <c r="BV14" i="12" s="1"/>
  <c r="AJ37" i="12"/>
  <c r="BU37" i="12" s="1"/>
  <c r="U10" i="8"/>
  <c r="U21" i="8"/>
  <c r="U18" i="8"/>
  <c r="U23" i="8"/>
  <c r="AH38" i="12"/>
  <c r="BR38" i="12" s="1"/>
  <c r="U65" i="7"/>
  <c r="AH44" i="12"/>
  <c r="AM44" i="12"/>
  <c r="AJ58" i="12"/>
  <c r="BV58" i="12" s="1"/>
  <c r="AJ39" i="12"/>
  <c r="BT39" i="12" s="1"/>
  <c r="BW39" i="12" s="1"/>
  <c r="BX39" i="12" s="1"/>
  <c r="BU23" i="12"/>
  <c r="AJ16" i="12"/>
  <c r="BU16" i="12" s="1"/>
  <c r="AM28" i="12"/>
  <c r="AM46" i="12"/>
  <c r="AH54" i="12"/>
  <c r="BR54" i="12" s="1"/>
  <c r="U14" i="8"/>
  <c r="U9" i="8"/>
  <c r="U12" i="8"/>
  <c r="U57" i="7"/>
  <c r="U69" i="7"/>
  <c r="U66" i="7"/>
  <c r="U58" i="7"/>
  <c r="U63" i="7"/>
  <c r="AM62" i="12"/>
  <c r="AH62" i="12"/>
  <c r="AH26" i="12"/>
  <c r="BR26" i="12" s="1"/>
  <c r="AM26" i="12"/>
  <c r="AM65" i="12"/>
  <c r="AH65" i="12"/>
  <c r="AM61" i="12"/>
  <c r="AM39" i="12"/>
  <c r="U62" i="7"/>
  <c r="U75" i="7"/>
  <c r="I44" i="1"/>
  <c r="J44" i="1" s="1"/>
  <c r="AH22" i="12"/>
  <c r="BR22" i="12" s="1"/>
  <c r="I36" i="1"/>
  <c r="J37" i="1" s="1"/>
  <c r="AM13" i="12"/>
  <c r="U76" i="7"/>
  <c r="AJ54" i="12"/>
  <c r="BU54" i="12" s="1"/>
  <c r="AH53" i="12"/>
  <c r="AM53" i="12"/>
  <c r="AJ48" i="12"/>
  <c r="BR15" i="12"/>
  <c r="AJ15" i="12"/>
  <c r="J36" i="9"/>
  <c r="J38" i="9" s="1"/>
  <c r="J39" i="9" s="1"/>
  <c r="J35" i="9"/>
  <c r="AM20" i="12"/>
  <c r="AH20" i="12"/>
  <c r="BR20" i="12" s="1"/>
  <c r="AJ52" i="12"/>
  <c r="BV52" i="12" s="1"/>
  <c r="BR34" i="12"/>
  <c r="AH66" i="12"/>
  <c r="BR47" i="12"/>
  <c r="AJ27" i="12"/>
  <c r="BU27" i="12" s="1"/>
  <c r="AM15" i="12"/>
  <c r="AM33" i="12"/>
  <c r="AH33" i="12"/>
  <c r="AJ13" i="12"/>
  <c r="AJ49" i="12"/>
  <c r="BU49" i="12" s="1"/>
  <c r="AJ61" i="12"/>
  <c r="BV61" i="12" s="1"/>
  <c r="AJ46" i="12"/>
  <c r="BT46" i="12" s="1"/>
  <c r="BW46" i="12" s="1"/>
  <c r="BX46" i="12" s="1"/>
  <c r="BY46" i="12" s="1"/>
  <c r="AJ40" i="12"/>
  <c r="BT40" i="12" s="1"/>
  <c r="BW40" i="12" s="1"/>
  <c r="BX40" i="12" s="1"/>
  <c r="BY40" i="12" s="1"/>
  <c r="AH55" i="12"/>
  <c r="BR55" i="12" s="1"/>
  <c r="AM55" i="12"/>
  <c r="AJ43" i="12"/>
  <c r="AP43" i="12" s="1"/>
  <c r="AX43" i="12" s="1"/>
  <c r="AJ18" i="12"/>
  <c r="AP18" i="12" s="1"/>
  <c r="AJ45" i="12"/>
  <c r="BV45" i="12" s="1"/>
  <c r="AJ51" i="12"/>
  <c r="AP51" i="12" s="1"/>
  <c r="AX51" i="12" s="1"/>
  <c r="AM50" i="12"/>
  <c r="AH50" i="12"/>
  <c r="AJ19" i="12"/>
  <c r="BR19" i="12"/>
  <c r="AM57" i="12"/>
  <c r="AH57" i="12"/>
  <c r="BR57" i="12" s="1"/>
  <c r="AJ67" i="12"/>
  <c r="AJ64" i="12"/>
  <c r="AM31" i="12"/>
  <c r="AH31" i="12"/>
  <c r="BR31" i="12" s="1"/>
  <c r="BV47" i="12"/>
  <c r="BT47" i="12"/>
  <c r="BW47" i="12" s="1"/>
  <c r="BX47" i="12" s="1"/>
  <c r="BU47" i="12"/>
  <c r="AP47" i="12"/>
  <c r="AX47" i="12" s="1"/>
  <c r="AJ28" i="12"/>
  <c r="BV37" i="12"/>
  <c r="BV32" i="12"/>
  <c r="BR17" i="12"/>
  <c r="AJ17" i="12"/>
  <c r="AJ59" i="12"/>
  <c r="BU39" i="12"/>
  <c r="AZ23" i="12"/>
  <c r="BV25" i="12"/>
  <c r="BU25" i="12"/>
  <c r="AP25" i="12"/>
  <c r="BT25" i="12"/>
  <c r="BW25" i="12" s="1"/>
  <c r="BX25" i="12" s="1"/>
  <c r="AP21" i="12"/>
  <c r="BT21" i="12"/>
  <c r="BW21" i="12" s="1"/>
  <c r="BX21" i="12" s="1"/>
  <c r="BV21" i="12"/>
  <c r="BU21" i="12"/>
  <c r="BV60" i="12"/>
  <c r="BU60" i="12"/>
  <c r="AP60" i="12"/>
  <c r="BT60" i="12"/>
  <c r="BW60" i="12" s="1"/>
  <c r="BX60" i="12" s="1"/>
  <c r="BV34" i="12"/>
  <c r="BT34" i="12"/>
  <c r="BW34" i="12" s="1"/>
  <c r="BX34" i="12" s="1"/>
  <c r="BU34" i="12"/>
  <c r="AP34" i="12"/>
  <c r="AP63" i="12"/>
  <c r="BU63" i="12"/>
  <c r="BV63" i="12"/>
  <c r="BT63" i="12"/>
  <c r="BW63" i="12" s="1"/>
  <c r="BX63" i="12" s="1"/>
  <c r="BV36" i="12"/>
  <c r="BY23" i="12"/>
  <c r="BT61" i="12"/>
  <c r="BW61" i="12" s="1"/>
  <c r="BX61" i="12" s="1"/>
  <c r="BT14" i="12" l="1"/>
  <c r="BU24" i="12"/>
  <c r="BV51" i="12"/>
  <c r="AP58" i="12"/>
  <c r="AX58" i="12" s="1"/>
  <c r="BT16" i="12"/>
  <c r="BW16" i="12" s="1"/>
  <c r="BX16" i="12" s="1"/>
  <c r="AP36" i="12"/>
  <c r="AY36" i="12" s="1"/>
  <c r="BB36" i="12" s="1"/>
  <c r="AP32" i="12"/>
  <c r="AX32" i="12" s="1"/>
  <c r="BT37" i="12"/>
  <c r="BW37" i="12" s="1"/>
  <c r="BX37" i="12" s="1"/>
  <c r="BY37" i="12" s="1"/>
  <c r="AX23" i="12"/>
  <c r="AJ56" i="12"/>
  <c r="BV56" i="12" s="1"/>
  <c r="AP24" i="12"/>
  <c r="AX24" i="12" s="1"/>
  <c r="AJ29" i="12"/>
  <c r="BT29" i="12" s="1"/>
  <c r="BW29" i="12" s="1"/>
  <c r="BX29" i="12" s="1"/>
  <c r="BY29" i="12" s="1"/>
  <c r="BT24" i="12"/>
  <c r="BW24" i="12" s="1"/>
  <c r="BX24" i="12" s="1"/>
  <c r="BY24" i="12" s="1"/>
  <c r="BT36" i="12"/>
  <c r="BW36" i="12" s="1"/>
  <c r="BX36" i="12" s="1"/>
  <c r="BY36" i="12" s="1"/>
  <c r="AX34" i="12"/>
  <c r="BT52" i="12"/>
  <c r="BW52" i="12" s="1"/>
  <c r="BX52" i="12" s="1"/>
  <c r="AP37" i="12"/>
  <c r="AX37" i="12" s="1"/>
  <c r="AJ30" i="12"/>
  <c r="BV30" i="12" s="1"/>
  <c r="AJ41" i="12"/>
  <c r="BU41" i="12" s="1"/>
  <c r="U51" i="8"/>
  <c r="U52" i="8" s="1"/>
  <c r="F46" i="8" s="1"/>
  <c r="AJ35" i="12"/>
  <c r="AP35" i="12" s="1"/>
  <c r="BU18" i="12"/>
  <c r="BT42" i="12"/>
  <c r="BW42" i="12" s="1"/>
  <c r="BX42" i="12" s="1"/>
  <c r="BU32" i="12"/>
  <c r="AP14" i="12"/>
  <c r="BR32" i="12"/>
  <c r="BV35" i="12"/>
  <c r="BV43" i="12"/>
  <c r="BU42" i="12"/>
  <c r="BT58" i="12"/>
  <c r="BW58" i="12" s="1"/>
  <c r="BX58" i="12" s="1"/>
  <c r="AP54" i="12"/>
  <c r="AY54" i="12" s="1"/>
  <c r="BB54" i="12" s="1"/>
  <c r="AX18" i="12"/>
  <c r="AJ22" i="12"/>
  <c r="BU22" i="12" s="1"/>
  <c r="BV42" i="12"/>
  <c r="BV39" i="12"/>
  <c r="BU58" i="12"/>
  <c r="BV16" i="12"/>
  <c r="BV54" i="12"/>
  <c r="AN14" i="12"/>
  <c r="I38" i="1"/>
  <c r="I46" i="1" s="1"/>
  <c r="J46" i="1" s="1"/>
  <c r="BU14" i="12"/>
  <c r="AO14" i="12"/>
  <c r="AJ38" i="12"/>
  <c r="AJ44" i="12"/>
  <c r="BR44" i="12"/>
  <c r="F48" i="8"/>
  <c r="AP61" i="12"/>
  <c r="AX61" i="12" s="1"/>
  <c r="BT18" i="12"/>
  <c r="BW18" i="12" s="1"/>
  <c r="BX18" i="12" s="1"/>
  <c r="BY18" i="12" s="1"/>
  <c r="AP52" i="12"/>
  <c r="AX52" i="12" s="1"/>
  <c r="BV49" i="12"/>
  <c r="AP39" i="12"/>
  <c r="AY39" i="12" s="1"/>
  <c r="AZ39" i="12" s="1"/>
  <c r="AP16" i="12"/>
  <c r="AY16" i="12" s="1"/>
  <c r="BB16" i="12" s="1"/>
  <c r="BV40" i="12"/>
  <c r="AJ20" i="12"/>
  <c r="BV20" i="12" s="1"/>
  <c r="U78" i="7"/>
  <c r="F31" i="7" s="1"/>
  <c r="AJ26" i="12"/>
  <c r="BV26" i="12" s="1"/>
  <c r="BR62" i="12"/>
  <c r="AJ62" i="12"/>
  <c r="BU51" i="12"/>
  <c r="AJ55" i="12"/>
  <c r="BU55" i="12" s="1"/>
  <c r="BR65" i="12"/>
  <c r="AJ65" i="12"/>
  <c r="AP40" i="12"/>
  <c r="AX40" i="12" s="1"/>
  <c r="BR53" i="12"/>
  <c r="AJ53" i="12"/>
  <c r="BV41" i="12"/>
  <c r="BU45" i="12"/>
  <c r="BT54" i="12"/>
  <c r="BW54" i="12" s="1"/>
  <c r="BX54" i="12" s="1"/>
  <c r="BY54" i="12" s="1"/>
  <c r="AP29" i="12"/>
  <c r="BU43" i="12"/>
  <c r="BT51" i="12"/>
  <c r="BW51" i="12" s="1"/>
  <c r="BX51" i="12" s="1"/>
  <c r="BY51" i="12" s="1"/>
  <c r="BU30" i="12"/>
  <c r="AJ57" i="12"/>
  <c r="BU57" i="12" s="1"/>
  <c r="BV48" i="12"/>
  <c r="BU48" i="12"/>
  <c r="BT48" i="12"/>
  <c r="BW48" i="12" s="1"/>
  <c r="BX48" i="12" s="1"/>
  <c r="BY48" i="12" s="1"/>
  <c r="AP48" i="12"/>
  <c r="BT13" i="12"/>
  <c r="AO13" i="12"/>
  <c r="AP13" i="12"/>
  <c r="BU13" i="12"/>
  <c r="BV13" i="12"/>
  <c r="AN13" i="12"/>
  <c r="BV27" i="12"/>
  <c r="AP27" i="12"/>
  <c r="BT15" i="12"/>
  <c r="BW15" i="12" s="1"/>
  <c r="BX15" i="12" s="1"/>
  <c r="BY15" i="12" s="1"/>
  <c r="BU15" i="12"/>
  <c r="BV15" i="12"/>
  <c r="BU61" i="12"/>
  <c r="BV18" i="12"/>
  <c r="BU52" i="12"/>
  <c r="AP49" i="12"/>
  <c r="AX49" i="12" s="1"/>
  <c r="BT45" i="12"/>
  <c r="BW45" i="12" s="1"/>
  <c r="BX45" i="12" s="1"/>
  <c r="BY45" i="12" s="1"/>
  <c r="BU40" i="12"/>
  <c r="BT27" i="12"/>
  <c r="BW27" i="12" s="1"/>
  <c r="BX27" i="12" s="1"/>
  <c r="BY27" i="12" s="1"/>
  <c r="AP15" i="12"/>
  <c r="AJ33" i="12"/>
  <c r="BR33" i="12"/>
  <c r="BR66" i="12"/>
  <c r="AJ66" i="12"/>
  <c r="BT49" i="12"/>
  <c r="BW49" i="12" s="1"/>
  <c r="BX49" i="12" s="1"/>
  <c r="BY49" i="12" s="1"/>
  <c r="BT43" i="12"/>
  <c r="BW43" i="12" s="1"/>
  <c r="BX43" i="12" s="1"/>
  <c r="BY43" i="12" s="1"/>
  <c r="AP45" i="12"/>
  <c r="AX45" i="12" s="1"/>
  <c r="AX63" i="12"/>
  <c r="AY63" i="12"/>
  <c r="AZ63" i="12" s="1"/>
  <c r="AY60" i="12"/>
  <c r="BB60" i="12" s="1"/>
  <c r="AX60" i="12"/>
  <c r="AX21" i="12"/>
  <c r="AY21" i="12"/>
  <c r="AZ21" i="12" s="1"/>
  <c r="AX25" i="12"/>
  <c r="AY25" i="12"/>
  <c r="BB25" i="12" s="1"/>
  <c r="AY42" i="12"/>
  <c r="AZ42" i="12" s="1"/>
  <c r="AX42" i="12"/>
  <c r="AX39" i="12"/>
  <c r="AY47" i="12"/>
  <c r="BB47" i="12" s="1"/>
  <c r="AP46" i="12"/>
  <c r="BU46" i="12"/>
  <c r="BV46" i="12"/>
  <c r="AY43" i="12"/>
  <c r="BB43" i="12" s="1"/>
  <c r="AY58" i="12"/>
  <c r="AZ58" i="12" s="1"/>
  <c r="AY18" i="12"/>
  <c r="AZ18" i="12" s="1"/>
  <c r="AY34" i="12"/>
  <c r="BB34" i="12" s="1"/>
  <c r="AY37" i="12"/>
  <c r="AZ37" i="12" s="1"/>
  <c r="AY51" i="12"/>
  <c r="AZ51" i="12" s="1"/>
  <c r="AX54" i="12"/>
  <c r="S18" i="1"/>
  <c r="BU64" i="12"/>
  <c r="AP64" i="12"/>
  <c r="BV64" i="12"/>
  <c r="BT64" i="12"/>
  <c r="BW64" i="12" s="1"/>
  <c r="BX64" i="12" s="1"/>
  <c r="BY64" i="12" s="1"/>
  <c r="BU19" i="12"/>
  <c r="BT19" i="12"/>
  <c r="BW19" i="12" s="1"/>
  <c r="BX19" i="12" s="1"/>
  <c r="BY19" i="12" s="1"/>
  <c r="AP19" i="12"/>
  <c r="BV19" i="12"/>
  <c r="BU67" i="12"/>
  <c r="BT67" i="12"/>
  <c r="BW67" i="12" s="1"/>
  <c r="BX67" i="12" s="1"/>
  <c r="BY67" i="12" s="1"/>
  <c r="AP67" i="12"/>
  <c r="BV67" i="12"/>
  <c r="BR50" i="12"/>
  <c r="AJ50" i="12"/>
  <c r="BV59" i="12"/>
  <c r="AP59" i="12"/>
  <c r="BU59" i="12"/>
  <c r="BT59" i="12"/>
  <c r="BW59" i="12" s="1"/>
  <c r="BX59" i="12" s="1"/>
  <c r="BY59" i="12" s="1"/>
  <c r="BY47" i="12"/>
  <c r="AJ31" i="12"/>
  <c r="BT17" i="12"/>
  <c r="BW17" i="12" s="1"/>
  <c r="BX17" i="12" s="1"/>
  <c r="BY17" i="12" s="1"/>
  <c r="AP17" i="12"/>
  <c r="BU17" i="12"/>
  <c r="BV17" i="12"/>
  <c r="BY58" i="12"/>
  <c r="BY32" i="12"/>
  <c r="BV28" i="12"/>
  <c r="BU28" i="12"/>
  <c r="AP28" i="12"/>
  <c r="BT28" i="12"/>
  <c r="BW28" i="12" s="1"/>
  <c r="BX28" i="12" s="1"/>
  <c r="BY16" i="12"/>
  <c r="BY61" i="12"/>
  <c r="BY63" i="12"/>
  <c r="BY34" i="12"/>
  <c r="BB42" i="12"/>
  <c r="BY39" i="12"/>
  <c r="BY52" i="12"/>
  <c r="BY60" i="12"/>
  <c r="BY21" i="12"/>
  <c r="BY25" i="12"/>
  <c r="BY42" i="12"/>
  <c r="BW14" i="12" l="1"/>
  <c r="BX14" i="12" s="1"/>
  <c r="AY32" i="12"/>
  <c r="AZ32" i="12" s="1"/>
  <c r="AY24" i="12"/>
  <c r="AZ24" i="12" s="1"/>
  <c r="U79" i="7"/>
  <c r="F29" i="7" s="1"/>
  <c r="AQ14" i="12"/>
  <c r="AT14" i="12"/>
  <c r="BU56" i="12"/>
  <c r="AP56" i="12"/>
  <c r="AX56" i="12" s="1"/>
  <c r="BT30" i="12"/>
  <c r="BW30" i="12" s="1"/>
  <c r="BX30" i="12" s="1"/>
  <c r="BY30" i="12" s="1"/>
  <c r="AX36" i="12"/>
  <c r="T19" i="1"/>
  <c r="BT56" i="12"/>
  <c r="BW56" i="12" s="1"/>
  <c r="BX56" i="12" s="1"/>
  <c r="BY56" i="12" s="1"/>
  <c r="BU20" i="12"/>
  <c r="BU29" i="12"/>
  <c r="BV29" i="12"/>
  <c r="T17" i="1"/>
  <c r="BT55" i="12"/>
  <c r="BW55" i="12" s="1"/>
  <c r="BX55" i="12" s="1"/>
  <c r="BY55" i="12" s="1"/>
  <c r="AP30" i="12"/>
  <c r="AX30" i="12" s="1"/>
  <c r="BT35" i="12"/>
  <c r="BW35" i="12" s="1"/>
  <c r="BX35" i="12" s="1"/>
  <c r="BY35" i="12" s="1"/>
  <c r="BU35" i="12"/>
  <c r="AP41" i="12"/>
  <c r="BT41" i="12"/>
  <c r="BW41" i="12" s="1"/>
  <c r="BX41" i="12" s="1"/>
  <c r="BY41" i="12" s="1"/>
  <c r="AY56" i="12"/>
  <c r="BB56" i="12" s="1"/>
  <c r="AP57" i="12"/>
  <c r="AY57" i="12" s="1"/>
  <c r="BB57" i="12" s="1"/>
  <c r="S19" i="1"/>
  <c r="S17" i="1"/>
  <c r="I45" i="1"/>
  <c r="J45" i="1" s="1"/>
  <c r="AY40" i="12"/>
  <c r="AZ40" i="12" s="1"/>
  <c r="AY30" i="12"/>
  <c r="BB30" i="12" s="1"/>
  <c r="BV22" i="12"/>
  <c r="AP22" i="12"/>
  <c r="BT22" i="12"/>
  <c r="BW22" i="12" s="1"/>
  <c r="BX22" i="12" s="1"/>
  <c r="BY22" i="12" s="1"/>
  <c r="AX35" i="12"/>
  <c r="AY35" i="12"/>
  <c r="BV57" i="12"/>
  <c r="S15" i="1"/>
  <c r="T18" i="1"/>
  <c r="I47" i="1"/>
  <c r="J47" i="1" s="1"/>
  <c r="T15" i="1"/>
  <c r="AX16" i="12"/>
  <c r="AY52" i="12"/>
  <c r="BB52" i="12" s="1"/>
  <c r="AY49" i="12"/>
  <c r="BB49" i="12" s="1"/>
  <c r="BT20" i="12"/>
  <c r="BW20" i="12" s="1"/>
  <c r="BX20" i="12" s="1"/>
  <c r="BY20" i="12" s="1"/>
  <c r="BT38" i="12"/>
  <c r="BW38" i="12" s="1"/>
  <c r="BX38" i="12" s="1"/>
  <c r="BY38" i="12" s="1"/>
  <c r="BU38" i="12"/>
  <c r="BV38" i="12"/>
  <c r="AP38" i="12"/>
  <c r="BB18" i="12"/>
  <c r="BT26" i="12"/>
  <c r="BW26" i="12" s="1"/>
  <c r="BX26" i="12" s="1"/>
  <c r="BY26" i="12" s="1"/>
  <c r="BV44" i="12"/>
  <c r="BT44" i="12"/>
  <c r="BW44" i="12" s="1"/>
  <c r="BX44" i="12" s="1"/>
  <c r="BY44" i="12" s="1"/>
  <c r="BU44" i="12"/>
  <c r="AP44" i="12"/>
  <c r="AY61" i="12"/>
  <c r="BB61" i="12" s="1"/>
  <c r="AP20" i="12"/>
  <c r="AX20" i="12" s="1"/>
  <c r="AP26" i="12"/>
  <c r="AX26" i="12" s="1"/>
  <c r="BU26" i="12"/>
  <c r="BV62" i="12"/>
  <c r="BU62" i="12"/>
  <c r="AP62" i="12"/>
  <c r="BT62" i="12"/>
  <c r="BW62" i="12" s="1"/>
  <c r="BX62" i="12" s="1"/>
  <c r="BY62" i="12" s="1"/>
  <c r="BU65" i="12"/>
  <c r="BV65" i="12"/>
  <c r="AP65" i="12"/>
  <c r="BT65" i="12"/>
  <c r="BW65" i="12" s="1"/>
  <c r="BX65" i="12" s="1"/>
  <c r="BY65" i="12" s="1"/>
  <c r="BV55" i="12"/>
  <c r="AP55" i="12"/>
  <c r="AY26" i="12"/>
  <c r="AU14" i="12"/>
  <c r="AX29" i="12"/>
  <c r="AY29" i="12"/>
  <c r="BV53" i="12"/>
  <c r="BT53" i="12"/>
  <c r="BW53" i="12" s="1"/>
  <c r="BX53" i="12" s="1"/>
  <c r="BY53" i="12" s="1"/>
  <c r="AP53" i="12"/>
  <c r="BU53" i="12"/>
  <c r="BB51" i="12"/>
  <c r="BB37" i="12"/>
  <c r="BT57" i="12"/>
  <c r="BW57" i="12" s="1"/>
  <c r="BX57" i="12" s="1"/>
  <c r="BY57" i="12" s="1"/>
  <c r="AY45" i="12"/>
  <c r="AZ45" i="12" s="1"/>
  <c r="BB24" i="12"/>
  <c r="AY48" i="12"/>
  <c r="AX48" i="12"/>
  <c r="AZ43" i="12"/>
  <c r="AZ47" i="12"/>
  <c r="BU33" i="12"/>
  <c r="BT33" i="12"/>
  <c r="BW33" i="12" s="1"/>
  <c r="BX33" i="12" s="1"/>
  <c r="BY33" i="12" s="1"/>
  <c r="BV33" i="12"/>
  <c r="AP33" i="12"/>
  <c r="AY27" i="12"/>
  <c r="AX27" i="12"/>
  <c r="BB39" i="12"/>
  <c r="AZ60" i="12"/>
  <c r="AZ36" i="12"/>
  <c r="BY14" i="12"/>
  <c r="AS14" i="12"/>
  <c r="BV66" i="12"/>
  <c r="BU66" i="12"/>
  <c r="BT66" i="12"/>
  <c r="BW66" i="12" s="1"/>
  <c r="BX66" i="12" s="1"/>
  <c r="BY66" i="12" s="1"/>
  <c r="AP66" i="12"/>
  <c r="AX15" i="12"/>
  <c r="AY15" i="12"/>
  <c r="BW13" i="12"/>
  <c r="BX13" i="12" s="1"/>
  <c r="AZ34" i="12"/>
  <c r="BB63" i="12"/>
  <c r="AZ25" i="12"/>
  <c r="BB21" i="12"/>
  <c r="AZ54" i="12"/>
  <c r="AZ16" i="12"/>
  <c r="BB58" i="12"/>
  <c r="AX59" i="12"/>
  <c r="AY59" i="12"/>
  <c r="AZ59" i="12" s="1"/>
  <c r="AX67" i="12"/>
  <c r="AY67" i="12"/>
  <c r="BB67" i="12" s="1"/>
  <c r="AX19" i="12"/>
  <c r="AY19" i="12"/>
  <c r="BB19" i="12" s="1"/>
  <c r="AX28" i="12"/>
  <c r="AY28" i="12"/>
  <c r="BB28" i="12" s="1"/>
  <c r="AX17" i="12"/>
  <c r="AY17" i="12"/>
  <c r="BB17" i="12" s="1"/>
  <c r="AY64" i="12"/>
  <c r="AZ64" i="12" s="1"/>
  <c r="AX64" i="12"/>
  <c r="AY46" i="12"/>
  <c r="AX46" i="12"/>
  <c r="AZ57" i="12"/>
  <c r="AP50" i="12"/>
  <c r="BT50" i="12"/>
  <c r="BW50" i="12" s="1"/>
  <c r="BX50" i="12" s="1"/>
  <c r="BY50" i="12" s="1"/>
  <c r="BV50" i="12"/>
  <c r="BU50" i="12"/>
  <c r="BY28" i="12"/>
  <c r="BV31" i="12"/>
  <c r="AP31" i="12"/>
  <c r="BT31" i="12"/>
  <c r="BW31" i="12" s="1"/>
  <c r="BX31" i="12" s="1"/>
  <c r="BY31" i="12" s="1"/>
  <c r="BU31" i="12"/>
  <c r="AZ56" i="12" l="1"/>
  <c r="BB32" i="12"/>
  <c r="AQ13" i="12"/>
  <c r="AT13" i="12"/>
  <c r="S20" i="1"/>
  <c r="AZ49" i="12"/>
  <c r="AX57" i="12"/>
  <c r="BB40" i="12"/>
  <c r="AZ61" i="12"/>
  <c r="T20" i="1"/>
  <c r="AX41" i="12"/>
  <c r="AY41" i="12"/>
  <c r="AX22" i="12"/>
  <c r="AY22" i="12"/>
  <c r="AY20" i="12"/>
  <c r="AZ20" i="12" s="1"/>
  <c r="AZ30" i="12"/>
  <c r="AZ35" i="12"/>
  <c r="BB35" i="12"/>
  <c r="AY38" i="12"/>
  <c r="AX38" i="12"/>
  <c r="AZ52" i="12"/>
  <c r="AY44" i="12"/>
  <c r="AX44" i="12"/>
  <c r="BB45" i="12"/>
  <c r="AY62" i="12"/>
  <c r="AX62" i="12"/>
  <c r="AX55" i="12"/>
  <c r="AY55" i="12"/>
  <c r="AZ26" i="12"/>
  <c r="BB26" i="12"/>
  <c r="AX65" i="12"/>
  <c r="AY65" i="12"/>
  <c r="S22" i="1"/>
  <c r="T22" i="1"/>
  <c r="P35" i="1" s="1"/>
  <c r="BB29" i="12"/>
  <c r="AZ29" i="12"/>
  <c r="AY53" i="12"/>
  <c r="AX53" i="12"/>
  <c r="AZ28" i="12"/>
  <c r="BB48" i="12"/>
  <c r="AZ48" i="12"/>
  <c r="BY13" i="12"/>
  <c r="AR13" i="12" s="1"/>
  <c r="AS13" i="12"/>
  <c r="AU13" i="12"/>
  <c r="AR14" i="12"/>
  <c r="AY14" i="12" s="1"/>
  <c r="AX14" i="12"/>
  <c r="AY33" i="12"/>
  <c r="AX33" i="12"/>
  <c r="AZ19" i="12"/>
  <c r="AZ15" i="12"/>
  <c r="BB15" i="12"/>
  <c r="AX66" i="12"/>
  <c r="AY66" i="12"/>
  <c r="AZ27" i="12"/>
  <c r="BB27" i="12"/>
  <c r="BB59" i="12"/>
  <c r="AZ67" i="12"/>
  <c r="AZ17" i="12"/>
  <c r="BB64" i="12"/>
  <c r="AZ46" i="12"/>
  <c r="BB46" i="12"/>
  <c r="AY31" i="12"/>
  <c r="BB31" i="12" s="1"/>
  <c r="AX31" i="12"/>
  <c r="AY50" i="12"/>
  <c r="AZ50" i="12" s="1"/>
  <c r="AX50" i="12"/>
  <c r="BB50" i="12"/>
  <c r="I49" i="1" l="1"/>
  <c r="I52" i="1"/>
  <c r="AY13" i="12"/>
  <c r="AY69" i="12" s="1"/>
  <c r="BB69" i="12" s="1"/>
  <c r="BB20" i="12"/>
  <c r="AZ41" i="12"/>
  <c r="BB41" i="12"/>
  <c r="BB22" i="12"/>
  <c r="AZ22" i="12"/>
  <c r="BB38" i="12"/>
  <c r="AZ38" i="12"/>
  <c r="D122" i="3"/>
  <c r="F133" i="3" s="1"/>
  <c r="BB44" i="12"/>
  <c r="AZ44" i="12"/>
  <c r="BB62" i="12"/>
  <c r="AZ62" i="12"/>
  <c r="AZ65" i="12"/>
  <c r="BB65" i="12"/>
  <c r="BB55" i="12"/>
  <c r="AZ55" i="12"/>
  <c r="I53" i="1"/>
  <c r="J53" i="1" s="1"/>
  <c r="I51" i="1"/>
  <c r="J51" i="1" s="1"/>
  <c r="I50" i="1"/>
  <c r="J50" i="1" s="1"/>
  <c r="J52" i="1"/>
  <c r="AZ53" i="12"/>
  <c r="BB53" i="12"/>
  <c r="AZ66" i="12"/>
  <c r="BB66" i="12"/>
  <c r="BB33" i="12"/>
  <c r="AZ33" i="12"/>
  <c r="AX13" i="12"/>
  <c r="BB14" i="12"/>
  <c r="AZ14" i="12"/>
  <c r="AZ31" i="12"/>
  <c r="S30" i="1"/>
  <c r="P32" i="1"/>
  <c r="P34" i="1"/>
  <c r="T30" i="1"/>
  <c r="P33" i="1"/>
  <c r="G133" i="3" l="1"/>
  <c r="H133" i="3" s="1"/>
  <c r="I57" i="1"/>
  <c r="J49" i="1"/>
  <c r="J57" i="1" s="1"/>
  <c r="I58" i="1"/>
  <c r="S10" i="1" s="1"/>
  <c r="BB13" i="12"/>
  <c r="AZ13" i="12"/>
  <c r="AZ69" i="12" s="1"/>
  <c r="AZ7" i="12" s="1"/>
  <c r="BB7" i="12"/>
  <c r="AY7" i="12"/>
  <c r="S34" i="1"/>
  <c r="T34" i="1"/>
  <c r="T32" i="1"/>
  <c r="S32" i="1"/>
  <c r="P36" i="1"/>
  <c r="S33" i="1"/>
  <c r="T33" i="1"/>
  <c r="S35" i="1"/>
  <c r="T35" i="1"/>
  <c r="J58" i="1" l="1"/>
  <c r="T36" i="1"/>
  <c r="T24" i="1" s="1"/>
  <c r="T26" i="1" s="1"/>
  <c r="S36" i="1"/>
  <c r="S24" i="1" s="1"/>
  <c r="S26" i="1" s="1"/>
</calcChain>
</file>

<file path=xl/comments1.xml><?xml version="1.0" encoding="utf-8"?>
<comments xmlns="http://schemas.openxmlformats.org/spreadsheetml/2006/main">
  <authors>
    <author>Bé Keizer</author>
    <author>Keizer</author>
  </authors>
  <commentList>
    <comment ref="G14" authorId="0">
      <text>
        <r>
          <rPr>
            <sz val="8"/>
            <color indexed="81"/>
            <rFont val="Tahoma"/>
            <family val="2"/>
          </rPr>
          <t xml:space="preserve">
Alleen bij de functie ID1 geldt dat er sprake is van een aanloopschaal van twee regels. Deze aanloopschalen zijn in dit instrument buiten beschouwing gelaten, gestart wordt met regel 1. 
Zie de tabellen rij 48.
</t>
        </r>
      </text>
    </comment>
    <comment ref="F23" authorId="0">
      <text>
        <r>
          <rPr>
            <sz val="9"/>
            <color indexed="81"/>
            <rFont val="Tahoma"/>
            <family val="2"/>
          </rPr>
          <t xml:space="preserve">
Geldt voor de leraren schaal LA op de basisschool resp. LB op de SBO / (V)SO die op 1 januari 2012 op regel 15 van hun schaal zaten.</t>
        </r>
      </text>
    </comment>
    <comment ref="F27" authorId="1">
      <text>
        <r>
          <rPr>
            <sz val="9"/>
            <color indexed="81"/>
            <rFont val="Tahoma"/>
            <family val="2"/>
          </rPr>
          <t>Deze eindejaarsuitkering wordt toegekend aan de schalen 1  t/m 8. Zie tabellen.</t>
        </r>
      </text>
    </comment>
    <comment ref="F28" authorId="0">
      <text>
        <r>
          <rPr>
            <sz val="9"/>
            <color indexed="81"/>
            <rFont val="Tahoma"/>
            <family val="2"/>
          </rPr>
          <t xml:space="preserve">
Geldt voor de directeuren verbonden aan een school PO die benoemd zijn in de schalen DA t/m DCuitloop (incl. meerhoofdig).</t>
        </r>
      </text>
    </comment>
    <comment ref="G33" authorId="0">
      <text>
        <r>
          <rPr>
            <sz val="9"/>
            <color indexed="81"/>
            <rFont val="Tahoma"/>
            <family val="2"/>
          </rPr>
          <t xml:space="preserve">
De uitkering bedraagt bij een normbetrekking 200 euro die in de maanden januari t/m oktober wordt opgebouwd en uitgekeerd in oktober. </t>
        </r>
      </text>
    </comment>
    <comment ref="E38" authorId="1">
      <text>
        <r>
          <rPr>
            <sz val="9"/>
            <color indexed="81"/>
            <rFont val="Tahoma"/>
            <family val="2"/>
          </rPr>
          <t xml:space="preserve">
Het jaarinkomen ABP wordt in januari van elk jaar bepaald.</t>
        </r>
      </text>
    </comment>
    <comment ref="G39" authorId="1">
      <text>
        <r>
          <rPr>
            <sz val="9"/>
            <color indexed="81"/>
            <rFont val="Tahoma"/>
            <family val="2"/>
          </rPr>
          <t xml:space="preserve">
De 0,8% wordt berekend over het bruto-loon en de uitlooptoeslag, en is niet pensioengevend. Daarom worden er ook geen pensioenpremies over berekend, wel de andere premies.
Als men onder het overgangsrecht VPL valt komt men niet in aanmerking voor de opslag van 0,8%. De grens ligt bij: geboren voor 1950.</t>
        </r>
      </text>
    </comment>
    <comment ref="E49" authorId="1">
      <text>
        <r>
          <rPr>
            <sz val="9"/>
            <color indexed="81"/>
            <rFont val="Tahoma"/>
            <family val="2"/>
          </rPr>
          <t xml:space="preserve">
</t>
        </r>
        <r>
          <rPr>
            <sz val="11"/>
            <color indexed="81"/>
            <rFont val="Tahoma"/>
            <family val="2"/>
          </rPr>
          <t>Voor de WAO/WIA geldt een basispremie van 0,00% voor werknemers die op 1 januari 2008 in dienst waren en per 1 januari 2013 ouder dan 59,5 jaar waren maar nog geen 62 jaar. Anders geldt de basispremie van 4,65% plus de WGA-premie. De WGA rekenpremie is gesteld op 0,54%. Daarnaast geldt nog een voor de werkgever variabele WGA-werkgeversopslag die door de Belastingdienst wordt vastgesteld. Die opslag dient u in het werkblad tabellen in te voeren (cel C58).
Voor de premieheffing voor oudere werknemers, zie de toelichting en het bericht op de website over premiekorting en premievrijstelling.</t>
        </r>
      </text>
    </comment>
    <comment ref="G52" authorId="0">
      <text>
        <r>
          <rPr>
            <sz val="9"/>
            <color indexed="81"/>
            <rFont val="Tahoma"/>
            <family val="2"/>
          </rPr>
          <t xml:space="preserve">
Zie toelichting:
1 = premie verplichte verzekering (7,77%)
2 = premie vrijwillige verzekering (7,70%)
3 = eigenrisicodrager (0,29%)
4 = geen vrijwillige verzekering (0,00%)</t>
        </r>
      </text>
    </comment>
    <comment ref="E55" authorId="1">
      <text>
        <r>
          <rPr>
            <sz val="9"/>
            <color indexed="81"/>
            <rFont val="Tahoma"/>
            <family val="2"/>
          </rPr>
          <t xml:space="preserve">
Denk hierbij aan reis- en verblijfkosten, een eventuele parkeervergoeding, EHBO- of telefoontoelage etc.
Eigenrisicodragers VF: ziektekosten die niet gedeclareerd kunnen worden.</t>
        </r>
      </text>
    </comment>
  </commentList>
</comments>
</file>

<file path=xl/comments2.xml><?xml version="1.0" encoding="utf-8"?>
<comments xmlns="http://schemas.openxmlformats.org/spreadsheetml/2006/main">
  <authors>
    <author>Bé Keizer</author>
    <author>Gebruiker</author>
    <author>Keizer</author>
  </authors>
  <commentList>
    <comment ref="D13" authorId="0">
      <text>
        <r>
          <rPr>
            <sz val="8"/>
            <color indexed="81"/>
            <rFont val="Tahoma"/>
            <family val="2"/>
          </rPr>
          <t xml:space="preserve">
Alleen bij de functie ID1 geldt dat er sprake is van een aanloopschaal van twee regels. Die eerste twee regels zijn daarom weggelaten en de gehele schaal omvat daarom in dit instrument 7 regels i.p.v. 9. Zie de tabellen rij 48.</t>
        </r>
      </text>
    </comment>
    <comment ref="E28" authorId="1">
      <text>
        <r>
          <rPr>
            <sz val="8"/>
            <color indexed="81"/>
            <rFont val="Tahoma"/>
            <family val="2"/>
          </rPr>
          <t xml:space="preserve">
</t>
        </r>
        <r>
          <rPr>
            <sz val="10"/>
            <color indexed="81"/>
            <rFont val="Tahoma"/>
            <family val="2"/>
          </rPr>
          <t>delen van een maand als hele maand rekenen</t>
        </r>
      </text>
    </comment>
    <comment ref="J43" authorId="0">
      <text>
        <r>
          <rPr>
            <sz val="9"/>
            <color indexed="81"/>
            <rFont val="Tahoma"/>
            <family val="2"/>
          </rPr>
          <t xml:space="preserve">
Betreft niveau 2012 en geldt voor 26 weken.De korting is niet meer dan het bedrag dat u in 2012 minder krijgt aan belastbaar loon in vergelijking met 2011. De korting bedraagt € 4,18 per opgenomen uur (Belastingen, inkomstenbelasting 2012).
</t>
        </r>
      </text>
    </comment>
    <comment ref="H45" authorId="2">
      <text>
        <r>
          <rPr>
            <sz val="8"/>
            <color indexed="81"/>
            <rFont val="Tahoma"/>
            <family val="2"/>
          </rPr>
          <t xml:space="preserve">
Betreft niveau 2012
</t>
        </r>
      </text>
    </comment>
    <comment ref="H54" authorId="2">
      <text>
        <r>
          <rPr>
            <sz val="8"/>
            <color indexed="81"/>
            <rFont val="Tahoma"/>
            <family val="2"/>
          </rPr>
          <t>Vaststellen op basis van totaal aantal fte gedeeld door het totaal aantal personeelsleden bij het betreffende bestuur. 
De 73,9% is een landelijk cijfer van 2010.</t>
        </r>
      </text>
    </comment>
  </commentList>
</comments>
</file>

<file path=xl/comments3.xml><?xml version="1.0" encoding="utf-8"?>
<comments xmlns="http://schemas.openxmlformats.org/spreadsheetml/2006/main">
  <authors>
    <author>Keizer</author>
  </authors>
  <commentList>
    <comment ref="D10" authorId="0">
      <text>
        <r>
          <rPr>
            <sz val="9"/>
            <color indexed="81"/>
            <rFont val="Tahoma"/>
            <family val="2"/>
          </rPr>
          <t xml:space="preserve">
Opgave i.v.m. toe(s)lagen.
OOP S9 houdt in inschaling in schaal 9 of hoger voor OOP.</t>
        </r>
      </text>
    </comment>
  </commentList>
</comments>
</file>

<file path=xl/comments4.xml><?xml version="1.0" encoding="utf-8"?>
<comments xmlns="http://schemas.openxmlformats.org/spreadsheetml/2006/main">
  <authors>
    <author>Keizer</author>
  </authors>
  <commentList>
    <comment ref="F40" authorId="0">
      <text>
        <r>
          <rPr>
            <sz val="8"/>
            <color indexed="81"/>
            <rFont val="Tahoma"/>
            <family val="2"/>
          </rPr>
          <t>Omvang personeelsbestand bestuur in aantal fte.</t>
        </r>
      </text>
    </comment>
    <comment ref="F41" authorId="0">
      <text>
        <r>
          <rPr>
            <sz val="8"/>
            <color indexed="81"/>
            <rFont val="Tahoma"/>
            <family val="2"/>
          </rPr>
          <t xml:space="preserve">
Vaststellen op basis van totaal aantal fte gedeeld door het totaal aantal personeelsleden bij het betreffende bestuur. 
De 73,9% is een landelijk gegeven (2010).</t>
        </r>
      </text>
    </comment>
    <comment ref="F44" authorId="0">
      <text>
        <r>
          <rPr>
            <sz val="8"/>
            <color indexed="81"/>
            <rFont val="Tahoma"/>
            <family val="2"/>
          </rPr>
          <t xml:space="preserve">
Aantal herintreders in fte gedeeld door aantal fte.
Landelijke raming ontbreekt. Raming kan per bestuur sterk variëren. Daarom vaststellen op basis van eigen gegevens.</t>
        </r>
      </text>
    </comment>
    <comment ref="F46" authorId="0">
      <text>
        <r>
          <rPr>
            <sz val="8"/>
            <color indexed="81"/>
            <rFont val="Tahoma"/>
            <family val="2"/>
          </rPr>
          <t>Is mede gebaseerd op de aanname dat even vaak sprake is van 1 als 2 periodieken, gemiddeld dus 1,5 periodiek.</t>
        </r>
      </text>
    </comment>
  </commentList>
</comments>
</file>

<file path=xl/comments5.xml><?xml version="1.0" encoding="utf-8"?>
<comments xmlns="http://schemas.openxmlformats.org/spreadsheetml/2006/main">
  <authors>
    <author>Bé Keizer</author>
    <author xml:space="preserve"> </author>
    <author>Keizer</author>
  </authors>
  <commentList>
    <comment ref="J9" authorId="0">
      <text>
        <r>
          <rPr>
            <sz val="9"/>
            <color indexed="81"/>
            <rFont val="Tahoma"/>
            <family val="2"/>
          </rPr>
          <t xml:space="preserve">
Geldt voor de leraren schaal LA op de basisschool resp. LB op de SBO / (V)SO die op 1 augustus 2013 op regel 15 van hun schaal zaten.</t>
        </r>
      </text>
    </comment>
    <comment ref="M9" authorId="1">
      <text>
        <r>
          <rPr>
            <sz val="8"/>
            <color indexed="81"/>
            <rFont val="Tahoma"/>
            <family val="2"/>
          </rPr>
          <t xml:space="preserve">
vrijstelling basispremie in 2008?</t>
        </r>
      </text>
    </comment>
    <comment ref="N9" authorId="0">
      <text>
        <r>
          <rPr>
            <sz val="11"/>
            <color indexed="81"/>
            <rFont val="Tahoma"/>
            <family val="2"/>
          </rPr>
          <t xml:space="preserve">
Zie toelichting:
1 = premie verplichte verzekering (7,77%)
2 = premie vrijwillige verzekering (7,70%)
3= eigenrisicodrager (0,29%)
4 = geen vrijwillige verzekering (0,00%)</t>
        </r>
      </text>
    </comment>
    <comment ref="AQ9" authorId="2">
      <text>
        <r>
          <rPr>
            <sz val="9"/>
            <color indexed="81"/>
            <rFont val="Tahoma"/>
            <family val="2"/>
          </rPr>
          <t xml:space="preserve">
</t>
        </r>
        <r>
          <rPr>
            <sz val="11"/>
            <color indexed="81"/>
            <rFont val="Tahoma"/>
            <family val="2"/>
          </rPr>
          <t>Voor de WAO/WIA geldt een basispremie van 0,00% voor werknemers die op 1 januari 2008 in dienst waren en per 1 januari 2013 ouder dan 59,5 jaar waren maar nog geen 62 jaar. Anders geldt de basispremie van 4,65% plus de WGA-premie. De WGA rekenpremie is gesteld op 0,54%. Daarnaast geldt nog een voor de werkgever variabele WGA-werkgeversopslag die door de Belastingdienst wordt vastgesteld. Die opslag dient u in het werkblad tabellen in te voeren (cel C58).
Voor de premieheffing voor oudere werknemers, zie de toelichting en het bericht op de website over premiekorting en premievrijstelling.</t>
        </r>
      </text>
    </comment>
    <comment ref="AW9" authorId="2">
      <text>
        <r>
          <rPr>
            <sz val="9"/>
            <color indexed="81"/>
            <rFont val="Tahoma"/>
            <family val="2"/>
          </rPr>
          <t xml:space="preserve">
Denk hierbij aan reis- en verblijfkosten, een eventuele parkeervergoeding, EHBO- of telefoontoelage, eigen risico VF: vervangingskosten etc.</t>
        </r>
      </text>
    </comment>
    <comment ref="BL13" authorId="0">
      <text>
        <r>
          <rPr>
            <sz val="9"/>
            <color indexed="81"/>
            <rFont val="Tahoma"/>
            <family val="2"/>
          </rPr>
          <t xml:space="preserve">
Geldt voor de leraren schaal LA op de basisschool resp. LB op de SBO / (V)SO die op 1 januari 2013 op regel 15 van hun schaal zaten.</t>
        </r>
      </text>
    </comment>
    <comment ref="BL14" authorId="0">
      <text>
        <r>
          <rPr>
            <sz val="9"/>
            <color indexed="81"/>
            <rFont val="Tahoma"/>
            <family val="2"/>
          </rPr>
          <t xml:space="preserve">
Geldt voor de leraren schaal LA op de basisschool resp. LB op de SBO / (V)SO die op 1 januari 2012 op regel 15 van hun schaal zaten.</t>
        </r>
      </text>
    </comment>
    <comment ref="BL15" authorId="0">
      <text>
        <r>
          <rPr>
            <sz val="9"/>
            <color indexed="81"/>
            <rFont val="Tahoma"/>
            <family val="2"/>
          </rPr>
          <t xml:space="preserve">
Geldt voor de leraren schaal LA op de basisschool resp. LB op de SBO / (V)SO die op 1 januari 2012 op regel 15 van hun schaal zaten.</t>
        </r>
      </text>
    </comment>
    <comment ref="BL16" authorId="0">
      <text>
        <r>
          <rPr>
            <sz val="9"/>
            <color indexed="81"/>
            <rFont val="Tahoma"/>
            <family val="2"/>
          </rPr>
          <t xml:space="preserve">
Geldt voor de leraren schaal LA op de basisschool resp. LB op de SBO / (V)SO die op 1 januari 2012 op regel 15 van hun schaal zaten.</t>
        </r>
      </text>
    </comment>
    <comment ref="BL17" authorId="0">
      <text>
        <r>
          <rPr>
            <sz val="9"/>
            <color indexed="81"/>
            <rFont val="Tahoma"/>
            <family val="2"/>
          </rPr>
          <t xml:space="preserve">
Geldt voor de leraren schaal LA op de basisschool resp. LB op de SBO / (V)SO die op 1 januari 2012 op regel 15 van hun schaal zaten.</t>
        </r>
      </text>
    </comment>
    <comment ref="BL18" authorId="0">
      <text>
        <r>
          <rPr>
            <sz val="9"/>
            <color indexed="81"/>
            <rFont val="Tahoma"/>
            <family val="2"/>
          </rPr>
          <t xml:space="preserve">
Geldt voor de leraren schaal LA op de basisschool resp. LB op de SBO / (V)SO die op 1 januari 2012 op regel 15 van hun schaal zaten.</t>
        </r>
      </text>
    </comment>
    <comment ref="BL19" authorId="0">
      <text>
        <r>
          <rPr>
            <sz val="9"/>
            <color indexed="81"/>
            <rFont val="Tahoma"/>
            <family val="2"/>
          </rPr>
          <t xml:space="preserve">
Geldt voor de leraren schaal LA op de basisschool resp. LB op de SBO / (V)SO die op 1 januari 2012 op regel 15 van hun schaal zaten.</t>
        </r>
      </text>
    </comment>
    <comment ref="BL20" authorId="0">
      <text>
        <r>
          <rPr>
            <sz val="9"/>
            <color indexed="81"/>
            <rFont val="Tahoma"/>
            <family val="2"/>
          </rPr>
          <t xml:space="preserve">
Geldt voor de leraren schaal LA op de basisschool resp. LB op de SBO / (V)SO die op 1 januari 2012 op regel 15 van hun schaal zaten.</t>
        </r>
      </text>
    </comment>
    <comment ref="BL21" authorId="0">
      <text>
        <r>
          <rPr>
            <sz val="9"/>
            <color indexed="81"/>
            <rFont val="Tahoma"/>
            <family val="2"/>
          </rPr>
          <t xml:space="preserve">
Geldt voor de leraren schaal LA op de basisschool resp. LB op de SBO / (V)SO die op 1 januari 2012 op regel 15 van hun schaal zaten.</t>
        </r>
      </text>
    </comment>
    <comment ref="BL22" authorId="0">
      <text>
        <r>
          <rPr>
            <sz val="9"/>
            <color indexed="81"/>
            <rFont val="Tahoma"/>
            <family val="2"/>
          </rPr>
          <t xml:space="preserve">
Geldt voor de leraren schaal LA op de basisschool resp. LB op de SBO / (V)SO die op 1 januari 2012 op regel 15 van hun schaal zaten.</t>
        </r>
      </text>
    </comment>
    <comment ref="BL23" authorId="0">
      <text>
        <r>
          <rPr>
            <sz val="9"/>
            <color indexed="81"/>
            <rFont val="Tahoma"/>
            <family val="2"/>
          </rPr>
          <t xml:space="preserve">
Geldt voor de leraren schaal LA op de basisschool resp. LB op de SBO / (V)SO die op 1 januari 2012 op regel 15 van hun schaal zaten.</t>
        </r>
      </text>
    </comment>
    <comment ref="BL24" authorId="0">
      <text>
        <r>
          <rPr>
            <sz val="9"/>
            <color indexed="81"/>
            <rFont val="Tahoma"/>
            <family val="2"/>
          </rPr>
          <t xml:space="preserve">
Geldt voor de leraren schaal LA op de basisschool resp. LB op de SBO / (V)SO die op 1 januari 2012 op regel 15 van hun schaal zaten.</t>
        </r>
      </text>
    </comment>
    <comment ref="BL25" authorId="0">
      <text>
        <r>
          <rPr>
            <sz val="9"/>
            <color indexed="81"/>
            <rFont val="Tahoma"/>
            <family val="2"/>
          </rPr>
          <t xml:space="preserve">
Geldt voor de leraren schaal LA op de basisschool resp. LB op de SBO / (V)SO die op 1 januari 2012 op regel 15 van hun schaal zaten.</t>
        </r>
      </text>
    </comment>
    <comment ref="BL26" authorId="0">
      <text>
        <r>
          <rPr>
            <sz val="9"/>
            <color indexed="81"/>
            <rFont val="Tahoma"/>
            <family val="2"/>
          </rPr>
          <t xml:space="preserve">
Geldt voor de leraren schaal LA op de basisschool resp. LB op de SBO / (V)SO die op 1 januari 2012 op regel 15 van hun schaal zaten.</t>
        </r>
      </text>
    </comment>
    <comment ref="BL27" authorId="0">
      <text>
        <r>
          <rPr>
            <sz val="9"/>
            <color indexed="81"/>
            <rFont val="Tahoma"/>
            <family val="2"/>
          </rPr>
          <t xml:space="preserve">
Geldt voor de leraren schaal LA op de basisschool resp. LB op de SBO / (V)SO die op 1 januari 2012 op regel 15 van hun schaal zaten.</t>
        </r>
      </text>
    </comment>
    <comment ref="BL28" authorId="0">
      <text>
        <r>
          <rPr>
            <sz val="9"/>
            <color indexed="81"/>
            <rFont val="Tahoma"/>
            <family val="2"/>
          </rPr>
          <t xml:space="preserve">
Geldt voor de leraren schaal LA op de basisschool resp. LB op de SBO / (V)SO die op 1 januari 2012 op regel 15 van hun schaal zaten.</t>
        </r>
      </text>
    </comment>
    <comment ref="BL29" authorId="0">
      <text>
        <r>
          <rPr>
            <sz val="9"/>
            <color indexed="81"/>
            <rFont val="Tahoma"/>
            <family val="2"/>
          </rPr>
          <t xml:space="preserve">
Geldt voor de leraren schaal LA op de basisschool resp. LB op de SBO / (V)SO die op 1 januari 2012 op regel 15 van hun schaal zaten.</t>
        </r>
      </text>
    </comment>
    <comment ref="BL30" authorId="0">
      <text>
        <r>
          <rPr>
            <sz val="9"/>
            <color indexed="81"/>
            <rFont val="Tahoma"/>
            <family val="2"/>
          </rPr>
          <t xml:space="preserve">
Geldt voor de leraren schaal LA op de basisschool resp. LB op de SBO / (V)SO die op 1 januari 2012 op regel 15 van hun schaal zaten.</t>
        </r>
      </text>
    </comment>
    <comment ref="BL31" authorId="0">
      <text>
        <r>
          <rPr>
            <sz val="9"/>
            <color indexed="81"/>
            <rFont val="Tahoma"/>
            <family val="2"/>
          </rPr>
          <t xml:space="preserve">
Geldt voor de leraren schaal LA op de basisschool resp. LB op de SBO / (V)SO die op 1 januari 2012 op regel 15 van hun schaal zaten.</t>
        </r>
      </text>
    </comment>
    <comment ref="BL32" authorId="0">
      <text>
        <r>
          <rPr>
            <sz val="9"/>
            <color indexed="81"/>
            <rFont val="Tahoma"/>
            <family val="2"/>
          </rPr>
          <t xml:space="preserve">
Geldt voor de leraren schaal LA op de basisschool resp. LB op de SBO / (V)SO die op 1 januari 2012 op regel 15 van hun schaal zaten.</t>
        </r>
      </text>
    </comment>
    <comment ref="BL33" authorId="0">
      <text>
        <r>
          <rPr>
            <sz val="9"/>
            <color indexed="81"/>
            <rFont val="Tahoma"/>
            <family val="2"/>
          </rPr>
          <t xml:space="preserve">
Geldt voor de leraren schaal LA op de basisschool resp. LB op de SBO / (V)SO die op 1 januari 2012 op regel 15 van hun schaal zaten.</t>
        </r>
      </text>
    </comment>
    <comment ref="BL34" authorId="0">
      <text>
        <r>
          <rPr>
            <sz val="9"/>
            <color indexed="81"/>
            <rFont val="Tahoma"/>
            <family val="2"/>
          </rPr>
          <t xml:space="preserve">
Geldt voor de leraren schaal LA op de basisschool resp. LB op de SBO / (V)SO die op 1 januari 2012 op regel 15 van hun schaal zaten.</t>
        </r>
      </text>
    </comment>
    <comment ref="BL35" authorId="0">
      <text>
        <r>
          <rPr>
            <sz val="9"/>
            <color indexed="81"/>
            <rFont val="Tahoma"/>
            <family val="2"/>
          </rPr>
          <t xml:space="preserve">
Geldt voor de leraren schaal LA op de basisschool resp. LB op de SBO / (V)SO die op 1 januari 2012 op regel 15 van hun schaal zaten.</t>
        </r>
      </text>
    </comment>
    <comment ref="BL36" authorId="0">
      <text>
        <r>
          <rPr>
            <sz val="9"/>
            <color indexed="81"/>
            <rFont val="Tahoma"/>
            <family val="2"/>
          </rPr>
          <t xml:space="preserve">
Geldt voor de leraren schaal LA op de basisschool resp. LB op de SBO / (V)SO die op 1 januari 2012 op regel 15 van hun schaal zaten.</t>
        </r>
      </text>
    </comment>
    <comment ref="BL37" authorId="0">
      <text>
        <r>
          <rPr>
            <sz val="9"/>
            <color indexed="81"/>
            <rFont val="Tahoma"/>
            <family val="2"/>
          </rPr>
          <t xml:space="preserve">
Geldt voor de leraren schaal LA op de basisschool resp. LB op de SBO / (V)SO die op 1 januari 2012 op regel 15 van hun schaal zaten.</t>
        </r>
      </text>
    </comment>
    <comment ref="BL38" authorId="0">
      <text>
        <r>
          <rPr>
            <sz val="9"/>
            <color indexed="81"/>
            <rFont val="Tahoma"/>
            <family val="2"/>
          </rPr>
          <t xml:space="preserve">
Geldt voor de leraren schaal LA op de basisschool resp. LB op de SBO / (V)SO die op 1 januari 2012 op regel 15 van hun schaal zaten.</t>
        </r>
      </text>
    </comment>
    <comment ref="BL39" authorId="0">
      <text>
        <r>
          <rPr>
            <sz val="9"/>
            <color indexed="81"/>
            <rFont val="Tahoma"/>
            <family val="2"/>
          </rPr>
          <t xml:space="preserve">
Geldt voor de leraren schaal LA op de basisschool resp. LB op de SBO / (V)SO die op 1 januari 2012 op regel 15 van hun schaal zaten.</t>
        </r>
      </text>
    </comment>
    <comment ref="BL40" authorId="0">
      <text>
        <r>
          <rPr>
            <sz val="9"/>
            <color indexed="81"/>
            <rFont val="Tahoma"/>
            <family val="2"/>
          </rPr>
          <t xml:space="preserve">
Geldt voor de leraren schaal LA op de basisschool resp. LB op de SBO / (V)SO die op 1 januari 2012 op regel 15 van hun schaal zaten.</t>
        </r>
      </text>
    </comment>
    <comment ref="BL41" authorId="0">
      <text>
        <r>
          <rPr>
            <sz val="9"/>
            <color indexed="81"/>
            <rFont val="Tahoma"/>
            <family val="2"/>
          </rPr>
          <t xml:space="preserve">
Geldt voor de leraren schaal LA op de basisschool resp. LB op de SBO / (V)SO die op 1 januari 2012 op regel 15 van hun schaal zaten.</t>
        </r>
      </text>
    </comment>
    <comment ref="BL42" authorId="0">
      <text>
        <r>
          <rPr>
            <sz val="9"/>
            <color indexed="81"/>
            <rFont val="Tahoma"/>
            <family val="2"/>
          </rPr>
          <t xml:space="preserve">
Geldt voor de leraren schaal LA op de basisschool resp. LB op de SBO / (V)SO die op 1 januari 2012 op regel 15 van hun schaal zaten.</t>
        </r>
      </text>
    </comment>
    <comment ref="BL43" authorId="0">
      <text>
        <r>
          <rPr>
            <sz val="9"/>
            <color indexed="81"/>
            <rFont val="Tahoma"/>
            <family val="2"/>
          </rPr>
          <t xml:space="preserve">
Geldt voor de leraren schaal LA op de basisschool resp. LB op de SBO / (V)SO die op 1 januari 2012 op regel 15 van hun schaal zaten.</t>
        </r>
      </text>
    </comment>
    <comment ref="BL44" authorId="0">
      <text>
        <r>
          <rPr>
            <sz val="9"/>
            <color indexed="81"/>
            <rFont val="Tahoma"/>
            <family val="2"/>
          </rPr>
          <t xml:space="preserve">
Geldt voor de leraren schaal LA op de basisschool resp. LB op de SBO / (V)SO die op 1 januari 2012 op regel 15 van hun schaal zaten.</t>
        </r>
      </text>
    </comment>
    <comment ref="BL45" authorId="0">
      <text>
        <r>
          <rPr>
            <sz val="9"/>
            <color indexed="81"/>
            <rFont val="Tahoma"/>
            <family val="2"/>
          </rPr>
          <t xml:space="preserve">
Geldt voor de leraren schaal LA op de basisschool resp. LB op de SBO / (V)SO die op 1 januari 2012 op regel 15 van hun schaal zaten.</t>
        </r>
      </text>
    </comment>
    <comment ref="BL46" authorId="0">
      <text>
        <r>
          <rPr>
            <sz val="9"/>
            <color indexed="81"/>
            <rFont val="Tahoma"/>
            <family val="2"/>
          </rPr>
          <t xml:space="preserve">
Geldt voor de leraren schaal LA op de basisschool resp. LB op de SBO / (V)SO die op 1 januari 2012 op regel 15 van hun schaal zaten.</t>
        </r>
      </text>
    </comment>
    <comment ref="BL47" authorId="0">
      <text>
        <r>
          <rPr>
            <sz val="9"/>
            <color indexed="81"/>
            <rFont val="Tahoma"/>
            <family val="2"/>
          </rPr>
          <t xml:space="preserve">
Geldt voor de leraren schaal LA op de basisschool resp. LB op de SBO / (V)SO die op 1 januari 2012 op regel 15 van hun schaal zaten.</t>
        </r>
      </text>
    </comment>
    <comment ref="BL48" authorId="0">
      <text>
        <r>
          <rPr>
            <sz val="9"/>
            <color indexed="81"/>
            <rFont val="Tahoma"/>
            <family val="2"/>
          </rPr>
          <t xml:space="preserve">
Geldt voor de leraren schaal LA op de basisschool resp. LB op de SBO / (V)SO die op 1 januari 2012 op regel 15 van hun schaal zaten.</t>
        </r>
      </text>
    </comment>
    <comment ref="BL49" authorId="0">
      <text>
        <r>
          <rPr>
            <sz val="9"/>
            <color indexed="81"/>
            <rFont val="Tahoma"/>
            <family val="2"/>
          </rPr>
          <t xml:space="preserve">
Geldt voor de leraren schaal LA op de basisschool resp. LB op de SBO / (V)SO die op 1 januari 2012 op regel 15 van hun schaal zaten.</t>
        </r>
      </text>
    </comment>
    <comment ref="BL50" authorId="0">
      <text>
        <r>
          <rPr>
            <sz val="9"/>
            <color indexed="81"/>
            <rFont val="Tahoma"/>
            <family val="2"/>
          </rPr>
          <t xml:space="preserve">
Geldt voor de leraren schaal LA op de basisschool resp. LB op de SBO / (V)SO die op 1 januari 2012 op regel 15 van hun schaal zaten.</t>
        </r>
      </text>
    </comment>
    <comment ref="BL51" authorId="0">
      <text>
        <r>
          <rPr>
            <sz val="9"/>
            <color indexed="81"/>
            <rFont val="Tahoma"/>
            <family val="2"/>
          </rPr>
          <t xml:space="preserve">
Geldt voor de leraren schaal LA op de basisschool resp. LB op de SBO / (V)SO die op 1 januari 2012 op regel 15 van hun schaal zaten.</t>
        </r>
      </text>
    </comment>
    <comment ref="BL52" authorId="0">
      <text>
        <r>
          <rPr>
            <sz val="9"/>
            <color indexed="81"/>
            <rFont val="Tahoma"/>
            <family val="2"/>
          </rPr>
          <t xml:space="preserve">
Geldt voor de leraren schaal LA op de basisschool resp. LB op de SBO / (V)SO die op 1 januari 2012 op regel 15 van hun schaal zaten.</t>
        </r>
      </text>
    </comment>
    <comment ref="BL53" authorId="0">
      <text>
        <r>
          <rPr>
            <sz val="9"/>
            <color indexed="81"/>
            <rFont val="Tahoma"/>
            <family val="2"/>
          </rPr>
          <t xml:space="preserve">
Geldt voor de leraren schaal LA op de basisschool resp. LB op de SBO / (V)SO die op 1 januari 2012 op regel 15 van hun schaal zaten.</t>
        </r>
      </text>
    </comment>
    <comment ref="BL54" authorId="0">
      <text>
        <r>
          <rPr>
            <sz val="9"/>
            <color indexed="81"/>
            <rFont val="Tahoma"/>
            <family val="2"/>
          </rPr>
          <t xml:space="preserve">
Geldt voor de leraren schaal LA op de basisschool resp. LB op de SBO / (V)SO die op 1 januari 2012 op regel 15 van hun schaal zaten.</t>
        </r>
      </text>
    </comment>
    <comment ref="BL55" authorId="0">
      <text>
        <r>
          <rPr>
            <sz val="9"/>
            <color indexed="81"/>
            <rFont val="Tahoma"/>
            <family val="2"/>
          </rPr>
          <t xml:space="preserve">
Geldt voor de leraren schaal LA op de basisschool resp. LB op de SBO / (V)SO die op 1 januari 2012 op regel 15 van hun schaal zaten.</t>
        </r>
      </text>
    </comment>
    <comment ref="BL56" authorId="0">
      <text>
        <r>
          <rPr>
            <sz val="9"/>
            <color indexed="81"/>
            <rFont val="Tahoma"/>
            <family val="2"/>
          </rPr>
          <t xml:space="preserve">
Geldt voor de leraren schaal LA op de basisschool resp. LB op de SBO / (V)SO die op 1 januari 2012 op regel 15 van hun schaal zaten.</t>
        </r>
      </text>
    </comment>
    <comment ref="BL57" authorId="0">
      <text>
        <r>
          <rPr>
            <sz val="9"/>
            <color indexed="81"/>
            <rFont val="Tahoma"/>
            <family val="2"/>
          </rPr>
          <t xml:space="preserve">
Geldt voor de leraren schaal LA op de basisschool resp. LB op de SBO / (V)SO die op 1 januari 2012 op regel 15 van hun schaal zaten.</t>
        </r>
      </text>
    </comment>
    <comment ref="BL58" authorId="0">
      <text>
        <r>
          <rPr>
            <sz val="9"/>
            <color indexed="81"/>
            <rFont val="Tahoma"/>
            <family val="2"/>
          </rPr>
          <t xml:space="preserve">
Geldt voor de leraren schaal LA op de basisschool resp. LB op de SBO / (V)SO die op 1 januari 2012 op regel 15 van hun schaal zaten.</t>
        </r>
      </text>
    </comment>
    <comment ref="BL59" authorId="0">
      <text>
        <r>
          <rPr>
            <sz val="9"/>
            <color indexed="81"/>
            <rFont val="Tahoma"/>
            <family val="2"/>
          </rPr>
          <t xml:space="preserve">
Geldt voor de leraren schaal LA op de basisschool resp. LB op de SBO / (V)SO die op 1 januari 2012 op regel 15 van hun schaal zaten.</t>
        </r>
      </text>
    </comment>
    <comment ref="BL60" authorId="0">
      <text>
        <r>
          <rPr>
            <sz val="9"/>
            <color indexed="81"/>
            <rFont val="Tahoma"/>
            <family val="2"/>
          </rPr>
          <t xml:space="preserve">
Geldt voor de leraren schaal LA op de basisschool resp. LB op de SBO / (V)SO die op 1 januari 2012 op regel 15 van hun schaal zaten.</t>
        </r>
      </text>
    </comment>
    <comment ref="BL61" authorId="0">
      <text>
        <r>
          <rPr>
            <sz val="9"/>
            <color indexed="81"/>
            <rFont val="Tahoma"/>
            <family val="2"/>
          </rPr>
          <t xml:space="preserve">
Geldt voor de leraren schaal LA op de basisschool resp. LB op de SBO / (V)SO die op 1 januari 2012 op regel 15 van hun schaal zaten.</t>
        </r>
      </text>
    </comment>
    <comment ref="BL62" authorId="0">
      <text>
        <r>
          <rPr>
            <sz val="9"/>
            <color indexed="81"/>
            <rFont val="Tahoma"/>
            <family val="2"/>
          </rPr>
          <t xml:space="preserve">
Geldt voor de leraren schaal LA op de basisschool resp. LB op de SBO / (V)SO die op 1 januari 2012 op regel 15 van hun schaal zaten.</t>
        </r>
      </text>
    </comment>
    <comment ref="BL63" authorId="0">
      <text>
        <r>
          <rPr>
            <sz val="9"/>
            <color indexed="81"/>
            <rFont val="Tahoma"/>
            <family val="2"/>
          </rPr>
          <t xml:space="preserve">
Geldt voor de leraren schaal LA op de basisschool resp. LB op de SBO / (V)SO die op 1 januari 2012 op regel 15 van hun schaal zaten.</t>
        </r>
      </text>
    </comment>
    <comment ref="BL64" authorId="0">
      <text>
        <r>
          <rPr>
            <sz val="9"/>
            <color indexed="81"/>
            <rFont val="Tahoma"/>
            <family val="2"/>
          </rPr>
          <t xml:space="preserve">
Geldt voor de leraren schaal LA op de basisschool resp. LB op de SBO / (V)SO die op 1 januari 2012 op regel 15 van hun schaal zaten.</t>
        </r>
      </text>
    </comment>
    <comment ref="BL65" authorId="0">
      <text>
        <r>
          <rPr>
            <sz val="9"/>
            <color indexed="81"/>
            <rFont val="Tahoma"/>
            <family val="2"/>
          </rPr>
          <t xml:space="preserve">
Geldt voor de leraren schaal LA op de basisschool resp. LB op de SBO / (V)SO die op 1 januari 2012 op regel 15 van hun schaal zaten.</t>
        </r>
      </text>
    </comment>
    <comment ref="BL66" authorId="0">
      <text>
        <r>
          <rPr>
            <sz val="9"/>
            <color indexed="81"/>
            <rFont val="Tahoma"/>
            <family val="2"/>
          </rPr>
          <t xml:space="preserve">
Geldt voor de leraren schaal LA op de basisschool resp. LB op de SBO / (V)SO die op 1 januari 2012 op regel 15 van hun schaal zaten.</t>
        </r>
      </text>
    </comment>
    <comment ref="BL67" authorId="0">
      <text>
        <r>
          <rPr>
            <sz val="9"/>
            <color indexed="81"/>
            <rFont val="Tahoma"/>
            <family val="2"/>
          </rPr>
          <t xml:space="preserve">
Geldt voor de leraren schaal LA op de basisschool resp. LB op de SBO / (V)SO die op 1 januari 2012 op regel 15 van hun schaal zaten.</t>
        </r>
      </text>
    </comment>
  </commentList>
</comments>
</file>

<file path=xl/comments6.xml><?xml version="1.0" encoding="utf-8"?>
<comments xmlns="http://schemas.openxmlformats.org/spreadsheetml/2006/main">
  <authors>
    <author>Bé Keizer</author>
    <author>Keizer</author>
  </authors>
  <commentList>
    <comment ref="B31" authorId="0">
      <text>
        <r>
          <rPr>
            <sz val="9"/>
            <color indexed="81"/>
            <rFont val="Tahoma"/>
            <family val="2"/>
          </rPr>
          <t xml:space="preserve">
Bijstelling per 1 juli 2013 i.v.m. aaanpassing minimumloon naar 1.477,80.</t>
        </r>
      </text>
    </comment>
    <comment ref="A52" authorId="0">
      <text>
        <r>
          <rPr>
            <sz val="9"/>
            <color indexed="81"/>
            <rFont val="Tahoma"/>
            <family val="2"/>
          </rPr>
          <t xml:space="preserve">
Conform normen per 1 augustus 2013. </t>
        </r>
      </text>
    </comment>
    <comment ref="G53" authorId="1">
      <text>
        <r>
          <rPr>
            <sz val="9"/>
            <color indexed="81"/>
            <rFont val="Tahoma"/>
            <family val="2"/>
          </rPr>
          <t xml:space="preserve">
Belastingdienst, Nieuwsbrief Loonheffingen 2013.</t>
        </r>
      </text>
    </comment>
    <comment ref="A54" authorId="0">
      <text>
        <r>
          <rPr>
            <sz val="9"/>
            <color indexed="81"/>
            <rFont val="Tahoma"/>
            <family val="2"/>
          </rPr>
          <t xml:space="preserve">
Is incl. Anw-compensatie van 0,075% - WG en 0,225% - WN</t>
        </r>
      </text>
    </comment>
    <comment ref="A57" authorId="1">
      <text>
        <r>
          <rPr>
            <sz val="9"/>
            <color indexed="81"/>
            <rFont val="Tahoma"/>
            <family val="2"/>
          </rPr>
          <t xml:space="preserve">
Voor werknemers van 59,5 jaar per 1 jan. 2013 en ouder geldt premievrijstelling van de WAO/WIA-basispremie. Vanaf 62 jaar geldt m.i.v. 1 jan 2013 geen premiekorting meer. Zie verder de toelichting.
</t>
        </r>
      </text>
    </comment>
    <comment ref="C58" authorId="1">
      <text>
        <r>
          <rPr>
            <sz val="9"/>
            <color indexed="81"/>
            <rFont val="Tahoma"/>
            <family val="2"/>
          </rPr>
          <t xml:space="preserve">
Dit is het gemiddelde percentage voor 2013.</t>
        </r>
      </text>
    </comment>
    <comment ref="A59" authorId="0">
      <text>
        <r>
          <rPr>
            <sz val="9"/>
            <color indexed="81"/>
            <rFont val="Tahoma"/>
            <family val="2"/>
          </rPr>
          <t xml:space="preserve">
Deze werkgeversopslag varieert per werkgever. Opgave wordt verkregen van de Belastingdienst.</t>
        </r>
      </text>
    </comment>
    <comment ref="A60" authorId="0">
      <text>
        <r>
          <rPr>
            <sz val="9"/>
            <color indexed="81"/>
            <rFont val="Tahoma"/>
            <family val="2"/>
          </rPr>
          <t xml:space="preserve">
De pseudo-WW premie is per 1 januari 2009 afgeschaft. De compensatie ervoor is geregeld en komt overeen met een opslag van 1,97% op het norm maandloon.
Nu de compensatie verwerkt is (juni 2009) is het percentage op 0,0% gesteld.
</t>
        </r>
      </text>
    </comment>
    <comment ref="A61" authorId="1">
      <text>
        <r>
          <rPr>
            <sz val="9"/>
            <color indexed="81"/>
            <rFont val="Tahoma"/>
            <family val="2"/>
          </rPr>
          <t xml:space="preserve">
Premie is verhoogd met 0,65% naar 7,75%.</t>
        </r>
      </text>
    </comment>
    <comment ref="A62" authorId="0">
      <text>
        <r>
          <rPr>
            <sz val="9"/>
            <color indexed="81"/>
            <rFont val="Tahoma"/>
            <family val="2"/>
          </rPr>
          <t xml:space="preserve">
Betreft: Uitvoering Fonds Overheid. Is inclusief premie kinderopvang van 0,50% (Regeling vaststelling premiepercentages werknemersverzekeringen, volksverzekeringen en opslag kinderopvang 2013, art. 4 en 10).</t>
        </r>
      </text>
    </comment>
    <comment ref="A63" authorId="1">
      <text>
        <r>
          <rPr>
            <sz val="10"/>
            <color indexed="81"/>
            <rFont val="Tahoma"/>
            <family val="2"/>
          </rPr>
          <t xml:space="preserve">
Premie VF vanaf 1 aug. 2013 op jaarbasis. 
Verplicht 7,77% (regulier: 7,09% + CAO PO par. 8: 0,68%)
Vrijwillig 7,70% 
</t>
        </r>
      </text>
    </comment>
    <comment ref="A65" authorId="1">
      <text>
        <r>
          <rPr>
            <sz val="10"/>
            <color indexed="81"/>
            <rFont val="Tahoma"/>
            <family val="2"/>
          </rPr>
          <t xml:space="preserve">
Premie VF vanaf 1 aug. 2013 op jaarbasis voor eigen risicodragers. </t>
        </r>
      </text>
    </comment>
    <comment ref="A67" authorId="1">
      <text>
        <r>
          <rPr>
            <sz val="9"/>
            <color indexed="81"/>
            <rFont val="Tahoma"/>
            <family val="2"/>
          </rPr>
          <t xml:space="preserve">
Premie per 1 augustus 2013. Per 1 januari 2014: 4,0% en per 1 augustus 2014: tenminste 4,33%.</t>
        </r>
      </text>
    </comment>
    <comment ref="A75" authorId="0">
      <text>
        <r>
          <rPr>
            <sz val="9"/>
            <color indexed="81"/>
            <rFont val="Tahoma"/>
            <family val="2"/>
          </rPr>
          <t xml:space="preserve">
Geldt voor de leraren schaal LA basisschool resp. LB SBO / (V)SO die op 1 augustus 2013 op regel 15 van hun schaal zitten.</t>
        </r>
      </text>
    </comment>
    <comment ref="A87" authorId="0">
      <text>
        <r>
          <rPr>
            <sz val="9"/>
            <color indexed="81"/>
            <rFont val="Tahoma"/>
            <family val="2"/>
          </rPr>
          <t xml:space="preserve">
Kaderbesluit Rechtspositie PO bijlage 2</t>
        </r>
      </text>
    </comment>
    <comment ref="A96" authorId="0">
      <text>
        <r>
          <rPr>
            <sz val="9"/>
            <color indexed="81"/>
            <rFont val="Tahoma"/>
            <family val="2"/>
          </rPr>
          <t xml:space="preserve">
Geldt voor de directeuren verbonden aan een school PO die benoemd zijn in de schalen DA t/m DCuitloop (incl. meerhoofdig).</t>
        </r>
      </text>
    </comment>
  </commentList>
</comments>
</file>

<file path=xl/sharedStrings.xml><?xml version="1.0" encoding="utf-8"?>
<sst xmlns="http://schemas.openxmlformats.org/spreadsheetml/2006/main" count="776" uniqueCount="462">
  <si>
    <t>LA</t>
  </si>
  <si>
    <t>salaristabellen</t>
  </si>
  <si>
    <t>schaal / regel</t>
  </si>
  <si>
    <t>DA</t>
  </si>
  <si>
    <t>DB</t>
  </si>
  <si>
    <t>DBuit</t>
  </si>
  <si>
    <t>DC</t>
  </si>
  <si>
    <t>DCuit</t>
  </si>
  <si>
    <t>DD</t>
  </si>
  <si>
    <t>DE</t>
  </si>
  <si>
    <t>AA</t>
  </si>
  <si>
    <t>AB</t>
  </si>
  <si>
    <t>AC</t>
  </si>
  <si>
    <t>AD</t>
  </si>
  <si>
    <t>AE</t>
  </si>
  <si>
    <t>LB</t>
  </si>
  <si>
    <t>LC</t>
  </si>
  <si>
    <t>LD</t>
  </si>
  <si>
    <t>LE</t>
  </si>
  <si>
    <t>LIOa</t>
  </si>
  <si>
    <t>LIOb</t>
  </si>
  <si>
    <t>schaal</t>
  </si>
  <si>
    <t>regel</t>
  </si>
  <si>
    <t>Salarisgegevens</t>
  </si>
  <si>
    <t>norm maandsalaris</t>
  </si>
  <si>
    <t>Werktijdfactor</t>
  </si>
  <si>
    <t>wtf x maandsalaris</t>
  </si>
  <si>
    <t>regels</t>
  </si>
  <si>
    <t>oud</t>
  </si>
  <si>
    <t>extra per</t>
  </si>
  <si>
    <t>toename</t>
  </si>
  <si>
    <t>gemiddeld</t>
  </si>
  <si>
    <t>P. Werknemer</t>
  </si>
  <si>
    <t>Toelichting</t>
  </si>
  <si>
    <t>Werkbladen</t>
  </si>
  <si>
    <t>Werkblad Tabellen</t>
  </si>
  <si>
    <t>De werkbladen zijn beveiligd met het wachtwoord:</t>
  </si>
  <si>
    <t>Toekenning extra uitkeringen</t>
  </si>
  <si>
    <t>vakantieuitkering</t>
  </si>
  <si>
    <t>Jaarbasis</t>
  </si>
  <si>
    <t>OP/NP</t>
  </si>
  <si>
    <t>werkgever</t>
  </si>
  <si>
    <t>werknemer</t>
  </si>
  <si>
    <t>FPU</t>
  </si>
  <si>
    <t>Tabel premiepercentages</t>
  </si>
  <si>
    <t>VUT/FPU basis</t>
  </si>
  <si>
    <t>max. bedrag</t>
  </si>
  <si>
    <t>Totaal pensioenpremie</t>
  </si>
  <si>
    <t>uitlooptoeslag</t>
  </si>
  <si>
    <t>maand</t>
  </si>
  <si>
    <t>a</t>
  </si>
  <si>
    <t>b</t>
  </si>
  <si>
    <t>c</t>
  </si>
  <si>
    <t>d</t>
  </si>
  <si>
    <t>e</t>
  </si>
  <si>
    <t>f</t>
  </si>
  <si>
    <t>g</t>
  </si>
  <si>
    <t>h</t>
  </si>
  <si>
    <t>i</t>
  </si>
  <si>
    <t>UFO</t>
  </si>
  <si>
    <t>premie Vf</t>
  </si>
  <si>
    <t>premie Pf</t>
  </si>
  <si>
    <t>Totaal werkgeverslasten</t>
  </si>
  <si>
    <t>Maximumdebrutering:</t>
  </si>
  <si>
    <t>Debrutering</t>
  </si>
  <si>
    <t>Jaarinkomen ABP</t>
  </si>
  <si>
    <t>per maand</t>
  </si>
  <si>
    <t>per jaar</t>
  </si>
  <si>
    <t>Berekening Werkgeverslasten</t>
  </si>
  <si>
    <t xml:space="preserve">In dit werkblad worden de werkgeverslasten berekend van een werknemer in het PO. </t>
  </si>
  <si>
    <t>Invoering van de gegevens per werknemer geeft de berekening van de werkgeverslasten.</t>
  </si>
  <si>
    <t>Vervolgens worden de werkgeverslasten berekend.</t>
  </si>
  <si>
    <t xml:space="preserve">voor een werkgever bij de aanstelling van een werknemer. </t>
  </si>
  <si>
    <t>j</t>
  </si>
  <si>
    <t>Uitlooptoeslag</t>
  </si>
  <si>
    <t>Bindingstoelage</t>
  </si>
  <si>
    <t>leraar</t>
  </si>
  <si>
    <t>directie</t>
  </si>
  <si>
    <t>OOP S9</t>
  </si>
  <si>
    <t>Werknemer</t>
  </si>
  <si>
    <t>Overige loonkosten</t>
  </si>
  <si>
    <t>Participatiefonds</t>
  </si>
  <si>
    <t>Structurele eindejaarsuitkering</t>
  </si>
  <si>
    <t>eindejaarsuitkering</t>
  </si>
  <si>
    <t>Minimum vakantietoelage, fulltimer</t>
  </si>
  <si>
    <t>meerh bas DA</t>
  </si>
  <si>
    <t>meerh bas DB</t>
  </si>
  <si>
    <t>meerh bas DBuit</t>
  </si>
  <si>
    <t>meerh sbo DB10</t>
  </si>
  <si>
    <t>meerh sbo DB11</t>
  </si>
  <si>
    <t>meerh sbo DC 13</t>
  </si>
  <si>
    <t>meerh sbo DCuit15</t>
  </si>
  <si>
    <t>meerh bas DA11</t>
  </si>
  <si>
    <t>ID1</t>
  </si>
  <si>
    <t>ID2</t>
  </si>
  <si>
    <t>ID3</t>
  </si>
  <si>
    <t>pseudo-WW</t>
  </si>
  <si>
    <t>ZVW</t>
  </si>
  <si>
    <t>k</t>
  </si>
  <si>
    <t>Loon voor de loonbelasting</t>
  </si>
  <si>
    <t>Nettosalaris</t>
  </si>
  <si>
    <t>franchise jr</t>
  </si>
  <si>
    <t>franchise mnd</t>
  </si>
  <si>
    <t>NB: Uitsluitend gebruik gemaakt van onderstaande tabellen</t>
  </si>
  <si>
    <t>Schijf</t>
  </si>
  <si>
    <t>Belasting</t>
  </si>
  <si>
    <t>Heffingskortingen</t>
  </si>
  <si>
    <t>algemene heffingskorting</t>
  </si>
  <si>
    <t>arbeidskorting</t>
  </si>
  <si>
    <t>geboren</t>
  </si>
  <si>
    <t>percentage</t>
  </si>
  <si>
    <t>maximaal</t>
  </si>
  <si>
    <t>schijf 1</t>
  </si>
  <si>
    <t>schijf 2</t>
  </si>
  <si>
    <t>schijf 3</t>
  </si>
  <si>
    <t>schijf 4</t>
  </si>
  <si>
    <t>Compensatie ziektekosten</t>
  </si>
  <si>
    <t>eindejaarsuitkering OOP</t>
  </si>
  <si>
    <t>Eindejaarsuitkering OOP</t>
  </si>
  <si>
    <t>compensatie ziektekosten</t>
  </si>
  <si>
    <t xml:space="preserve">Ook de berekening van het bruto-netto traject voor de werknemer beoogt slechts een indicatie op hoofdlijnen </t>
  </si>
  <si>
    <t xml:space="preserve">te geven. De 'echte' berekening plus de berekening loonbelasting is een complexe materie die hier vereenvoudigd </t>
  </si>
  <si>
    <t>Overige toelagen</t>
  </si>
  <si>
    <t>Deze zijn nader aangegeven en voor zover nodig nader toegelicht.</t>
  </si>
  <si>
    <t>ja</t>
  </si>
  <si>
    <t>Naam werknemer</t>
  </si>
  <si>
    <t>Werknemer met kind</t>
  </si>
  <si>
    <t>nee</t>
  </si>
  <si>
    <t>Opgave omvang betaald ouderschapsverlof in lesuren:</t>
  </si>
  <si>
    <t>Omvang betaald ouderschapsverlof</t>
  </si>
  <si>
    <t>klokuren</t>
  </si>
  <si>
    <t>lesuren</t>
  </si>
  <si>
    <t>Beschikbaar</t>
  </si>
  <si>
    <t>Opname</t>
  </si>
  <si>
    <t>Percentage</t>
  </si>
  <si>
    <t>Opname in aantal maanden</t>
  </si>
  <si>
    <t>Salariskorting</t>
  </si>
  <si>
    <t>Regulier salaris</t>
  </si>
  <si>
    <t>Uitbetaald salaris</t>
  </si>
  <si>
    <t>Totaal betaald verlof in verlofperiode</t>
  </si>
  <si>
    <t>Structureel</t>
  </si>
  <si>
    <t>Aantal personeelsleden</t>
  </si>
  <si>
    <t>zelf in te vullen</t>
  </si>
  <si>
    <t>Gemiddelde betrekkingsomvang</t>
  </si>
  <si>
    <t>tot</t>
  </si>
  <si>
    <t>Personeelsleden van</t>
  </si>
  <si>
    <t>landelijk gemiddelde</t>
  </si>
  <si>
    <t>Gemiddeld aantal kinderen</t>
  </si>
  <si>
    <t>Maximaal aantal ouderschapsverloven</t>
  </si>
  <si>
    <t>Effectuering ouderschapverlof</t>
  </si>
  <si>
    <t>raming</t>
  </si>
  <si>
    <t>Gemiddeld aantal per jaar</t>
  </si>
  <si>
    <t>Gemiddelde kosten per jaar per verlof</t>
  </si>
  <si>
    <t>Kosten totale verlof per jaar</t>
  </si>
  <si>
    <t>Functiedifferentiatie of pro- of demotie</t>
  </si>
  <si>
    <t xml:space="preserve">Salarisgegevens per 1 augustus, na toekenning reguliere periodieke verhoging </t>
  </si>
  <si>
    <t>maximumregel:</t>
  </si>
  <si>
    <t>Leeftijd per 1 augustus</t>
  </si>
  <si>
    <t>Met pensioen/uittreden op leeftijd</t>
  </si>
  <si>
    <t>Inschaling in nieuwe functie</t>
  </si>
  <si>
    <t>Nieuwe omvang wtf</t>
  </si>
  <si>
    <t>Verhoging eerste jaar per maand</t>
  </si>
  <si>
    <t>Opslagpercentage werkgeverslasten</t>
  </si>
  <si>
    <t>Werkgeverslasten eerste jaar</t>
  </si>
  <si>
    <t>Aantal jaren meer/minder kosten</t>
  </si>
  <si>
    <t>Gemiddelde kosten</t>
  </si>
  <si>
    <t>nieuwe schaal</t>
  </si>
  <si>
    <t>voormalige schaal</t>
  </si>
  <si>
    <t>Alle categorien Personeel</t>
  </si>
  <si>
    <t>Toekenning extra periodiek(en)</t>
  </si>
  <si>
    <t>herintreder</t>
  </si>
  <si>
    <t>eerste aanstelling</t>
  </si>
  <si>
    <t>beloningsbeleid</t>
  </si>
  <si>
    <t>aantal periodieken</t>
  </si>
  <si>
    <t>Kosten gedurende eerste jaar per maand</t>
  </si>
  <si>
    <t>Aantal jaren meerkosten</t>
  </si>
  <si>
    <t>Kosten totaal</t>
  </si>
  <si>
    <t>Kosten herintreders</t>
  </si>
  <si>
    <t>OPO Ergens</t>
  </si>
  <si>
    <t>Aantal fte</t>
  </si>
  <si>
    <t>Aantal herintreders met extra periodieken</t>
  </si>
  <si>
    <t>Gemiddelde kosten per jaar per herintreder</t>
  </si>
  <si>
    <t>Totale kosten per jaar</t>
  </si>
  <si>
    <t>OP</t>
  </si>
  <si>
    <t>Werkblad Ouderschapsverlof</t>
  </si>
  <si>
    <t xml:space="preserve">In dit werkblad worden de kosten en baten berekend van het betaalde ouderschapsverlof. De opgave van de gegevens van de </t>
  </si>
  <si>
    <t>Bestuur</t>
  </si>
  <si>
    <t xml:space="preserve">De opgegeven waarden onder a. bij Bestuur zijn gebaseerd op landelijke cijfers. Ieder bestuur doet er verstandig aan </t>
  </si>
  <si>
    <t xml:space="preserve">de data aan te passen op basis van eigen gegevens. </t>
  </si>
  <si>
    <t>Werkblad Functiedifferentiatie</t>
  </si>
  <si>
    <t>In dit werkblad worden de kosten berekend van wijziging van een bestaande functie in een andere.</t>
  </si>
  <si>
    <t>Daarbij kan het gaan om functiedifferentiatie, promotie of eventuele demotie.</t>
  </si>
  <si>
    <t>De functiewijziging kan betrekking hebben op functies voor OP, OOP en Directie en kan ook betrekking hebben op de wijziging</t>
  </si>
  <si>
    <t>van de ene functiecategorie naar de andere.</t>
  </si>
  <si>
    <t>De berekening vindt plaats op basis van de bestaande functie met opgave van schaal plus regel, en de opgave van de nieuwe</t>
  </si>
  <si>
    <t>functie, eveneens met schaal en regel. In de tabel kan men zien welke schalen en regels van toepassing zijn.</t>
  </si>
  <si>
    <t xml:space="preserve">Door de leeftijd op te geven per 1 augustus van het betreffende jaar en op te geven wanneer de betreffende werknemer met </t>
  </si>
  <si>
    <t>pensioen gaat of vervroegd uittreedt, wordt berekend hoeveel jaar de wijziging van de functie doorwerkt.</t>
  </si>
  <si>
    <t xml:space="preserve">Er is ook rekening gehouden met het feit dat de werktijdfactor kan veranderen, maar in eerste instantie wordt uitgegaan van </t>
  </si>
  <si>
    <t>vullen, wordt in de berekening van de nieuw opgegeven werktijdfactor uitgegaan.</t>
  </si>
  <si>
    <t>De kosten worden berekend voor het eerste jaar terwijl tevens is aangegeven hoeveel jaar er sprake is van meerkosten,</t>
  </si>
  <si>
    <t>de gemiddelde kosten in die jaren en het totaal bedrag.</t>
  </si>
  <si>
    <t>Werkblad Extra Periodieken</t>
  </si>
  <si>
    <t xml:space="preserve">In dit werkblad worden de kosten berekend van de toekenning van extra periodieken. Deze toekenning kan gebaseerd </t>
  </si>
  <si>
    <t xml:space="preserve">zijn op de regeling voor herintreders zoals opgenomen in de CAO PO of als vorm van beloningsdifferentiatie.  </t>
  </si>
  <si>
    <t>De opgave van de aard van de toekenning heeft als zodanig geen effect op de berekening.</t>
  </si>
  <si>
    <t>De berekening van de kosten van een of meer extra periodieken kan plaats vinden voor de categorieen OP, OOP en Directie.</t>
  </si>
  <si>
    <t>De kosten van periodieken voor onbetaalde ervaring en voor beloningsdifferentiatie zullen meer een incidenteel karakter hebben,</t>
  </si>
  <si>
    <t>waardoor het beter op individuele basis berekend kan worden met de opgave bij werknemer.</t>
  </si>
  <si>
    <t xml:space="preserve">De aannames in dit werkblad kunnen van bestuur tot bestuur nogal verschillen. Daarom is het nodig de ramingen vast te stellen op </t>
  </si>
  <si>
    <t>basis van de eigen gegevens van het bestuur. Dat geldt zeer sterk voor het percentage herintreders.</t>
  </si>
  <si>
    <t xml:space="preserve">De berekende kosten hebben in principe een structureel karakter zolang er sprake is van een gelijkblijvend niveau van </t>
  </si>
  <si>
    <t>aanstelling van herintreders.</t>
  </si>
  <si>
    <t xml:space="preserve">te geven van de omvang van de werkgeverslasten en enig inzicht te geven in de opbouw daarvan. Als zodanig is </t>
  </si>
  <si>
    <t>Voor het maken van meerjarenformatiebeleid in relatie tot een meerjarenbegroting is deze info van belang.</t>
  </si>
  <si>
    <t>0,8% levensloop</t>
  </si>
  <si>
    <t>wordt gemaakt van de levensloopregeling.</t>
  </si>
  <si>
    <t>kosten levensloop</t>
  </si>
  <si>
    <t>Tabel 1 Schijventarief inkomstenbelasting/premie volksverzekeringen</t>
  </si>
  <si>
    <t>Inkomsten</t>
  </si>
  <si>
    <t>WAO/WIA-basispremie (AOF)</t>
  </si>
  <si>
    <t>totaal</t>
  </si>
  <si>
    <t>WAO/WIA</t>
  </si>
  <si>
    <t>per gespaard kalenderjaar.</t>
  </si>
  <si>
    <t>Deze toeslag wordt toegekend op basis van artikel 6.14 van de CAO PO.</t>
  </si>
  <si>
    <t>Deze toeslag wordt toegekend op basis van artikel 6.13 van de CAO PO.</t>
  </si>
  <si>
    <t>Verlofwerktijdfactor</t>
  </si>
  <si>
    <t>Doorbetaling 55% salaris werkgever</t>
  </si>
  <si>
    <t>Dag van de leraar (OP, OOP, Dir)</t>
  </si>
  <si>
    <t>AOP</t>
  </si>
  <si>
    <t>WGA-rekenpremie</t>
  </si>
  <si>
    <t>VF: premie verplichte aansluiting</t>
  </si>
  <si>
    <t>VF: premie vrijwillige aansluiting</t>
  </si>
  <si>
    <t>Structurele nominale uitkering</t>
  </si>
  <si>
    <t>Inzet 0,8% levensloop</t>
  </si>
  <si>
    <t>het een hulpmiddel voor het management bij het ramen van de personele kosten.</t>
  </si>
  <si>
    <t xml:space="preserve">Door te varieren naar omvang werktijdfactor, per schaal en in een schaal wat betreft de inschaling naar regel van laag naar hoog </t>
  </si>
  <si>
    <t xml:space="preserve">verkrijgt men inzicht in het percentage wat voor die betreffende schaal van toepassing is. Dat is van belang voor het financieel </t>
  </si>
  <si>
    <t>management. Op die wijze is het immers mogelijk om redelijk nauwkeurig de totale werkgeverslasten te ramen van een werknemer.</t>
  </si>
  <si>
    <t>Verzekeren bij het Risicofonds is ook een mogelijkheid.</t>
  </si>
  <si>
    <t xml:space="preserve">Ook biedt het werkblad de mogelijkheid de kosten van ouderschapsverlof te ramen voor het bestuur </t>
  </si>
  <si>
    <t xml:space="preserve">Op basis van de eigen gegevens van een bestuur zijn de kosten redelijk nauwkeurig te ramen. </t>
  </si>
  <si>
    <t xml:space="preserve"> - werkgevers die de werknemers die niet verplicht verzekerd zijn, ook niet vrijwillig verzekeren bij het VF: premie = 0,00%</t>
  </si>
  <si>
    <t xml:space="preserve">De betaling aan de verlofganger is veranderd sinds 1 januari 2007 in 55%. Die heeft een belastingvoordeel wanneer gebruik </t>
  </si>
  <si>
    <t>Het onderdeel bestuur biedt de mogelijkheid de kosten van extra periodieken te ramen voor de herintreedsters.</t>
  </si>
  <si>
    <t>Schaaluitloopbedrag</t>
  </si>
  <si>
    <t>LA  en LB</t>
  </si>
  <si>
    <t>schaal-uitloopbedrag</t>
  </si>
  <si>
    <t>Toelage directeuren</t>
  </si>
  <si>
    <t>toelage directeuren</t>
  </si>
  <si>
    <t>Belastingvoordeel werknemer: Wie (on)betaald ouderschapsverlof opneemt, krijgt een fiscaal voordeel van</t>
  </si>
  <si>
    <t>Vanaf 1 januari 2009 vallen alle nieuwe aanstellingen onder de verplichte verzekering.</t>
  </si>
  <si>
    <t xml:space="preserve">Dit programmaonderdeel heeft niet de pretentie een exacte salarisberekening te maken! Het beoogt een indicatie </t>
  </si>
  <si>
    <t>Twee aanloopschalen bij ID1 zijn achterwege gelaten (minder relevant en onnodig complicerend voor de uitwerking in dit instrument).</t>
  </si>
  <si>
    <t>bij een normbetrekking, per maand</t>
  </si>
  <si>
    <t>poraad</t>
  </si>
  <si>
    <t xml:space="preserve">Het bruto-netto traject geeft de informatie over de omvang van het bijdrage-inkomen (voorheen coördinatieloon) waarover </t>
  </si>
  <si>
    <t>Schaal-uitlooptoeslag</t>
  </si>
  <si>
    <t>Deze toeslag wordt toegekend op basis van artikel 6.14b van de CAO PO.</t>
  </si>
  <si>
    <t>Voor nadere informatie:</t>
  </si>
  <si>
    <t xml:space="preserve">Helpdesk,            bereikbaar via de website van de PO-Raad: </t>
  </si>
  <si>
    <t>PO-raad: Helpdesk</t>
  </si>
  <si>
    <t xml:space="preserve">In feite vindt een geleidelijke afbouw plaats en betekent het op termijn dat de regeling voor de werknemers </t>
  </si>
  <si>
    <t xml:space="preserve">In individuele gevallen zal er nog sprake zijn van loonkosten die hier niet zijn opgenomen. Bijvoorbeeld reiskosten, een </t>
  </si>
  <si>
    <t>jubileumuitkering of spaarloon. Dergelijke componenten zijn in dit model niet verwerkt.</t>
  </si>
  <si>
    <t>betreffende werknemer laat de salariskosten zien die de werkgever moet betalen uit eigen middelen.</t>
  </si>
  <si>
    <t>www.poraad.nl</t>
  </si>
  <si>
    <t>Netto kosten werkgever Inclusief (incl. werkgeverslasten)</t>
  </si>
  <si>
    <t>Kosten ouderschapsverlof BESTUUR</t>
  </si>
  <si>
    <t xml:space="preserve">KOSTEN EN BATEN BETAALD OUDERSCHAPSVERLOF </t>
  </si>
  <si>
    <r>
      <t xml:space="preserve">Werktijdfactor: </t>
    </r>
    <r>
      <rPr>
        <sz val="11"/>
        <rFont val="Calibri"/>
        <family val="2"/>
      </rPr>
      <t>gewijzigd in nieuwe functie</t>
    </r>
  </si>
  <si>
    <t>Kosten totaal (tot pensioen/uittreden)</t>
  </si>
  <si>
    <t xml:space="preserve">Kosten wijziging bestaande functie in andere </t>
  </si>
  <si>
    <t>EXTRA PERIODIEKEN</t>
  </si>
  <si>
    <r>
      <t xml:space="preserve">een gelijkblijvende werktijdfactor. Wanneer men opgeeft dat deze wordt gewijzigd door op de gevraagde plaats dit met </t>
    </r>
    <r>
      <rPr>
        <b/>
        <sz val="10"/>
        <rFont val="Calibri"/>
        <family val="2"/>
      </rPr>
      <t>ja</t>
    </r>
    <r>
      <rPr>
        <sz val="10"/>
        <rFont val="Calibri"/>
        <family val="2"/>
      </rPr>
      <t xml:space="preserve"> in te </t>
    </r>
  </si>
  <si>
    <t>Basisgegevens</t>
  </si>
  <si>
    <t>incl. afdracht loonbel. en premie</t>
  </si>
  <si>
    <t>opgave OCW 2001 (CBS: 1,6)</t>
  </si>
  <si>
    <t>per opgenomen verlofuur. Deelname aan de levensloopregeling is niet langer nodig. Daarnaast geldt een levensloopverlof-</t>
  </si>
  <si>
    <t xml:space="preserve">korting die gelijk is aan het opgenomen bedrag met een maximum van </t>
  </si>
  <si>
    <t>kalenderjaar</t>
  </si>
  <si>
    <t>schooljaar</t>
  </si>
  <si>
    <t xml:space="preserve">KOSTEN WIJZIGING BESTAANDE FUNCTIE </t>
  </si>
  <si>
    <t>Alleen de gele velden kunnen worden gewijzigd, en bevatten de op te geven variabelen voor de berekeningen.</t>
  </si>
  <si>
    <t>Niet verzekeren betreft een keuze bij het VF voor alle OP resp. OOP die niet verplicht verzekerd zijn.</t>
  </si>
  <si>
    <t>(VUT/FPU basis)</t>
  </si>
  <si>
    <t xml:space="preserve">Ter nadere info: </t>
  </si>
  <si>
    <t>Geboortedatum</t>
  </si>
  <si>
    <t>Vrijstelling WAO/WIA-basispremie in 2008?:</t>
  </si>
  <si>
    <t>WGA werkgeversopslag</t>
  </si>
  <si>
    <t>max grondslag WAO/WIA (AOF)</t>
  </si>
  <si>
    <t>WG-premie WAO/WIA</t>
  </si>
  <si>
    <t>geboortedatum</t>
  </si>
  <si>
    <t>WAO-premievrijstelling in 2008?</t>
  </si>
  <si>
    <t>WG-premie WGA-rekenpremie</t>
  </si>
  <si>
    <t>WTF</t>
  </si>
  <si>
    <t>WG-premie WGA werkgeversopslag</t>
  </si>
  <si>
    <t>per werkgever verschillend</t>
  </si>
  <si>
    <t>Premievrijstelling basis WAO/WIA</t>
  </si>
  <si>
    <t>WGA-gediff</t>
  </si>
  <si>
    <t>Relevante tijdstippen</t>
  </si>
  <si>
    <t xml:space="preserve"> belastbaar loon</t>
  </si>
  <si>
    <t>Loonheffing zonder loonheffingskortingen</t>
  </si>
  <si>
    <t>Loonheffing</t>
  </si>
  <si>
    <t>Opslagpercentage t.o.v. bruto salaris</t>
  </si>
  <si>
    <t>bij u in dienst waren en op die datum 54,5 jaar of ouder waren.</t>
  </si>
  <si>
    <t>Na overgang van schaal LA naar LB basisschool resp. schaal LB naar LC SBO en (V)SO vervalt het recht op de schaal-uitlooptoeslag.</t>
  </si>
  <si>
    <t xml:space="preserve">ten opzichte van het bruto salaris. Op die wijze kan het als kengetal worden gehanteerd bij de vaststelling van de totale loonkosten </t>
  </si>
  <si>
    <t>Het wordt met klem aangeraden om zelf een berekening van de werkgeverslasten te maken op basis van de verhouding tussen</t>
  </si>
  <si>
    <t xml:space="preserve">alle loonlasten enerzijds en de bruto salarissen anderzijds van het laatste school- resp. kalenderjaar. </t>
  </si>
  <si>
    <t>Aangevuld met de laatste ramingen omtrent de ontwikkelingen van de diverse werkgeverslasten zoals premies e.d.</t>
  </si>
  <si>
    <t>wordt weergegeven, met gebruikmaking van alleen de witte tabel voor de loonbelasting.</t>
  </si>
  <si>
    <t>Door dit te relateren aan het bruto salaris van die werknemer wordt het opslagpercentage verkregen.</t>
  </si>
  <si>
    <t xml:space="preserve">Op grond van het bruto salaris per maand wordt het jaarinkomen ABP berekend. Dat is niet helemaal zoals het hoort omdat het </t>
  </si>
  <si>
    <t>jaarinkomen ABP wordt bepaald op basis van de situatie in januari van het betreffende jaar.</t>
  </si>
  <si>
    <t>bijdrage-inkomen</t>
  </si>
  <si>
    <t>vanaf 1 jan. 2011</t>
  </si>
  <si>
    <t xml:space="preserve">Echter de pensioenpremies en de premies van het VF/PF wijzigen momenteel vaker, waardoor de berekening dan een </t>
  </si>
  <si>
    <t>Functie</t>
  </si>
  <si>
    <t>toe(s)lagen</t>
  </si>
  <si>
    <t>OOP &lt;S9</t>
  </si>
  <si>
    <t>uitkering van € 200, de toelage directeuren en het schaal-uitloopbedrag, plus ook de inkortingen van de schalen.</t>
  </si>
  <si>
    <t>VF: geen vrijwillige aansluiting</t>
  </si>
  <si>
    <t xml:space="preserve">Zoals recent in de CAO is afgesproken wordt bij de hogere inschaling ook rekening gehouden met de toe(s)lagen - die van </t>
  </si>
  <si>
    <t>toepassing zijn - als men het maximum van de schaal bereikt.</t>
  </si>
  <si>
    <t>Dat dient men op basis van eigen gegevens, bijv. ontleend aan het werkblad Werkgeverslasten, aan te passen.</t>
  </si>
  <si>
    <t>(1)</t>
  </si>
  <si>
    <t>(2)</t>
  </si>
  <si>
    <t>(3)</t>
  </si>
  <si>
    <t>(4)</t>
  </si>
  <si>
    <t>Overgangspremie VPL</t>
  </si>
  <si>
    <t>UFO-premie (incl. KO)</t>
  </si>
  <si>
    <t>Jaarinkomen</t>
  </si>
  <si>
    <t>op regel 15 - het maximum - komt, dan meteen ook de schaal-uitlooptoeslag ontvangt.</t>
  </si>
  <si>
    <t xml:space="preserve">Voor de werkgeverslasten is al een percentage opgegeven (59%). </t>
  </si>
  <si>
    <t xml:space="preserve">naam </t>
  </si>
  <si>
    <t>besl.regel</t>
  </si>
  <si>
    <t>WTF * mnd.sal</t>
  </si>
  <si>
    <t xml:space="preserve">compensatie </t>
  </si>
  <si>
    <t>ziektekosten</t>
  </si>
  <si>
    <t>beslisregel</t>
  </si>
  <si>
    <t>debrutering</t>
  </si>
  <si>
    <t xml:space="preserve">Opslagpercentage </t>
  </si>
  <si>
    <t>t.o.v. bruto salaris</t>
  </si>
  <si>
    <t>max debrutering</t>
  </si>
  <si>
    <t>Berekening Werkgeverslasten (per maand)</t>
  </si>
  <si>
    <t xml:space="preserve">ZVW vergoeding </t>
  </si>
  <si>
    <t>WERKGEVERSLASTEN PRIMAIR ONDERWIJS</t>
  </si>
  <si>
    <t>eindejrs. uitk. OOP</t>
  </si>
  <si>
    <t>eindejrs. uitk.</t>
  </si>
  <si>
    <t>vakantieuitk.</t>
  </si>
  <si>
    <t>datum</t>
  </si>
  <si>
    <t>schaal-uitloop</t>
  </si>
  <si>
    <t>bedrag</t>
  </si>
  <si>
    <t>schaal-uitloop bedr.</t>
  </si>
  <si>
    <t>inschaling</t>
  </si>
  <si>
    <t xml:space="preserve">toelage </t>
  </si>
  <si>
    <t>directeuren</t>
  </si>
  <si>
    <t xml:space="preserve">geboorte </t>
  </si>
  <si>
    <t xml:space="preserve">Bijdrage-inkomen </t>
  </si>
  <si>
    <t>Loon voor de</t>
  </si>
  <si>
    <t xml:space="preserve"> loonbelasting</t>
  </si>
  <si>
    <t>Totaal pensioen</t>
  </si>
  <si>
    <t>premie</t>
  </si>
  <si>
    <t>bindings-</t>
  </si>
  <si>
    <t>toelage</t>
  </si>
  <si>
    <t xml:space="preserve">kosten </t>
  </si>
  <si>
    <t>levensloop</t>
  </si>
  <si>
    <t xml:space="preserve">max. </t>
  </si>
  <si>
    <t xml:space="preserve">Jaarinkomen </t>
  </si>
  <si>
    <t>ABP</t>
  </si>
  <si>
    <t>salaris</t>
  </si>
  <si>
    <t>jaar</t>
  </si>
  <si>
    <t>Totaal WGL in €</t>
  </si>
  <si>
    <t>categorie</t>
  </si>
  <si>
    <t>ja/nee</t>
  </si>
  <si>
    <t>Vrijstel.</t>
  </si>
  <si>
    <t>norm</t>
  </si>
  <si>
    <t xml:space="preserve"> mnd.sal.</t>
  </si>
  <si>
    <t xml:space="preserve">subtotaal </t>
  </si>
  <si>
    <t>incl. salaris</t>
  </si>
  <si>
    <t>salarisgegevens</t>
  </si>
  <si>
    <t>WAO-WIA</t>
  </si>
  <si>
    <t>Werkblad wgl</t>
  </si>
  <si>
    <t>Zo zijn alle bijzondere heffingskortingen buiten beschouwing gelaten.</t>
  </si>
  <si>
    <t xml:space="preserve">In dit werkblad is het mogelijk de berekening te maken voor alle personeelsleden van een school, dan wel bestuur. </t>
  </si>
  <si>
    <t>uitloop</t>
  </si>
  <si>
    <t>toeslag</t>
  </si>
  <si>
    <t>vakantie</t>
  </si>
  <si>
    <t>uitk.</t>
  </si>
  <si>
    <t xml:space="preserve">eindejrs. </t>
  </si>
  <si>
    <t>uitk. OOP</t>
  </si>
  <si>
    <t>bijgestelde versie van dit instrument vergt. In dat geval komt er dus een bijgestelde versie.</t>
  </si>
  <si>
    <t xml:space="preserve">uitlooptoesl. </t>
  </si>
  <si>
    <t>Werkblad 'wgl tot'</t>
  </si>
  <si>
    <t xml:space="preserve">In 2008 had u recht op premievrijstelling van de basispremie Wao/Wia voor oudere werknemers die op 1 januari 2008 </t>
  </si>
  <si>
    <t xml:space="preserve">Er wordt onderscheid gemaakt in de premie VF voor </t>
  </si>
  <si>
    <t xml:space="preserve">De aanpassingen als gevolg van het actieplan LeerKracht zijn volledig verwerkt in de CAO PO. Dat betreft de structurele nominale </t>
  </si>
  <si>
    <t>Deze afschaffing van de IMBU-regeling gebeurt budgettair neutraal op landelijk niveau, maar kan per werkgever verschillend uitpakken.</t>
  </si>
  <si>
    <t xml:space="preserve">Tegelijk met de afschaffing is de premie VF verlaagd nu de uitkering van het UWV door de werkgever gebruikt kan worden om de kosten </t>
  </si>
  <si>
    <t xml:space="preserve">De gegevens omtrent de grondslag van uitkeringen e.d. zijn ontleend aan de Internetpublicaties van de Belastingdienst, ABP, UWV en OCW, </t>
  </si>
  <si>
    <t xml:space="preserve">in verband met deze uitkering (vooral zwangerschaps- en bevallingsverlof) zelf te betalen. Dit betreft dus ook werkgeverslasten die niet in </t>
  </si>
  <si>
    <t xml:space="preserve">de premies zijn verwerkt. De omvang komt overeen met een verlaging van de GPL van 0,724% en dat komt t.o.v. het bijdrage-inkomen overeen </t>
  </si>
  <si>
    <t>met ongeveer 1,1%. Voor nadere informatie over het afschaffen van de IMBU-regeling zie de website van het Vervangingsfonds.</t>
  </si>
  <si>
    <t xml:space="preserve">Bij het VF gold dat grote schoolbesturen (reguliere lumpsum &gt; 20 mln.) eigen risicodrager konden worden voor de </t>
  </si>
  <si>
    <r>
      <t xml:space="preserve">Omdat de premies meestal aangepast worden per 1 januari hebben de berekeningen Werkgeverslasten betrekking op het </t>
    </r>
    <r>
      <rPr>
        <b/>
        <sz val="10"/>
        <rFont val="Calibri"/>
        <family val="2"/>
      </rPr>
      <t>kalenderjaar</t>
    </r>
    <r>
      <rPr>
        <sz val="10"/>
        <rFont val="Calibri"/>
        <family val="2"/>
      </rPr>
      <t>.</t>
    </r>
  </si>
  <si>
    <t>eigen beleid</t>
  </si>
  <si>
    <t xml:space="preserve">Nieuw is hierbij de mogelijkheid om naast de kosten die samenhangen met de premies ook de kosten van 'eigen beleid' op te geven. </t>
  </si>
  <si>
    <t xml:space="preserve">Ten opzichte van het jaarsalaris worden de WG-lasten in een percentage omgerekend, maar belangrijker: ook in een opslagpercentage </t>
  </si>
  <si>
    <t xml:space="preserve">een EHBO-toeslag, een telefoonkostenvergoeding, etc. </t>
  </si>
  <si>
    <t xml:space="preserve">Een bestuur dat voor het VF eigen risicodrager is geworden heeft een aanmerkelijk lager premiepercentage af te dragen aan het VF. Maar </t>
  </si>
  <si>
    <t xml:space="preserve">uiteraard zijn er dan wel extra kosten die die werkgever zelf moet dragen en die kosten zijn ook WG-lasten. Ook die kosten dienen als eigen </t>
  </si>
  <si>
    <t>beleid te worden opgevoerd.</t>
  </si>
  <si>
    <t>&gt;59,5</t>
  </si>
  <si>
    <t xml:space="preserve">leeftijd 59,5 jaar of ouder </t>
  </si>
  <si>
    <t>ZVW premie werkgever</t>
  </si>
  <si>
    <t xml:space="preserve">ZVW premie </t>
  </si>
  <si>
    <t xml:space="preserve">leeftijd 59,5 jr of </t>
  </si>
  <si>
    <t>ouder</t>
  </si>
  <si>
    <t>Structurele no-</t>
  </si>
  <si>
    <t>minale uitkering</t>
  </si>
  <si>
    <r>
      <t xml:space="preserve">De algemene premies zijn van toepassing vanaf </t>
    </r>
    <r>
      <rPr>
        <b/>
        <i/>
        <sz val="10"/>
        <rFont val="Calibri"/>
        <family val="2"/>
      </rPr>
      <t>1 januari 2013.</t>
    </r>
    <r>
      <rPr>
        <sz val="10"/>
        <rFont val="Calibri"/>
        <family val="2"/>
      </rPr>
      <t xml:space="preserve"> </t>
    </r>
    <r>
      <rPr>
        <b/>
        <sz val="10"/>
        <rFont val="Calibri"/>
        <family val="2"/>
      </rPr>
      <t>ABP-premies gelden ook vanaf 1 jan. 2013.</t>
    </r>
  </si>
  <si>
    <r>
      <t xml:space="preserve"> - verplicht verzekerde werknemers: reguliere premie van 7,09% plus </t>
    </r>
    <r>
      <rPr>
        <i/>
        <sz val="10"/>
        <rFont val="Calibri"/>
        <family val="2"/>
      </rPr>
      <t>0,68%</t>
    </r>
    <r>
      <rPr>
        <sz val="10"/>
        <rFont val="Calibri"/>
        <family val="2"/>
      </rPr>
      <t xml:space="preserve"> voor het verlofdeel, samen 7,77</t>
    </r>
    <r>
      <rPr>
        <i/>
        <sz val="10"/>
        <rFont val="Calibri"/>
        <family val="2"/>
      </rPr>
      <t>%</t>
    </r>
    <r>
      <rPr>
        <sz val="10"/>
        <rFont val="Calibri"/>
        <family val="2"/>
      </rPr>
      <t xml:space="preserve"> (jaarbasis)</t>
    </r>
  </si>
  <si>
    <r>
      <t xml:space="preserve"> - vrijwillig verzekerde werknemers: premie is vastgesteld op 7,70</t>
    </r>
    <r>
      <rPr>
        <i/>
        <sz val="10"/>
        <rFont val="Calibri"/>
        <family val="2"/>
      </rPr>
      <t xml:space="preserve">% </t>
    </r>
  </si>
  <si>
    <t xml:space="preserve">Sinds 1 januari 2009 was deze premievrijstelling voor oudere werknemers vervangen door de premiekorting </t>
  </si>
  <si>
    <t xml:space="preserve">Aangezien de premie thans 4,65% bedraagt is deze ontwikkeling van belang voor de ontwikkeling van de werkgeverslasten. </t>
  </si>
  <si>
    <t>vanaf 54,5 jaar per 1 januari 2008 geleidelijk wordt afgeschaft. De regeling premiekorting is per 1 jan. 2013 afgeschaft.</t>
  </si>
  <si>
    <t>Het schaal-uitloopbedrag wordt toegekend zodra het maximum wordt bereikt. Het betekent dus ook dat degene die op 1 januari 2013</t>
  </si>
  <si>
    <t>de loonbelasting en de sociale premies berekend moeten worden.</t>
  </si>
  <si>
    <t>Relevant tijdstip i.v.m. WAO-premie</t>
  </si>
  <si>
    <t>ouder dan 62 jaar</t>
  </si>
  <si>
    <t xml:space="preserve">leeftijd 62 jaar </t>
  </si>
  <si>
    <t>en ouder</t>
  </si>
  <si>
    <t>&gt;62</t>
  </si>
  <si>
    <t xml:space="preserve">leeftijd van </t>
  </si>
  <si>
    <t>62 jaar</t>
  </si>
  <si>
    <t>voor oudere werknemers. De premievrijstelling is dus niet langer van toepassing voor 62 jarigen en ouder (zie hierna).</t>
  </si>
  <si>
    <t>totdat de betrokkene 62 jaar geworden is.</t>
  </si>
  <si>
    <t>versie augustus 2013</t>
  </si>
  <si>
    <t>en de CAO PO 2009 die ook van kracht is voor 2013-2014.</t>
  </si>
  <si>
    <t xml:space="preserve">De salaristabellen zijn de tabellen die gelden vanaf 1 juli 2013. </t>
  </si>
  <si>
    <t>Belastingen 2013</t>
  </si>
  <si>
    <t>Tarieven, bedragen en percentages vanaf 1 januari 2013</t>
  </si>
  <si>
    <r>
      <t xml:space="preserve">Premies VF per </t>
    </r>
    <r>
      <rPr>
        <i/>
        <sz val="10"/>
        <rFont val="Calibri"/>
        <family val="2"/>
      </rPr>
      <t>1 augustus 2012</t>
    </r>
    <r>
      <rPr>
        <sz val="10"/>
        <rFont val="Calibri"/>
        <family val="2"/>
      </rPr>
      <t xml:space="preserve"> zijn naar beneden bijgesteld omdat de </t>
    </r>
    <r>
      <rPr>
        <u/>
        <sz val="10"/>
        <rFont val="Calibri"/>
        <family val="2"/>
      </rPr>
      <t>IMBU-regeling</t>
    </r>
    <r>
      <rPr>
        <sz val="10"/>
        <rFont val="Calibri"/>
        <family val="2"/>
      </rPr>
      <t xml:space="preserve"> is afgeschaft. En weer verhoogd per 1 jan. 2013.</t>
    </r>
  </si>
  <si>
    <t>ziektevervanging van de eerste 52 weken, als ze hiervoor hadden gekozen. In dat geval betalen ze een aanzienlijk lagere premie.</t>
  </si>
  <si>
    <t>Na een systeemwijziging geldt vanaf 1 augustus 2013 voor deze besturen een heel lage premie:</t>
  </si>
  <si>
    <t xml:space="preserve"> - verplicht verzekerde werknemers: reguliere premie van 0,29% (jaarbasis)</t>
  </si>
  <si>
    <r>
      <t xml:space="preserve"> - vrijwillig verzekerde werknemers: premie is vastgesteld op ook 0,29%</t>
    </r>
    <r>
      <rPr>
        <i/>
        <sz val="10"/>
        <rFont val="Calibri"/>
        <family val="2"/>
      </rPr>
      <t>.</t>
    </r>
  </si>
  <si>
    <r>
      <t xml:space="preserve">De grote schoolbesturen (meer dan 20 mln. lumpsum) betalen </t>
    </r>
    <r>
      <rPr>
        <b/>
        <sz val="10"/>
        <rFont val="Calibri"/>
        <family val="2"/>
      </rPr>
      <t>geen extra risicopremie meer</t>
    </r>
    <r>
      <rPr>
        <sz val="10"/>
        <rFont val="Calibri"/>
        <family val="2"/>
      </rPr>
      <t xml:space="preserve"> op de verplichte verzekering.</t>
    </r>
  </si>
  <si>
    <t>De keuze van eigen risicodragerschap wordt binnenkort verbreed voor ook samenwerkingsverbanden van besturen.</t>
  </si>
  <si>
    <t>Bruto-netto traject 2013 Werknemer (indicatief)</t>
  </si>
  <si>
    <t>VF: eigenrisicodrager</t>
  </si>
  <si>
    <t>In het werkblad Werkgeverslasten zijn er nu vier keuzes voor de bepaling van het premiepercentage VF dat van toepassing is!</t>
  </si>
  <si>
    <r>
      <t xml:space="preserve">De premie van het PF is verhoogd met ingang van 1 augustus 2013 naar </t>
    </r>
    <r>
      <rPr>
        <b/>
        <sz val="10"/>
        <rFont val="Calibri"/>
        <family val="2"/>
      </rPr>
      <t>3,00%</t>
    </r>
    <r>
      <rPr>
        <sz val="10"/>
        <rFont val="Calibri"/>
        <family val="2"/>
      </rPr>
      <t xml:space="preserve"> en zal naar verwachting stijgen per 1 januari 2014 naar </t>
    </r>
  </si>
  <si>
    <t xml:space="preserve">Vanaf 1 januari 2013 is de WAO-premiekorting voor ouderen afgeschaft en geldt alleen de premievrijstelling </t>
  </si>
  <si>
    <t xml:space="preserve">Denk hierbij aan extra kosten die niet vergoed worden door UWV, reis- en verblijfkosten, eigen beleid omtrent een parkeervergoeding, </t>
  </si>
  <si>
    <t>Dit werkblad bevat relevante tabellen, conform de gegevens zoals die per 1 augustus 2013 gelden.</t>
  </si>
  <si>
    <t>vanaf 1 augustus</t>
  </si>
  <si>
    <t>n</t>
  </si>
  <si>
    <t>2013/2014</t>
  </si>
  <si>
    <r>
      <t>4,0</t>
    </r>
    <r>
      <rPr>
        <b/>
        <sz val="10"/>
        <rFont val="Calibri"/>
        <family val="2"/>
      </rPr>
      <t>%</t>
    </r>
    <r>
      <rPr>
        <sz val="10"/>
        <rFont val="Calibri"/>
        <family val="2"/>
      </rPr>
      <t xml:space="preserve"> en per 1 augustus 2014 naar tenminste 4,33</t>
    </r>
    <r>
      <rPr>
        <b/>
        <sz val="10"/>
        <rFont val="Calibri"/>
        <family val="2"/>
      </rPr>
      <t>%</t>
    </r>
    <r>
      <rPr>
        <sz val="10"/>
        <rFont val="Calibri"/>
        <family val="2"/>
      </rPr>
      <t>.</t>
    </r>
  </si>
  <si>
    <t>Verwachte premie VF per 1 jan. 2014 verplicht en vrijwillig 8,2%.</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</si>
</sst>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3" formatCode="_ * #,##0.00_ ;_ * \-#,##0.00_ ;_ * &quot;-&quot;??_ ;_ @_ "/>
    <numFmt numFmtId="164" formatCode="&quot;€&quot;\ #,##0_-;[Red]&quot;€&quot;\ #,##0\-"/>
    <numFmt numFmtId="165" formatCode="_-&quot;€&quot;\ * #,##0_-;_-&quot;€&quot;\ * #,##0\-;_-&quot;€&quot;\ * &quot;-&quot;_-;_-@_-"/>
    <numFmt numFmtId="166" formatCode="_-&quot;€&quot;\ * #,##0.00_-;_-&quot;€&quot;\ * #,##0.00\-;_-&quot;€&quot;\ * &quot;-&quot;??_-;_-@_-"/>
    <numFmt numFmtId="167" formatCode="_-* #,##0.00_-;_-* #,##0.00\-;_-* &quot;-&quot;??_-;_-@_-"/>
    <numFmt numFmtId="168" formatCode="&quot;€&quot;\ #,##0.00_);[Red]\(&quot;€&quot;\ #,##0.00\)"/>
    <numFmt numFmtId="169" formatCode="_(&quot;€&quot;\ * #,##0_);_(&quot;€&quot;\ * \(#,##0\);_(&quot;€&quot;\ * &quot;-&quot;_);_(@_)"/>
    <numFmt numFmtId="170" formatCode="_-&quot;fl&quot;\ * #,##0.00_-;_-&quot;fl&quot;\ * #,##0.00\-;_-&quot;fl&quot;\ * &quot;-&quot;??_-;_-@_-"/>
    <numFmt numFmtId="171" formatCode="d/mm/yy"/>
    <numFmt numFmtId="172" formatCode="0.0000"/>
    <numFmt numFmtId="173" formatCode="0.000%"/>
    <numFmt numFmtId="174" formatCode="#,##0.00_ ;[Red]\-#,##0.00\ "/>
    <numFmt numFmtId="175" formatCode="0.0%"/>
    <numFmt numFmtId="176" formatCode="#,##0.0000_ ;\-#,##0.0000\ "/>
    <numFmt numFmtId="177" formatCode="#,##0_-"/>
    <numFmt numFmtId="178" formatCode="_-[$€-2]\ * #,##0.00_-;_-[$€-2]\ * #,##0.00\-;_-[$€-2]\ * &quot;-&quot;??_-;_-@_-"/>
    <numFmt numFmtId="179" formatCode="_ * #,##0.0000_ ;_ * \-#,##0.0000_ ;_ * &quot;-&quot;??_ ;_ @_ "/>
  </numFmts>
  <fonts count="101" x14ac:knownFonts="1">
    <font>
      <sz val="10"/>
      <name val="Arial"/>
    </font>
    <font>
      <sz val="10"/>
      <name val="Arial"/>
      <family val="2"/>
    </font>
    <font>
      <u/>
      <sz val="10"/>
      <color indexed="12"/>
      <name val="Arial"/>
      <family val="2"/>
    </font>
    <font>
      <sz val="10"/>
      <color indexed="81"/>
      <name val="Tahoma"/>
      <family val="2"/>
    </font>
    <font>
      <sz val="9"/>
      <color indexed="81"/>
      <name val="Tahoma"/>
      <family val="2"/>
    </font>
    <font>
      <sz val="8"/>
      <color indexed="81"/>
      <name val="Tahoma"/>
      <family val="2"/>
    </font>
    <font>
      <sz val="8"/>
      <name val="Arial"/>
      <family val="2"/>
    </font>
    <font>
      <sz val="11"/>
      <name val="Calibri"/>
      <family val="2"/>
    </font>
    <font>
      <sz val="10"/>
      <name val="Calibri"/>
      <family val="2"/>
    </font>
    <font>
      <b/>
      <sz val="10"/>
      <name val="Calibri"/>
      <family val="2"/>
    </font>
    <font>
      <b/>
      <i/>
      <sz val="10"/>
      <name val="Calibri"/>
      <family val="2"/>
    </font>
    <font>
      <sz val="11"/>
      <color indexed="8"/>
      <name val="Calibri"/>
      <family val="2"/>
    </font>
    <font>
      <sz val="11"/>
      <color indexed="9"/>
      <name val="Calibri"/>
      <family val="2"/>
    </font>
    <font>
      <b/>
      <sz val="11"/>
      <color indexed="9"/>
      <name val="Calibri"/>
      <family val="2"/>
    </font>
    <font>
      <b/>
      <sz val="11"/>
      <color indexed="8"/>
      <name val="Calibri"/>
      <family val="2"/>
    </font>
    <font>
      <sz val="11"/>
      <name val="Calibri"/>
      <family val="2"/>
    </font>
    <font>
      <b/>
      <sz val="11"/>
      <name val="Calibri"/>
      <family val="2"/>
    </font>
    <font>
      <sz val="11"/>
      <color indexed="10"/>
      <name val="Calibri"/>
      <family val="2"/>
    </font>
    <font>
      <b/>
      <sz val="11"/>
      <color indexed="10"/>
      <name val="Calibri"/>
      <family val="2"/>
    </font>
    <font>
      <i/>
      <sz val="11"/>
      <name val="Calibri"/>
      <family val="2"/>
    </font>
    <font>
      <b/>
      <sz val="12"/>
      <color indexed="9"/>
      <name val="Calibri"/>
      <family val="2"/>
    </font>
    <font>
      <i/>
      <sz val="11"/>
      <color indexed="10"/>
      <name val="Calibri"/>
      <family val="2"/>
    </font>
    <font>
      <b/>
      <i/>
      <sz val="11"/>
      <name val="Calibri"/>
      <family val="2"/>
    </font>
    <font>
      <i/>
      <sz val="11"/>
      <color indexed="23"/>
      <name val="Calibri"/>
      <family val="2"/>
    </font>
    <font>
      <sz val="10"/>
      <name val="Calibri"/>
      <family val="2"/>
    </font>
    <font>
      <b/>
      <sz val="10"/>
      <name val="Calibri"/>
      <family val="2"/>
    </font>
    <font>
      <b/>
      <i/>
      <sz val="11"/>
      <color indexed="10"/>
      <name val="Calibri"/>
      <family val="2"/>
    </font>
    <font>
      <sz val="11"/>
      <color indexed="10"/>
      <name val="Calibri"/>
      <family val="2"/>
    </font>
    <font>
      <b/>
      <i/>
      <sz val="11"/>
      <color indexed="23"/>
      <name val="Calibri"/>
      <family val="2"/>
    </font>
    <font>
      <sz val="11"/>
      <color indexed="23"/>
      <name val="Calibri"/>
      <family val="2"/>
    </font>
    <font>
      <i/>
      <sz val="12"/>
      <name val="Calibri"/>
      <family val="2"/>
    </font>
    <font>
      <b/>
      <sz val="14"/>
      <color indexed="10"/>
      <name val="Calibri"/>
      <family val="2"/>
    </font>
    <font>
      <sz val="14"/>
      <color indexed="10"/>
      <name val="Calibri"/>
      <family val="2"/>
    </font>
    <font>
      <b/>
      <sz val="10"/>
      <color indexed="10"/>
      <name val="Calibri"/>
      <family val="2"/>
    </font>
    <font>
      <b/>
      <sz val="11"/>
      <color indexed="23"/>
      <name val="Calibri"/>
      <family val="2"/>
    </font>
    <font>
      <sz val="10"/>
      <color indexed="10"/>
      <name val="Calibri"/>
      <family val="2"/>
    </font>
    <font>
      <b/>
      <i/>
      <sz val="10"/>
      <name val="Calibri"/>
      <family val="2"/>
    </font>
    <font>
      <sz val="10"/>
      <color indexed="10"/>
      <name val="Calibri"/>
      <family val="2"/>
    </font>
    <font>
      <i/>
      <sz val="10"/>
      <name val="Calibri"/>
      <family val="2"/>
    </font>
    <font>
      <u/>
      <sz val="10"/>
      <color indexed="12"/>
      <name val="Calibri"/>
      <family val="2"/>
    </font>
    <font>
      <b/>
      <i/>
      <sz val="11"/>
      <color indexed="8"/>
      <name val="Calibri"/>
      <family val="2"/>
    </font>
    <font>
      <b/>
      <sz val="14"/>
      <color indexed="8"/>
      <name val="Calibri"/>
      <family val="2"/>
    </font>
    <font>
      <i/>
      <sz val="11"/>
      <color indexed="8"/>
      <name val="Calibri"/>
      <family val="2"/>
    </font>
    <font>
      <sz val="11"/>
      <color indexed="22"/>
      <name val="Calibri"/>
      <family val="2"/>
    </font>
    <font>
      <b/>
      <i/>
      <sz val="12"/>
      <color indexed="55"/>
      <name val="Calibri"/>
      <family val="2"/>
    </font>
    <font>
      <sz val="11"/>
      <color indexed="55"/>
      <name val="Calibri"/>
      <family val="2"/>
    </font>
    <font>
      <b/>
      <i/>
      <sz val="10"/>
      <color indexed="10"/>
      <name val="Calibri"/>
      <family val="2"/>
    </font>
    <font>
      <sz val="10"/>
      <name val="Arial"/>
      <family val="2"/>
    </font>
    <font>
      <b/>
      <sz val="12"/>
      <name val="Calibri"/>
      <family val="2"/>
    </font>
    <font>
      <sz val="10"/>
      <name val="Calibri"/>
      <family val="2"/>
    </font>
    <font>
      <b/>
      <sz val="10"/>
      <name val="Calibri"/>
      <family val="2"/>
    </font>
    <font>
      <i/>
      <sz val="10"/>
      <name val="Calibri"/>
      <family val="2"/>
    </font>
    <font>
      <b/>
      <sz val="11"/>
      <color indexed="9"/>
      <name val="Calibri"/>
      <family val="2"/>
    </font>
    <font>
      <b/>
      <sz val="12"/>
      <color indexed="9"/>
      <name val="Calibri"/>
      <family val="2"/>
    </font>
    <font>
      <b/>
      <sz val="11"/>
      <color indexed="60"/>
      <name val="Calibri"/>
      <family val="2"/>
    </font>
    <font>
      <sz val="10"/>
      <color indexed="10"/>
      <name val="Calibri"/>
      <family val="2"/>
    </font>
    <font>
      <sz val="10"/>
      <color indexed="22"/>
      <name val="Calibri"/>
      <family val="2"/>
    </font>
    <font>
      <sz val="11"/>
      <color indexed="8"/>
      <name val="Calibri"/>
      <family val="2"/>
    </font>
    <font>
      <sz val="10"/>
      <color indexed="8"/>
      <name val="Calibri"/>
      <family val="2"/>
    </font>
    <font>
      <b/>
      <i/>
      <sz val="10"/>
      <name val="Calibri"/>
      <family val="2"/>
    </font>
    <font>
      <sz val="11"/>
      <color indexed="22"/>
      <name val="Calibri"/>
      <family val="2"/>
    </font>
    <font>
      <sz val="11"/>
      <color indexed="9"/>
      <name val="Calibri"/>
      <family val="2"/>
    </font>
    <font>
      <b/>
      <sz val="10"/>
      <color indexed="9"/>
      <name val="Calibri"/>
      <family val="2"/>
    </font>
    <font>
      <b/>
      <sz val="10"/>
      <color indexed="60"/>
      <name val="Calibri"/>
      <family val="2"/>
    </font>
    <font>
      <sz val="10"/>
      <color indexed="60"/>
      <name val="Calibri"/>
      <family val="2"/>
    </font>
    <font>
      <b/>
      <sz val="10"/>
      <color indexed="60"/>
      <name val="Calibri"/>
      <family val="2"/>
    </font>
    <font>
      <i/>
      <sz val="10"/>
      <color indexed="60"/>
      <name val="Calibri"/>
      <family val="2"/>
    </font>
    <font>
      <b/>
      <sz val="10"/>
      <color indexed="8"/>
      <name val="Calibri"/>
      <family val="2"/>
    </font>
    <font>
      <sz val="10"/>
      <color indexed="22"/>
      <name val="Calibri"/>
      <family val="2"/>
    </font>
    <font>
      <i/>
      <sz val="10"/>
      <color indexed="22"/>
      <name val="Calibri"/>
      <family val="2"/>
    </font>
    <font>
      <sz val="14"/>
      <name val="Calibri"/>
      <family val="2"/>
    </font>
    <font>
      <sz val="14"/>
      <color indexed="60"/>
      <name val="Calibri"/>
      <family val="2"/>
    </font>
    <font>
      <i/>
      <sz val="14"/>
      <name val="Calibri"/>
      <family val="2"/>
    </font>
    <font>
      <sz val="14"/>
      <color indexed="10"/>
      <name val="Calibri"/>
      <family val="2"/>
    </font>
    <font>
      <b/>
      <sz val="14"/>
      <color indexed="60"/>
      <name val="Calibri"/>
      <family val="2"/>
    </font>
    <font>
      <sz val="11"/>
      <color indexed="60"/>
      <name val="Calibri"/>
      <family val="2"/>
    </font>
    <font>
      <sz val="12"/>
      <name val="Calibri"/>
      <family val="2"/>
    </font>
    <font>
      <i/>
      <sz val="11"/>
      <color indexed="60"/>
      <name val="Calibri"/>
      <family val="2"/>
    </font>
    <font>
      <i/>
      <sz val="11"/>
      <color indexed="8"/>
      <name val="Calibri"/>
      <family val="2"/>
    </font>
    <font>
      <b/>
      <sz val="12"/>
      <color indexed="60"/>
      <name val="Calibri"/>
      <family val="2"/>
    </font>
    <font>
      <sz val="14"/>
      <color indexed="60"/>
      <name val="Calibri"/>
      <family val="2"/>
    </font>
    <font>
      <sz val="10"/>
      <color indexed="55"/>
      <name val="Calibri"/>
      <family val="2"/>
    </font>
    <font>
      <b/>
      <sz val="10"/>
      <color indexed="10"/>
      <name val="Calibri"/>
      <family val="2"/>
    </font>
    <font>
      <sz val="10"/>
      <color indexed="8"/>
      <name val="Calibri"/>
      <family val="2"/>
    </font>
    <font>
      <sz val="10"/>
      <color indexed="30"/>
      <name val="Calibri"/>
      <family val="2"/>
    </font>
    <font>
      <sz val="11"/>
      <color indexed="81"/>
      <name val="Tahoma"/>
      <family val="2"/>
    </font>
    <font>
      <sz val="12"/>
      <color indexed="8"/>
      <name val="Calibri"/>
      <family val="2"/>
    </font>
    <font>
      <i/>
      <sz val="10"/>
      <color indexed="8"/>
      <name val="Calibri"/>
      <family val="2"/>
    </font>
    <font>
      <sz val="12"/>
      <name val="Calibri"/>
      <family val="2"/>
    </font>
    <font>
      <sz val="10"/>
      <color theme="0" tint="-0.249977111117893"/>
      <name val="Calibri"/>
      <family val="2"/>
    </font>
    <font>
      <sz val="11"/>
      <color theme="0" tint="-0.249977111117893"/>
      <name val="Calibri"/>
      <family val="2"/>
    </font>
    <font>
      <i/>
      <sz val="11"/>
      <color theme="0" tint="-0.249977111117893"/>
      <name val="Calibri"/>
      <family val="2"/>
    </font>
    <font>
      <sz val="10"/>
      <color theme="0" tint="-0.34998626667073579"/>
      <name val="Calibri"/>
      <family val="2"/>
    </font>
    <font>
      <sz val="10"/>
      <color indexed="10"/>
      <name val="Calibri"/>
      <family val="2"/>
      <scheme val="minor"/>
    </font>
    <font>
      <sz val="14"/>
      <color indexed="10"/>
      <name val="Calibri"/>
      <family val="2"/>
      <scheme val="minor"/>
    </font>
    <font>
      <sz val="10"/>
      <name val="Calibri"/>
      <family val="2"/>
      <scheme val="minor"/>
    </font>
    <font>
      <sz val="10"/>
      <color indexed="8"/>
      <name val="Calibri"/>
      <family val="2"/>
      <scheme val="minor"/>
    </font>
    <font>
      <sz val="10"/>
      <color rgb="FFFF0000"/>
      <name val="Calibri"/>
      <family val="2"/>
    </font>
    <font>
      <sz val="14"/>
      <color rgb="FFFF0000"/>
      <name val="Calibri"/>
      <family val="2"/>
    </font>
    <font>
      <i/>
      <sz val="10"/>
      <color rgb="FFFF0000"/>
      <name val="Calibri"/>
      <family val="2"/>
    </font>
    <font>
      <u/>
      <sz val="10"/>
      <name val="Calibri"/>
      <family val="2"/>
    </font>
  </fonts>
  <fills count="14">
    <fill>
      <patternFill patternType="none"/>
    </fill>
    <fill>
      <patternFill patternType="gray125"/>
    </fill>
    <fill>
      <patternFill patternType="solid">
        <fgColor indexed="31"/>
        <bgColor indexed="64"/>
      </patternFill>
    </fill>
    <fill>
      <patternFill patternType="solid">
        <fgColor indexed="23"/>
        <bgColor indexed="64"/>
      </patternFill>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30"/>
        <bgColor indexed="64"/>
      </patternFill>
    </fill>
    <fill>
      <patternFill patternType="solid">
        <fgColor indexed="43"/>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s>
  <borders count="39">
    <border>
      <left/>
      <right/>
      <top/>
      <bottom/>
      <diagonal/>
    </border>
    <border>
      <left style="thin">
        <color indexed="22"/>
      </left>
      <right style="thin">
        <color indexed="22"/>
      </right>
      <top style="thin">
        <color indexed="22"/>
      </top>
      <bottom style="thin">
        <color indexed="22"/>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47"/>
      </right>
      <top/>
      <bottom style="thin">
        <color indexed="47"/>
      </bottom>
      <diagonal/>
    </border>
    <border>
      <left style="thin">
        <color indexed="47"/>
      </left>
      <right style="thin">
        <color indexed="47"/>
      </right>
      <top/>
      <bottom style="thin">
        <color indexed="47"/>
      </bottom>
      <diagonal/>
    </border>
    <border>
      <left style="thin">
        <color indexed="47"/>
      </left>
      <right/>
      <top/>
      <bottom style="thin">
        <color indexed="47"/>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diagonal/>
    </border>
    <border>
      <left style="thin">
        <color indexed="47"/>
      </left>
      <right style="thin">
        <color indexed="47"/>
      </right>
      <top style="thin">
        <color indexed="47"/>
      </top>
      <bottom/>
      <diagonal/>
    </border>
    <border>
      <left style="thin">
        <color indexed="47"/>
      </left>
      <right/>
      <top style="thin">
        <color indexed="47"/>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thin">
        <color indexed="9"/>
      </bottom>
      <diagonal/>
    </border>
    <border>
      <left style="thin">
        <color indexed="22"/>
      </left>
      <right style="thin">
        <color indexed="64"/>
      </right>
      <top style="thin">
        <color indexed="22"/>
      </top>
      <bottom style="thin">
        <color indexed="22"/>
      </bottom>
      <diagonal/>
    </border>
    <border>
      <left style="thin">
        <color indexed="64"/>
      </left>
      <right style="thin">
        <color indexed="22"/>
      </right>
      <top style="thin">
        <color indexed="22"/>
      </top>
      <bottom style="thin">
        <color indexed="22"/>
      </bottom>
      <diagonal/>
    </border>
    <border>
      <left/>
      <right style="thin">
        <color indexed="22"/>
      </right>
      <top/>
      <bottom style="thin">
        <color indexed="22"/>
      </bottom>
      <diagonal/>
    </border>
    <border>
      <left style="thin">
        <color indexed="22"/>
      </left>
      <right/>
      <top/>
      <bottom style="thin">
        <color indexed="22"/>
      </bottom>
      <diagonal/>
    </border>
    <border>
      <left/>
      <right style="thin">
        <color indexed="22"/>
      </right>
      <top style="thin">
        <color indexed="22"/>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diagonal/>
    </border>
    <border>
      <left/>
      <right/>
      <top/>
      <bottom style="thin">
        <color indexed="22"/>
      </bottom>
      <diagonal/>
    </border>
    <border>
      <left style="thin">
        <color indexed="22"/>
      </left>
      <right/>
      <top style="thin">
        <color indexed="22"/>
      </top>
      <bottom style="thin">
        <color indexed="22"/>
      </bottom>
      <diagonal/>
    </border>
    <border>
      <left/>
      <right/>
      <top/>
      <bottom style="thin">
        <color theme="0"/>
      </bottom>
      <diagonal/>
    </border>
  </borders>
  <cellStyleXfs count="5">
    <xf numFmtId="0" fontId="0" fillId="0" borderId="0"/>
    <xf numFmtId="0" fontId="2" fillId="0" borderId="0" applyNumberFormat="0" applyFill="0" applyBorder="0" applyAlignment="0" applyProtection="0">
      <alignment vertical="top"/>
      <protection locked="0"/>
    </xf>
    <xf numFmtId="43" fontId="1" fillId="0" borderId="0" applyFont="0" applyFill="0" applyBorder="0" applyAlignment="0" applyProtection="0"/>
    <xf numFmtId="9" fontId="1" fillId="0" borderId="0" applyFont="0" applyFill="0" applyBorder="0" applyAlignment="0" applyProtection="0"/>
    <xf numFmtId="170" fontId="1" fillId="0" borderId="0" applyFont="0" applyFill="0" applyBorder="0" applyAlignment="0" applyProtection="0"/>
  </cellStyleXfs>
  <cellXfs count="682">
    <xf numFmtId="0" fontId="0" fillId="0" borderId="0" xfId="0"/>
    <xf numFmtId="0" fontId="15" fillId="2" borderId="0" xfId="0" applyFont="1" applyFill="1" applyProtection="1"/>
    <xf numFmtId="0" fontId="16" fillId="2" borderId="0" xfId="0" applyFont="1" applyFill="1" applyProtection="1"/>
    <xf numFmtId="0" fontId="15" fillId="2" borderId="0" xfId="0" applyFont="1" applyFill="1"/>
    <xf numFmtId="0" fontId="15" fillId="2" borderId="0" xfId="0" applyFont="1" applyFill="1" applyAlignment="1" applyProtection="1">
      <alignment horizontal="left"/>
    </xf>
    <xf numFmtId="0" fontId="15" fillId="2" borderId="0" xfId="0" applyFont="1" applyFill="1" applyAlignment="1" applyProtection="1">
      <alignment horizontal="right"/>
    </xf>
    <xf numFmtId="165" fontId="15" fillId="2" borderId="0" xfId="0" applyNumberFormat="1" applyFont="1" applyFill="1" applyProtection="1"/>
    <xf numFmtId="0" fontId="15" fillId="2" borderId="0" xfId="0" applyFont="1" applyFill="1" applyAlignment="1" applyProtection="1">
      <alignment horizontal="center"/>
    </xf>
    <xf numFmtId="0" fontId="17" fillId="2" borderId="0" xfId="0" applyFont="1" applyFill="1" applyProtection="1"/>
    <xf numFmtId="0" fontId="15" fillId="3" borderId="2" xfId="0" applyFont="1" applyFill="1" applyBorder="1" applyProtection="1"/>
    <xf numFmtId="0" fontId="15" fillId="3" borderId="3" xfId="0" applyFont="1" applyFill="1" applyBorder="1" applyProtection="1"/>
    <xf numFmtId="0" fontId="20" fillId="3" borderId="3" xfId="0" applyFont="1" applyFill="1" applyBorder="1" applyAlignment="1" applyProtection="1">
      <alignment horizontal="right"/>
    </xf>
    <xf numFmtId="0" fontId="15" fillId="4" borderId="4" xfId="0" applyFont="1" applyFill="1" applyBorder="1" applyProtection="1"/>
    <xf numFmtId="0" fontId="15" fillId="4" borderId="5" xfId="0" applyFont="1" applyFill="1" applyBorder="1" applyProtection="1"/>
    <xf numFmtId="0" fontId="15" fillId="4" borderId="5" xfId="0" applyFont="1" applyFill="1" applyBorder="1" applyAlignment="1" applyProtection="1">
      <alignment horizontal="center"/>
    </xf>
    <xf numFmtId="0" fontId="15" fillId="4" borderId="6" xfId="0" applyFont="1" applyFill="1" applyBorder="1" applyProtection="1"/>
    <xf numFmtId="0" fontId="15" fillId="4" borderId="7" xfId="0" applyFont="1" applyFill="1" applyBorder="1" applyProtection="1"/>
    <xf numFmtId="0" fontId="15" fillId="4" borderId="0" xfId="0" applyFont="1" applyFill="1" applyBorder="1" applyProtection="1"/>
    <xf numFmtId="0" fontId="15" fillId="4" borderId="0" xfId="0" applyFont="1" applyFill="1" applyBorder="1" applyAlignment="1" applyProtection="1">
      <alignment horizontal="center"/>
    </xf>
    <xf numFmtId="0" fontId="15" fillId="4" borderId="8" xfId="0" applyFont="1" applyFill="1" applyBorder="1" applyProtection="1"/>
    <xf numFmtId="0" fontId="15" fillId="4" borderId="0" xfId="0" applyFont="1" applyFill="1" applyBorder="1"/>
    <xf numFmtId="0" fontId="15" fillId="5" borderId="0" xfId="0" applyFont="1" applyFill="1" applyBorder="1" applyProtection="1"/>
    <xf numFmtId="0" fontId="15" fillId="5" borderId="0" xfId="0" applyFont="1" applyFill="1" applyBorder="1" applyAlignment="1" applyProtection="1">
      <alignment horizontal="center"/>
    </xf>
    <xf numFmtId="0" fontId="16" fillId="4" borderId="7" xfId="0" applyFont="1" applyFill="1" applyBorder="1" applyProtection="1"/>
    <xf numFmtId="0" fontId="16" fillId="5" borderId="0" xfId="0" applyFont="1" applyFill="1" applyBorder="1" applyProtection="1"/>
    <xf numFmtId="0" fontId="15" fillId="4" borderId="0" xfId="0" applyFont="1" applyFill="1" applyBorder="1" applyAlignment="1" applyProtection="1">
      <alignment horizontal="center"/>
      <protection locked="0"/>
    </xf>
    <xf numFmtId="0" fontId="15" fillId="5" borderId="0" xfId="0" applyFont="1" applyFill="1" applyBorder="1" applyAlignment="1" applyProtection="1">
      <alignment horizontal="center"/>
      <protection locked="0"/>
    </xf>
    <xf numFmtId="0" fontId="15" fillId="4" borderId="8" xfId="0" applyFont="1" applyFill="1" applyBorder="1"/>
    <xf numFmtId="0" fontId="16" fillId="4" borderId="0" xfId="0" applyFont="1" applyFill="1" applyBorder="1" applyProtection="1"/>
    <xf numFmtId="0" fontId="17" fillId="4" borderId="7" xfId="0" applyFont="1" applyFill="1" applyBorder="1" applyProtection="1"/>
    <xf numFmtId="0" fontId="16" fillId="4" borderId="8" xfId="0" applyFont="1" applyFill="1" applyBorder="1"/>
    <xf numFmtId="0" fontId="15" fillId="2" borderId="0" xfId="0" applyFont="1" applyFill="1" applyBorder="1" applyProtection="1"/>
    <xf numFmtId="0" fontId="17" fillId="4" borderId="8" xfId="0" applyFont="1" applyFill="1" applyBorder="1" applyProtection="1"/>
    <xf numFmtId="166" fontId="15" fillId="4" borderId="0" xfId="0" applyNumberFormat="1" applyFont="1" applyFill="1" applyBorder="1" applyProtection="1"/>
    <xf numFmtId="0" fontId="16" fillId="2" borderId="0" xfId="0" applyFont="1" applyFill="1"/>
    <xf numFmtId="0" fontId="15" fillId="2" borderId="0" xfId="0" applyFont="1" applyFill="1" applyAlignment="1">
      <alignment horizontal="right"/>
    </xf>
    <xf numFmtId="0" fontId="16" fillId="2" borderId="0" xfId="0" applyFont="1" applyFill="1" applyBorder="1" applyProtection="1"/>
    <xf numFmtId="0" fontId="16" fillId="2" borderId="0" xfId="0" applyFont="1" applyFill="1" applyAlignment="1">
      <alignment horizontal="right"/>
    </xf>
    <xf numFmtId="0" fontId="15" fillId="4" borderId="4" xfId="0" applyFont="1" applyFill="1" applyBorder="1"/>
    <xf numFmtId="0" fontId="15" fillId="4" borderId="5" xfId="0" applyFont="1" applyFill="1" applyBorder="1"/>
    <xf numFmtId="0" fontId="15" fillId="4" borderId="6" xfId="0" applyFont="1" applyFill="1" applyBorder="1"/>
    <xf numFmtId="0" fontId="15" fillId="4" borderId="7" xfId="0" applyFont="1" applyFill="1" applyBorder="1"/>
    <xf numFmtId="0" fontId="15" fillId="5" borderId="0" xfId="0" applyFont="1" applyFill="1" applyBorder="1" applyAlignment="1" applyProtection="1">
      <protection locked="0"/>
    </xf>
    <xf numFmtId="0" fontId="16" fillId="4" borderId="7" xfId="0" applyFont="1" applyFill="1" applyBorder="1"/>
    <xf numFmtId="166" fontId="15" fillId="4" borderId="0" xfId="0" applyNumberFormat="1" applyFont="1" applyFill="1" applyBorder="1"/>
    <xf numFmtId="0" fontId="16" fillId="4" borderId="7" xfId="0" applyFont="1" applyFill="1" applyBorder="1" applyAlignment="1">
      <alignment horizontal="right"/>
    </xf>
    <xf numFmtId="0" fontId="15" fillId="4" borderId="7" xfId="0" applyFont="1" applyFill="1" applyBorder="1" applyAlignment="1">
      <alignment horizontal="right"/>
    </xf>
    <xf numFmtId="0" fontId="12" fillId="3" borderId="2" xfId="0" applyFont="1" applyFill="1" applyBorder="1"/>
    <xf numFmtId="0" fontId="12" fillId="3" borderId="3" xfId="0" applyFont="1" applyFill="1" applyBorder="1"/>
    <xf numFmtId="0" fontId="12" fillId="3" borderId="9" xfId="0" applyFont="1" applyFill="1" applyBorder="1"/>
    <xf numFmtId="0" fontId="30" fillId="2" borderId="0" xfId="0" applyFont="1" applyFill="1" applyProtection="1"/>
    <xf numFmtId="0" fontId="30" fillId="2" borderId="0" xfId="0" applyFont="1" applyFill="1"/>
    <xf numFmtId="0" fontId="30" fillId="4" borderId="7" xfId="0" applyFont="1" applyFill="1" applyBorder="1" applyProtection="1"/>
    <xf numFmtId="0" fontId="30" fillId="4" borderId="0" xfId="0" applyFont="1" applyFill="1" applyBorder="1" applyProtection="1"/>
    <xf numFmtId="0" fontId="30" fillId="4" borderId="8" xfId="0" applyFont="1" applyFill="1" applyBorder="1" applyProtection="1"/>
    <xf numFmtId="0" fontId="30" fillId="4" borderId="0" xfId="0" applyFont="1" applyFill="1" applyBorder="1" applyAlignment="1" applyProtection="1">
      <alignment horizontal="center"/>
    </xf>
    <xf numFmtId="0" fontId="15" fillId="3" borderId="3" xfId="0" applyFont="1" applyFill="1" applyBorder="1" applyAlignment="1" applyProtection="1">
      <alignment horizontal="center"/>
    </xf>
    <xf numFmtId="0" fontId="15" fillId="4" borderId="0" xfId="0" applyFont="1" applyFill="1" applyBorder="1" applyAlignment="1" applyProtection="1">
      <protection locked="0"/>
    </xf>
    <xf numFmtId="0" fontId="12" fillId="3" borderId="2" xfId="0" applyFont="1" applyFill="1" applyBorder="1" applyProtection="1"/>
    <xf numFmtId="0" fontId="12" fillId="3" borderId="3" xfId="0" applyFont="1" applyFill="1" applyBorder="1" applyProtection="1"/>
    <xf numFmtId="0" fontId="31" fillId="4" borderId="0" xfId="0" applyFont="1" applyFill="1" applyBorder="1" applyProtection="1"/>
    <xf numFmtId="0" fontId="31" fillId="4" borderId="0" xfId="0" applyFont="1" applyFill="1" applyBorder="1" applyAlignment="1" applyProtection="1">
      <alignment horizontal="left"/>
    </xf>
    <xf numFmtId="0" fontId="31" fillId="4" borderId="0" xfId="0" applyFont="1" applyFill="1" applyBorder="1" applyAlignment="1" applyProtection="1">
      <alignment horizontal="center"/>
    </xf>
    <xf numFmtId="0" fontId="31" fillId="4" borderId="7" xfId="0" applyFont="1" applyFill="1" applyBorder="1"/>
    <xf numFmtId="0" fontId="31" fillId="4" borderId="0" xfId="0" applyFont="1" applyFill="1" applyBorder="1"/>
    <xf numFmtId="0" fontId="31" fillId="4" borderId="8" xfId="0" applyFont="1" applyFill="1" applyBorder="1"/>
    <xf numFmtId="0" fontId="31" fillId="2" borderId="0" xfId="0" applyFont="1" applyFill="1"/>
    <xf numFmtId="0" fontId="32" fillId="4" borderId="7" xfId="0" applyFont="1" applyFill="1" applyBorder="1" applyProtection="1"/>
    <xf numFmtId="0" fontId="32" fillId="4" borderId="0" xfId="0" applyFont="1" applyFill="1" applyBorder="1" applyProtection="1"/>
    <xf numFmtId="0" fontId="32" fillId="4" borderId="8" xfId="0" applyFont="1" applyFill="1" applyBorder="1" applyProtection="1"/>
    <xf numFmtId="0" fontId="32" fillId="2" borderId="0" xfId="0" applyFont="1" applyFill="1" applyProtection="1"/>
    <xf numFmtId="0" fontId="32" fillId="2" borderId="0" xfId="0" applyFont="1" applyFill="1"/>
    <xf numFmtId="0" fontId="17" fillId="4" borderId="0" xfId="0" applyFont="1" applyFill="1" applyBorder="1" applyProtection="1"/>
    <xf numFmtId="0" fontId="17" fillId="2" borderId="0" xfId="0" applyFont="1" applyFill="1" applyAlignment="1" applyProtection="1">
      <alignment horizontal="left"/>
    </xf>
    <xf numFmtId="165" fontId="15" fillId="2" borderId="0" xfId="4" applyNumberFormat="1" applyFont="1" applyFill="1" applyProtection="1"/>
    <xf numFmtId="165" fontId="15" fillId="2" borderId="0" xfId="4" applyNumberFormat="1" applyFont="1" applyFill="1" applyAlignment="1" applyProtection="1">
      <alignment horizontal="center"/>
    </xf>
    <xf numFmtId="165" fontId="15" fillId="2" borderId="0" xfId="4" applyNumberFormat="1" applyFont="1" applyFill="1"/>
    <xf numFmtId="166" fontId="15" fillId="4" borderId="8" xfId="0" applyNumberFormat="1" applyFont="1" applyFill="1" applyBorder="1" applyProtection="1"/>
    <xf numFmtId="166" fontId="16" fillId="4" borderId="8" xfId="0" applyNumberFormat="1" applyFont="1" applyFill="1" applyBorder="1" applyProtection="1"/>
    <xf numFmtId="166" fontId="13" fillId="3" borderId="3" xfId="0" applyNumberFormat="1" applyFont="1" applyFill="1" applyBorder="1" applyAlignment="1" applyProtection="1">
      <alignment horizontal="right"/>
    </xf>
    <xf numFmtId="166" fontId="12" fillId="3" borderId="9" xfId="0" applyNumberFormat="1" applyFont="1" applyFill="1" applyBorder="1" applyProtection="1"/>
    <xf numFmtId="166" fontId="15" fillId="2" borderId="0" xfId="0" applyNumberFormat="1" applyFont="1" applyFill="1" applyProtection="1"/>
    <xf numFmtId="166" fontId="20" fillId="3" borderId="3" xfId="0" applyNumberFormat="1" applyFont="1" applyFill="1" applyBorder="1" applyAlignment="1" applyProtection="1">
      <alignment horizontal="right"/>
    </xf>
    <xf numFmtId="166" fontId="15" fillId="3" borderId="9" xfId="0" applyNumberFormat="1" applyFont="1" applyFill="1" applyBorder="1" applyProtection="1"/>
    <xf numFmtId="166" fontId="12" fillId="3" borderId="3" xfId="0" applyNumberFormat="1" applyFont="1" applyFill="1" applyBorder="1"/>
    <xf numFmtId="166" fontId="15" fillId="2" borderId="0" xfId="0" applyNumberFormat="1" applyFont="1" applyFill="1"/>
    <xf numFmtId="166" fontId="15" fillId="2" borderId="0" xfId="4" applyNumberFormat="1" applyFont="1" applyFill="1" applyProtection="1"/>
    <xf numFmtId="166" fontId="19" fillId="2" borderId="0" xfId="4" applyNumberFormat="1" applyFont="1" applyFill="1" applyProtection="1"/>
    <xf numFmtId="166" fontId="15" fillId="2" borderId="0" xfId="4" applyNumberFormat="1" applyFont="1" applyFill="1" applyAlignment="1" applyProtection="1">
      <alignment horizontal="center"/>
    </xf>
    <xf numFmtId="166" fontId="19" fillId="2" borderId="0" xfId="4" applyNumberFormat="1" applyFont="1" applyFill="1" applyAlignment="1" applyProtection="1">
      <alignment horizontal="center"/>
    </xf>
    <xf numFmtId="166" fontId="15" fillId="2" borderId="0" xfId="4" applyNumberFormat="1" applyFont="1" applyFill="1"/>
    <xf numFmtId="166" fontId="19" fillId="2" borderId="0" xfId="4" applyNumberFormat="1" applyFont="1" applyFill="1"/>
    <xf numFmtId="166" fontId="19" fillId="2" borderId="0" xfId="0" applyNumberFormat="1" applyFont="1" applyFill="1"/>
    <xf numFmtId="166" fontId="19" fillId="2" borderId="0" xfId="0" applyNumberFormat="1" applyFont="1" applyFill="1" applyProtection="1"/>
    <xf numFmtId="0" fontId="24" fillId="2" borderId="0" xfId="0" applyFont="1" applyFill="1" applyBorder="1" applyAlignment="1" applyProtection="1">
      <alignment horizontal="left"/>
    </xf>
    <xf numFmtId="49" fontId="24" fillId="2" borderId="0" xfId="0" applyNumberFormat="1" applyFont="1" applyFill="1" applyBorder="1" applyAlignment="1" applyProtection="1">
      <alignment horizontal="left"/>
    </xf>
    <xf numFmtId="0" fontId="11" fillId="4" borderId="5" xfId="0" applyFont="1" applyFill="1" applyBorder="1"/>
    <xf numFmtId="0" fontId="11" fillId="4" borderId="0" xfId="0" applyFont="1" applyFill="1" applyBorder="1"/>
    <xf numFmtId="0" fontId="41" fillId="4" borderId="0" xfId="0" applyFont="1" applyFill="1" applyBorder="1"/>
    <xf numFmtId="166" fontId="11" fillId="4" borderId="0" xfId="0" applyNumberFormat="1" applyFont="1" applyFill="1" applyBorder="1"/>
    <xf numFmtId="0" fontId="11" fillId="2" borderId="0" xfId="0" applyFont="1" applyFill="1"/>
    <xf numFmtId="0" fontId="12" fillId="2" borderId="0" xfId="0" applyFont="1" applyFill="1" applyBorder="1" applyProtection="1"/>
    <xf numFmtId="166" fontId="12" fillId="2" borderId="0" xfId="0" applyNumberFormat="1" applyFont="1" applyFill="1" applyBorder="1" applyProtection="1"/>
    <xf numFmtId="166" fontId="13" fillId="2" borderId="0" xfId="0" applyNumberFormat="1" applyFont="1" applyFill="1" applyBorder="1" applyAlignment="1" applyProtection="1">
      <alignment horizontal="right"/>
    </xf>
    <xf numFmtId="0" fontId="23" fillId="4" borderId="0" xfId="0" applyFont="1" applyFill="1" applyBorder="1" applyAlignment="1" applyProtection="1">
      <alignment horizontal="center"/>
    </xf>
    <xf numFmtId="0" fontId="23" fillId="4" borderId="0" xfId="0" applyFont="1" applyFill="1" applyBorder="1" applyAlignment="1" applyProtection="1">
      <alignment horizontal="right"/>
    </xf>
    <xf numFmtId="0" fontId="15" fillId="5" borderId="10" xfId="0" applyFont="1" applyFill="1" applyBorder="1" applyProtection="1"/>
    <xf numFmtId="0" fontId="15" fillId="5" borderId="11" xfId="0" applyFont="1" applyFill="1" applyBorder="1" applyProtection="1"/>
    <xf numFmtId="0" fontId="15" fillId="5" borderId="11" xfId="0" applyFont="1" applyFill="1" applyBorder="1" applyAlignment="1" applyProtection="1">
      <alignment horizontal="center"/>
    </xf>
    <xf numFmtId="0" fontId="15" fillId="5" borderId="11" xfId="0" applyFont="1" applyFill="1" applyBorder="1"/>
    <xf numFmtId="0" fontId="15" fillId="5" borderId="12" xfId="0" applyFont="1" applyFill="1" applyBorder="1" applyProtection="1"/>
    <xf numFmtId="0" fontId="15" fillId="5" borderId="13" xfId="0" applyFont="1" applyFill="1" applyBorder="1" applyProtection="1"/>
    <xf numFmtId="0" fontId="18" fillId="5" borderId="14" xfId="0" applyFont="1" applyFill="1" applyBorder="1" applyProtection="1"/>
    <xf numFmtId="0" fontId="15" fillId="5" borderId="14" xfId="0" applyFont="1" applyFill="1" applyBorder="1" applyAlignment="1" applyProtection="1">
      <alignment horizontal="center"/>
    </xf>
    <xf numFmtId="0" fontId="15" fillId="5" borderId="14" xfId="0" applyFont="1" applyFill="1" applyBorder="1" applyProtection="1"/>
    <xf numFmtId="0" fontId="15" fillId="5" borderId="14" xfId="0" applyFont="1" applyFill="1" applyBorder="1"/>
    <xf numFmtId="0" fontId="15" fillId="5" borderId="15" xfId="0" applyFont="1" applyFill="1" applyBorder="1" applyProtection="1"/>
    <xf numFmtId="0" fontId="16" fillId="5" borderId="13" xfId="0" applyFont="1" applyFill="1" applyBorder="1" applyProtection="1"/>
    <xf numFmtId="0" fontId="15" fillId="4" borderId="14" xfId="0" applyFont="1" applyFill="1" applyBorder="1" applyAlignment="1" applyProtection="1">
      <alignment horizontal="center"/>
      <protection locked="0"/>
    </xf>
    <xf numFmtId="0" fontId="15" fillId="5" borderId="14" xfId="0" applyFont="1" applyFill="1" applyBorder="1" applyProtection="1">
      <protection locked="0"/>
    </xf>
    <xf numFmtId="0" fontId="16" fillId="5" borderId="14" xfId="0" applyFont="1" applyFill="1" applyBorder="1" applyProtection="1"/>
    <xf numFmtId="172" fontId="15" fillId="4" borderId="14" xfId="0" applyNumberFormat="1" applyFont="1" applyFill="1" applyBorder="1" applyProtection="1">
      <protection locked="0"/>
    </xf>
    <xf numFmtId="172" fontId="15" fillId="5" borderId="14" xfId="0" applyNumberFormat="1" applyFont="1" applyFill="1" applyBorder="1" applyProtection="1">
      <protection locked="0"/>
    </xf>
    <xf numFmtId="0" fontId="15" fillId="4" borderId="14" xfId="0" applyFont="1" applyFill="1" applyBorder="1" applyAlignment="1" applyProtection="1">
      <alignment horizontal="left"/>
      <protection locked="0"/>
    </xf>
    <xf numFmtId="0" fontId="15" fillId="5" borderId="14" xfId="0" applyFont="1" applyFill="1" applyBorder="1" applyAlignment="1" applyProtection="1">
      <alignment horizontal="center"/>
      <protection locked="0"/>
    </xf>
    <xf numFmtId="166" fontId="15" fillId="5" borderId="14" xfId="0" applyNumberFormat="1" applyFont="1" applyFill="1" applyBorder="1" applyProtection="1"/>
    <xf numFmtId="0" fontId="15" fillId="5" borderId="14" xfId="0" applyFont="1" applyFill="1" applyBorder="1" applyAlignment="1">
      <alignment horizontal="left"/>
    </xf>
    <xf numFmtId="0" fontId="15" fillId="5" borderId="14" xfId="0" applyFont="1" applyFill="1" applyBorder="1" applyAlignment="1">
      <alignment horizontal="center"/>
    </xf>
    <xf numFmtId="0" fontId="15" fillId="5" borderId="16" xfId="0" applyFont="1" applyFill="1" applyBorder="1" applyProtection="1"/>
    <xf numFmtId="0" fontId="15" fillId="5" borderId="17" xfId="0" applyFont="1" applyFill="1" applyBorder="1" applyProtection="1"/>
    <xf numFmtId="0" fontId="15" fillId="5" borderId="17" xfId="0" applyFont="1" applyFill="1" applyBorder="1" applyAlignment="1" applyProtection="1">
      <alignment horizontal="center"/>
    </xf>
    <xf numFmtId="0" fontId="15" fillId="5" borderId="18" xfId="0" applyFont="1" applyFill="1" applyBorder="1" applyProtection="1"/>
    <xf numFmtId="0" fontId="16" fillId="5" borderId="11" xfId="0" applyFont="1" applyFill="1" applyBorder="1" applyProtection="1"/>
    <xf numFmtId="0" fontId="15" fillId="5" borderId="10" xfId="0" applyFont="1" applyFill="1" applyBorder="1"/>
    <xf numFmtId="0" fontId="11" fillId="5" borderId="12" xfId="0" applyFont="1" applyFill="1" applyBorder="1"/>
    <xf numFmtId="0" fontId="15" fillId="5" borderId="13" xfId="0" applyFont="1" applyFill="1" applyBorder="1"/>
    <xf numFmtId="0" fontId="18" fillId="5" borderId="14" xfId="0" applyFont="1" applyFill="1" applyBorder="1"/>
    <xf numFmtId="0" fontId="11" fillId="5" borderId="15" xfId="0" applyFont="1" applyFill="1" applyBorder="1"/>
    <xf numFmtId="0" fontId="15" fillId="4" borderId="14" xfId="0" applyFont="1" applyFill="1" applyBorder="1" applyAlignment="1" applyProtection="1">
      <protection locked="0"/>
    </xf>
    <xf numFmtId="0" fontId="15" fillId="5" borderId="14" xfId="0" applyFont="1" applyFill="1" applyBorder="1" applyAlignment="1" applyProtection="1">
      <protection locked="0"/>
    </xf>
    <xf numFmtId="0" fontId="15" fillId="5" borderId="14" xfId="0" applyFont="1" applyFill="1" applyBorder="1" applyAlignment="1" applyProtection="1">
      <alignment horizontal="left"/>
      <protection locked="0"/>
    </xf>
    <xf numFmtId="0" fontId="16" fillId="5" borderId="13" xfId="0" applyFont="1" applyFill="1" applyBorder="1"/>
    <xf numFmtId="0" fontId="16" fillId="5" borderId="14" xfId="0" applyFont="1" applyFill="1" applyBorder="1"/>
    <xf numFmtId="0" fontId="14" fillId="5" borderId="15" xfId="0" applyFont="1" applyFill="1" applyBorder="1"/>
    <xf numFmtId="0" fontId="15" fillId="5" borderId="14" xfId="0" applyFont="1" applyFill="1" applyBorder="1" applyAlignment="1">
      <alignment horizontal="right"/>
    </xf>
    <xf numFmtId="166" fontId="15" fillId="5" borderId="14" xfId="0" applyNumberFormat="1" applyFont="1" applyFill="1" applyBorder="1" applyAlignment="1">
      <alignment horizontal="center"/>
    </xf>
    <xf numFmtId="166" fontId="15" fillId="6" borderId="14" xfId="0" applyNumberFormat="1" applyFont="1" applyFill="1" applyBorder="1" applyAlignment="1">
      <alignment horizontal="center"/>
    </xf>
    <xf numFmtId="166" fontId="15" fillId="5" borderId="14" xfId="0" applyNumberFormat="1" applyFont="1" applyFill="1" applyBorder="1" applyAlignment="1">
      <alignment horizontal="right"/>
    </xf>
    <xf numFmtId="166" fontId="15" fillId="6" borderId="14" xfId="0" applyNumberFormat="1" applyFont="1" applyFill="1" applyBorder="1" applyAlignment="1">
      <alignment horizontal="right"/>
    </xf>
    <xf numFmtId="0" fontId="15" fillId="5" borderId="16" xfId="0" applyFont="1" applyFill="1" applyBorder="1"/>
    <xf numFmtId="0" fontId="15" fillId="5" borderId="17" xfId="0" applyFont="1" applyFill="1" applyBorder="1"/>
    <xf numFmtId="166" fontId="15" fillId="5" borderId="17" xfId="0" applyNumberFormat="1" applyFont="1" applyFill="1" applyBorder="1" applyAlignment="1">
      <alignment horizontal="right"/>
    </xf>
    <xf numFmtId="0" fontId="11" fillId="5" borderId="18" xfId="0" applyFont="1" applyFill="1" applyBorder="1"/>
    <xf numFmtId="0" fontId="26" fillId="5" borderId="14" xfId="0" applyFont="1" applyFill="1" applyBorder="1" applyAlignment="1">
      <alignment horizontal="center"/>
    </xf>
    <xf numFmtId="0" fontId="16" fillId="5" borderId="14" xfId="0" applyFont="1" applyFill="1" applyBorder="1" applyAlignment="1">
      <alignment horizontal="center"/>
    </xf>
    <xf numFmtId="0" fontId="14" fillId="5" borderId="15" xfId="0" applyFont="1" applyFill="1" applyBorder="1" applyAlignment="1">
      <alignment horizontal="center"/>
    </xf>
    <xf numFmtId="0" fontId="17" fillId="5" borderId="14" xfId="0" applyFont="1" applyFill="1" applyBorder="1"/>
    <xf numFmtId="0" fontId="17" fillId="5" borderId="14" xfId="0" applyFont="1" applyFill="1" applyBorder="1" applyAlignment="1">
      <alignment horizontal="center"/>
    </xf>
    <xf numFmtId="0" fontId="11" fillId="5" borderId="15" xfId="0" applyFont="1" applyFill="1" applyBorder="1" applyAlignment="1">
      <alignment horizontal="center"/>
    </xf>
    <xf numFmtId="0" fontId="15" fillId="6" borderId="14" xfId="0" applyFont="1" applyFill="1" applyBorder="1" applyAlignment="1">
      <alignment horizontal="center"/>
    </xf>
    <xf numFmtId="177" fontId="15" fillId="6" borderId="14" xfId="0" applyNumberFormat="1" applyFont="1" applyFill="1" applyBorder="1" applyAlignment="1">
      <alignment horizontal="center"/>
    </xf>
    <xf numFmtId="1" fontId="15" fillId="4" borderId="14" xfId="0" applyNumberFormat="1" applyFont="1" applyFill="1" applyBorder="1" applyAlignment="1" applyProtection="1">
      <alignment horizontal="center"/>
      <protection locked="0"/>
    </xf>
    <xf numFmtId="10" fontId="15" fillId="5" borderId="14" xfId="0" applyNumberFormat="1" applyFont="1" applyFill="1" applyBorder="1" applyAlignment="1">
      <alignment horizontal="center"/>
    </xf>
    <xf numFmtId="10" fontId="15" fillId="6" borderId="14" xfId="0" applyNumberFormat="1" applyFont="1" applyFill="1" applyBorder="1" applyAlignment="1">
      <alignment horizontal="center"/>
    </xf>
    <xf numFmtId="0" fontId="27" fillId="5" borderId="14" xfId="0" applyFont="1" applyFill="1" applyBorder="1" applyAlignment="1">
      <alignment horizontal="center"/>
    </xf>
    <xf numFmtId="0" fontId="11" fillId="5" borderId="15" xfId="0" applyFont="1" applyFill="1" applyBorder="1" applyAlignment="1" applyProtection="1">
      <alignment horizontal="center"/>
    </xf>
    <xf numFmtId="172" fontId="15" fillId="5" borderId="14" xfId="0" applyNumberFormat="1" applyFont="1" applyFill="1" applyBorder="1" applyAlignment="1">
      <alignment horizontal="center"/>
    </xf>
    <xf numFmtId="166" fontId="15" fillId="5" borderId="14" xfId="0" applyNumberFormat="1" applyFont="1" applyFill="1" applyBorder="1" applyAlignment="1" applyProtection="1">
      <alignment horizontal="center"/>
    </xf>
    <xf numFmtId="0" fontId="42" fillId="5" borderId="15" xfId="0" applyFont="1" applyFill="1" applyBorder="1" applyAlignment="1" applyProtection="1">
      <alignment horizontal="center"/>
    </xf>
    <xf numFmtId="166" fontId="15" fillId="6" borderId="14" xfId="0" applyNumberFormat="1" applyFont="1" applyFill="1" applyBorder="1" applyAlignment="1" applyProtection="1">
      <alignment horizontal="center"/>
    </xf>
    <xf numFmtId="166" fontId="42" fillId="5" borderId="15" xfId="0" applyNumberFormat="1" applyFont="1" applyFill="1" applyBorder="1" applyAlignment="1" applyProtection="1">
      <alignment horizontal="center"/>
    </xf>
    <xf numFmtId="166" fontId="42" fillId="5" borderId="15" xfId="0" applyNumberFormat="1" applyFont="1" applyFill="1" applyBorder="1" applyAlignment="1">
      <alignment horizontal="center"/>
    </xf>
    <xf numFmtId="0" fontId="42" fillId="5" borderId="15" xfId="0" applyFont="1" applyFill="1" applyBorder="1" applyAlignment="1">
      <alignment horizontal="center"/>
    </xf>
    <xf numFmtId="10" fontId="16" fillId="5" borderId="14" xfId="0" applyNumberFormat="1" applyFont="1" applyFill="1" applyBorder="1" applyAlignment="1">
      <alignment horizontal="center"/>
    </xf>
    <xf numFmtId="166" fontId="16" fillId="2" borderId="14" xfId="0" applyNumberFormat="1" applyFont="1" applyFill="1" applyBorder="1" applyAlignment="1">
      <alignment horizontal="center"/>
    </xf>
    <xf numFmtId="0" fontId="40" fillId="5" borderId="15" xfId="0" applyFont="1" applyFill="1" applyBorder="1" applyAlignment="1">
      <alignment horizontal="center"/>
    </xf>
    <xf numFmtId="0" fontId="19" fillId="5" borderId="14" xfId="0" applyFont="1" applyFill="1" applyBorder="1"/>
    <xf numFmtId="0" fontId="19" fillId="5" borderId="14" xfId="0" applyFont="1" applyFill="1" applyBorder="1" applyAlignment="1">
      <alignment horizontal="center"/>
    </xf>
    <xf numFmtId="166" fontId="19" fillId="6" borderId="14" xfId="0" applyNumberFormat="1" applyFont="1" applyFill="1" applyBorder="1" applyAlignment="1">
      <alignment horizontal="center"/>
    </xf>
    <xf numFmtId="175" fontId="16" fillId="5" borderId="14" xfId="0" applyNumberFormat="1" applyFont="1" applyFill="1" applyBorder="1" applyAlignment="1" applyProtection="1">
      <alignment horizontal="center"/>
      <protection locked="0"/>
    </xf>
    <xf numFmtId="0" fontId="42" fillId="5" borderId="14" xfId="0" applyFont="1" applyFill="1" applyBorder="1"/>
    <xf numFmtId="166" fontId="42" fillId="5" borderId="14" xfId="0" applyNumberFormat="1" applyFont="1" applyFill="1" applyBorder="1" applyAlignment="1">
      <alignment horizontal="center"/>
    </xf>
    <xf numFmtId="166" fontId="11" fillId="5" borderId="15" xfId="0" applyNumberFormat="1" applyFont="1" applyFill="1" applyBorder="1"/>
    <xf numFmtId="166" fontId="28" fillId="5" borderId="17" xfId="0" applyNumberFormat="1" applyFont="1" applyFill="1" applyBorder="1" applyAlignment="1">
      <alignment horizontal="center"/>
    </xf>
    <xf numFmtId="166" fontId="11" fillId="5" borderId="18" xfId="0" applyNumberFormat="1" applyFont="1" applyFill="1" applyBorder="1"/>
    <xf numFmtId="0" fontId="15" fillId="5" borderId="11" xfId="0" applyFont="1" applyFill="1" applyBorder="1" applyAlignment="1">
      <alignment horizontal="left"/>
    </xf>
    <xf numFmtId="166" fontId="15" fillId="5" borderId="11" xfId="0" applyNumberFormat="1" applyFont="1" applyFill="1" applyBorder="1" applyAlignment="1">
      <alignment horizontal="left"/>
    </xf>
    <xf numFmtId="166" fontId="11" fillId="5" borderId="12" xfId="0" applyNumberFormat="1" applyFont="1" applyFill="1" applyBorder="1" applyAlignment="1">
      <alignment horizontal="left"/>
    </xf>
    <xf numFmtId="168" fontId="15" fillId="4" borderId="14" xfId="0" applyNumberFormat="1" applyFont="1" applyFill="1" applyBorder="1" applyAlignment="1" applyProtection="1">
      <alignment horizontal="center"/>
      <protection locked="0"/>
    </xf>
    <xf numFmtId="166" fontId="11" fillId="5" borderId="15" xfId="0" applyNumberFormat="1" applyFont="1" applyFill="1" applyBorder="1" applyAlignment="1">
      <alignment horizontal="left"/>
    </xf>
    <xf numFmtId="164" fontId="15" fillId="5" borderId="14" xfId="0" applyNumberFormat="1" applyFont="1" applyFill="1" applyBorder="1" applyAlignment="1" applyProtection="1">
      <alignment horizontal="left"/>
      <protection locked="0"/>
    </xf>
    <xf numFmtId="164" fontId="15" fillId="4" borderId="14" xfId="0" applyNumberFormat="1" applyFont="1" applyFill="1" applyBorder="1" applyAlignment="1" applyProtection="1">
      <alignment horizontal="center"/>
      <protection locked="0"/>
    </xf>
    <xf numFmtId="166" fontId="15" fillId="5" borderId="14" xfId="0" applyNumberFormat="1" applyFont="1" applyFill="1" applyBorder="1" applyAlignment="1">
      <alignment horizontal="left"/>
    </xf>
    <xf numFmtId="0" fontId="15" fillId="5" borderId="17" xfId="0" applyFont="1" applyFill="1" applyBorder="1" applyAlignment="1">
      <alignment horizontal="left"/>
    </xf>
    <xf numFmtId="166" fontId="15" fillId="5" borderId="17" xfId="0" applyNumberFormat="1" applyFont="1" applyFill="1" applyBorder="1" applyAlignment="1">
      <alignment horizontal="left"/>
    </xf>
    <xf numFmtId="166" fontId="11" fillId="5" borderId="18" xfId="0" applyNumberFormat="1" applyFont="1" applyFill="1" applyBorder="1" applyAlignment="1">
      <alignment horizontal="left"/>
    </xf>
    <xf numFmtId="166" fontId="15" fillId="5" borderId="11" xfId="0" applyNumberFormat="1" applyFont="1" applyFill="1" applyBorder="1"/>
    <xf numFmtId="0" fontId="16" fillId="5" borderId="13" xfId="0" applyFont="1" applyFill="1" applyBorder="1" applyAlignment="1">
      <alignment horizontal="right"/>
    </xf>
    <xf numFmtId="0" fontId="15" fillId="5" borderId="13" xfId="0" applyFont="1" applyFill="1" applyBorder="1" applyAlignment="1">
      <alignment horizontal="right"/>
    </xf>
    <xf numFmtId="166" fontId="15" fillId="5" borderId="14" xfId="0" applyNumberFormat="1" applyFont="1" applyFill="1" applyBorder="1"/>
    <xf numFmtId="166" fontId="15" fillId="5" borderId="14" xfId="0" applyNumberFormat="1" applyFont="1" applyFill="1" applyBorder="1" applyAlignment="1" applyProtection="1">
      <protection locked="0"/>
    </xf>
    <xf numFmtId="3" fontId="15" fillId="5" borderId="14" xfId="0" applyNumberFormat="1" applyFont="1" applyFill="1" applyBorder="1" applyProtection="1">
      <protection locked="0"/>
    </xf>
    <xf numFmtId="3" fontId="15" fillId="4" borderId="14" xfId="0" applyNumberFormat="1" applyFont="1" applyFill="1" applyBorder="1" applyAlignment="1" applyProtection="1">
      <alignment horizontal="center"/>
      <protection locked="0"/>
    </xf>
    <xf numFmtId="166" fontId="23" fillId="5" borderId="14" xfId="0" applyNumberFormat="1" applyFont="1" applyFill="1" applyBorder="1"/>
    <xf numFmtId="0" fontId="29" fillId="5" borderId="14" xfId="0" applyFont="1" applyFill="1" applyBorder="1"/>
    <xf numFmtId="175" fontId="15" fillId="5" borderId="14" xfId="0" applyNumberFormat="1" applyFont="1" applyFill="1" applyBorder="1" applyProtection="1">
      <protection locked="0"/>
    </xf>
    <xf numFmtId="175" fontId="15" fillId="4" borderId="14" xfId="0" applyNumberFormat="1" applyFont="1" applyFill="1" applyBorder="1" applyAlignment="1" applyProtection="1">
      <alignment horizontal="center"/>
      <protection locked="0"/>
    </xf>
    <xf numFmtId="175" fontId="15" fillId="6" borderId="14" xfId="0" applyNumberFormat="1" applyFont="1" applyFill="1" applyBorder="1" applyAlignment="1" applyProtection="1">
      <alignment horizontal="center"/>
      <protection locked="0"/>
    </xf>
    <xf numFmtId="0" fontId="15" fillId="6" borderId="14" xfId="0" applyFont="1" applyFill="1" applyBorder="1" applyAlignment="1" applyProtection="1">
      <alignment horizontal="center"/>
      <protection locked="0"/>
    </xf>
    <xf numFmtId="3" fontId="15" fillId="5" borderId="14" xfId="0" applyNumberFormat="1" applyFont="1" applyFill="1" applyBorder="1"/>
    <xf numFmtId="3" fontId="15" fillId="6" borderId="14" xfId="0" applyNumberFormat="1" applyFont="1" applyFill="1" applyBorder="1" applyAlignment="1">
      <alignment horizontal="center"/>
    </xf>
    <xf numFmtId="165" fontId="15" fillId="5" borderId="14" xfId="0" applyNumberFormat="1" applyFont="1" applyFill="1" applyBorder="1" applyProtection="1">
      <protection locked="0"/>
    </xf>
    <xf numFmtId="165" fontId="15" fillId="6" borderId="14" xfId="0" applyNumberFormat="1" applyFont="1" applyFill="1" applyBorder="1" applyAlignment="1" applyProtection="1">
      <alignment horizontal="center"/>
      <protection locked="0"/>
    </xf>
    <xf numFmtId="165" fontId="16" fillId="5" borderId="14" xfId="0" applyNumberFormat="1" applyFont="1" applyFill="1" applyBorder="1"/>
    <xf numFmtId="165" fontId="16" fillId="2" borderId="14" xfId="0" applyNumberFormat="1" applyFont="1" applyFill="1" applyBorder="1" applyAlignment="1">
      <alignment horizontal="center"/>
    </xf>
    <xf numFmtId="166" fontId="28" fillId="5" borderId="14" xfId="0" applyNumberFormat="1" applyFont="1" applyFill="1" applyBorder="1"/>
    <xf numFmtId="0" fontId="34" fillId="5" borderId="14" xfId="0" applyFont="1" applyFill="1" applyBorder="1"/>
    <xf numFmtId="166" fontId="15" fillId="5" borderId="17" xfId="0" applyNumberFormat="1" applyFont="1" applyFill="1" applyBorder="1"/>
    <xf numFmtId="0" fontId="23" fillId="5" borderId="14" xfId="0" applyFont="1" applyFill="1" applyBorder="1" applyAlignment="1" applyProtection="1">
      <alignment horizontal="right"/>
    </xf>
    <xf numFmtId="0" fontId="23" fillId="5" borderId="14" xfId="0" applyFont="1" applyFill="1" applyBorder="1" applyAlignment="1" applyProtection="1">
      <alignment horizontal="center"/>
    </xf>
    <xf numFmtId="172" fontId="15" fillId="4" borderId="14" xfId="0" applyNumberFormat="1" applyFont="1" applyFill="1" applyBorder="1" applyAlignment="1" applyProtection="1">
      <alignment horizontal="center"/>
      <protection locked="0"/>
    </xf>
    <xf numFmtId="0" fontId="15" fillId="5" borderId="15" xfId="0" applyFont="1" applyFill="1" applyBorder="1"/>
    <xf numFmtId="0" fontId="15" fillId="5" borderId="18" xfId="0" applyFont="1" applyFill="1" applyBorder="1"/>
    <xf numFmtId="0" fontId="15" fillId="5" borderId="12" xfId="0" applyFont="1" applyFill="1" applyBorder="1"/>
    <xf numFmtId="0" fontId="15" fillId="6" borderId="14" xfId="0" applyFont="1" applyFill="1" applyBorder="1" applyAlignment="1" applyProtection="1">
      <alignment horizontal="center"/>
    </xf>
    <xf numFmtId="165" fontId="15" fillId="6" borderId="14" xfId="0" applyNumberFormat="1" applyFont="1" applyFill="1" applyBorder="1" applyAlignment="1" applyProtection="1">
      <alignment horizontal="center"/>
    </xf>
    <xf numFmtId="165" fontId="15" fillId="5" borderId="14" xfId="0" applyNumberFormat="1" applyFont="1" applyFill="1" applyBorder="1" applyAlignment="1" applyProtection="1">
      <alignment horizontal="center"/>
    </xf>
    <xf numFmtId="165" fontId="16" fillId="2" borderId="14" xfId="0" applyNumberFormat="1" applyFont="1" applyFill="1" applyBorder="1" applyAlignment="1" applyProtection="1">
      <alignment horizontal="center"/>
    </xf>
    <xf numFmtId="0" fontId="16" fillId="5" borderId="14" xfId="0" applyFont="1" applyFill="1" applyBorder="1" applyAlignment="1" applyProtection="1">
      <protection locked="0"/>
    </xf>
    <xf numFmtId="3" fontId="15" fillId="4" borderId="14" xfId="0" applyNumberFormat="1" applyFont="1" applyFill="1" applyBorder="1" applyAlignment="1">
      <alignment horizontal="center"/>
    </xf>
    <xf numFmtId="10" fontId="15" fillId="4" borderId="14" xfId="0" applyNumberFormat="1" applyFont="1" applyFill="1" applyBorder="1" applyAlignment="1" applyProtection="1">
      <alignment horizontal="center"/>
      <protection locked="0"/>
    </xf>
    <xf numFmtId="166" fontId="15" fillId="5" borderId="15" xfId="0" applyNumberFormat="1" applyFont="1" applyFill="1" applyBorder="1"/>
    <xf numFmtId="165" fontId="15" fillId="4" borderId="14" xfId="0" applyNumberFormat="1" applyFont="1" applyFill="1" applyBorder="1" applyAlignment="1" applyProtection="1">
      <alignment horizontal="center"/>
      <protection locked="0"/>
    </xf>
    <xf numFmtId="165" fontId="15" fillId="5" borderId="14" xfId="0" applyNumberFormat="1" applyFont="1" applyFill="1" applyBorder="1" applyAlignment="1" applyProtection="1">
      <alignment horizontal="center"/>
      <protection locked="0"/>
    </xf>
    <xf numFmtId="166" fontId="16" fillId="5" borderId="15" xfId="0" applyNumberFormat="1" applyFont="1" applyFill="1" applyBorder="1"/>
    <xf numFmtId="0" fontId="16" fillId="5" borderId="17" xfId="0" applyFont="1" applyFill="1" applyBorder="1"/>
    <xf numFmtId="166" fontId="15" fillId="5" borderId="18" xfId="0" applyNumberFormat="1" applyFont="1" applyFill="1" applyBorder="1"/>
    <xf numFmtId="0" fontId="15" fillId="5" borderId="11" xfId="0" applyFont="1" applyFill="1" applyBorder="1" applyAlignment="1" applyProtection="1">
      <alignment horizontal="center"/>
      <protection locked="0"/>
    </xf>
    <xf numFmtId="0" fontId="15" fillId="5" borderId="11" xfId="0" applyFont="1" applyFill="1" applyBorder="1" applyAlignment="1" applyProtection="1">
      <protection locked="0"/>
    </xf>
    <xf numFmtId="0" fontId="15" fillId="4" borderId="14" xfId="0" applyNumberFormat="1" applyFont="1" applyFill="1" applyBorder="1" applyAlignment="1" applyProtection="1">
      <alignment horizontal="center"/>
      <protection locked="0"/>
    </xf>
    <xf numFmtId="166" fontId="15" fillId="6" borderId="14" xfId="0" applyNumberFormat="1" applyFont="1" applyFill="1" applyBorder="1" applyAlignment="1" applyProtection="1">
      <alignment horizontal="center"/>
      <protection locked="0"/>
    </xf>
    <xf numFmtId="0" fontId="23" fillId="5" borderId="14" xfId="0" applyFont="1" applyFill="1" applyBorder="1" applyAlignment="1">
      <alignment horizontal="right"/>
    </xf>
    <xf numFmtId="0" fontId="23" fillId="5" borderId="14" xfId="0" applyFont="1" applyFill="1" applyBorder="1" applyAlignment="1">
      <alignment horizontal="center"/>
    </xf>
    <xf numFmtId="0" fontId="15" fillId="5" borderId="17" xfId="0" applyFont="1" applyFill="1" applyBorder="1" applyAlignment="1" applyProtection="1">
      <alignment horizontal="center"/>
      <protection locked="0"/>
    </xf>
    <xf numFmtId="0" fontId="23" fillId="5" borderId="17" xfId="0" applyFont="1" applyFill="1" applyBorder="1" applyAlignment="1" applyProtection="1">
      <alignment horizontal="right"/>
    </xf>
    <xf numFmtId="0" fontId="23" fillId="5" borderId="17" xfId="0" applyFont="1" applyFill="1" applyBorder="1" applyAlignment="1" applyProtection="1">
      <alignment horizontal="center"/>
    </xf>
    <xf numFmtId="0" fontId="23" fillId="5" borderId="11" xfId="0" applyFont="1" applyFill="1" applyBorder="1" applyAlignment="1" applyProtection="1">
      <alignment horizontal="right"/>
    </xf>
    <xf numFmtId="0" fontId="23" fillId="5" borderId="11" xfId="0" applyFont="1" applyFill="1" applyBorder="1" applyAlignment="1" applyProtection="1">
      <alignment horizontal="center"/>
    </xf>
    <xf numFmtId="176" fontId="15" fillId="4" borderId="14" xfId="0" applyNumberFormat="1" applyFont="1" applyFill="1" applyBorder="1" applyAlignment="1" applyProtection="1">
      <alignment horizontal="center"/>
      <protection locked="0"/>
    </xf>
    <xf numFmtId="166" fontId="15" fillId="2" borderId="14" xfId="0" applyNumberFormat="1" applyFont="1" applyFill="1" applyBorder="1" applyAlignment="1" applyProtection="1">
      <alignment horizontal="center"/>
    </xf>
    <xf numFmtId="165" fontId="16" fillId="5" borderId="14" xfId="0" applyNumberFormat="1" applyFont="1" applyFill="1" applyBorder="1" applyAlignment="1" applyProtection="1">
      <alignment horizontal="center"/>
    </xf>
    <xf numFmtId="166" fontId="15" fillId="5" borderId="15" xfId="0" applyNumberFormat="1" applyFont="1" applyFill="1" applyBorder="1" applyProtection="1"/>
    <xf numFmtId="166" fontId="16" fillId="5" borderId="15" xfId="0" applyNumberFormat="1" applyFont="1" applyFill="1" applyBorder="1" applyProtection="1"/>
    <xf numFmtId="166" fontId="15" fillId="5" borderId="18" xfId="0" applyNumberFormat="1" applyFont="1" applyFill="1" applyBorder="1" applyProtection="1"/>
    <xf numFmtId="0" fontId="31" fillId="4" borderId="0" xfId="0" applyFont="1" applyFill="1" applyBorder="1" applyAlignment="1">
      <alignment horizontal="left"/>
    </xf>
    <xf numFmtId="0" fontId="32" fillId="2" borderId="0" xfId="0" applyFont="1" applyFill="1" applyBorder="1" applyProtection="1"/>
    <xf numFmtId="0" fontId="30" fillId="2" borderId="0" xfId="0" applyFont="1" applyFill="1" applyBorder="1" applyProtection="1"/>
    <xf numFmtId="0" fontId="15" fillId="2" borderId="0" xfId="0" applyFont="1" applyFill="1" applyBorder="1"/>
    <xf numFmtId="166" fontId="15" fillId="2" borderId="0" xfId="0" applyNumberFormat="1" applyFont="1" applyFill="1" applyBorder="1" applyProtection="1"/>
    <xf numFmtId="166" fontId="16" fillId="2" borderId="0" xfId="0" applyNumberFormat="1" applyFont="1" applyFill="1" applyBorder="1" applyProtection="1"/>
    <xf numFmtId="0" fontId="31" fillId="4" borderId="0" xfId="0" applyFont="1" applyFill="1" applyBorder="1" applyAlignment="1">
      <alignment horizontal="center"/>
    </xf>
    <xf numFmtId="0" fontId="44" fillId="2" borderId="19" xfId="0" applyFont="1" applyFill="1" applyBorder="1" applyProtection="1"/>
    <xf numFmtId="0" fontId="45" fillId="2" borderId="20" xfId="0" applyFont="1" applyFill="1" applyBorder="1" applyProtection="1"/>
    <xf numFmtId="0" fontId="45" fillId="2" borderId="21" xfId="0" applyFont="1" applyFill="1" applyBorder="1" applyProtection="1"/>
    <xf numFmtId="0" fontId="45" fillId="2" borderId="22" xfId="0" applyFont="1" applyFill="1" applyBorder="1" applyProtection="1"/>
    <xf numFmtId="0" fontId="45" fillId="2" borderId="0" xfId="0" applyFont="1" applyFill="1" applyBorder="1" applyProtection="1"/>
    <xf numFmtId="0" fontId="45" fillId="2" borderId="23" xfId="0" applyFont="1" applyFill="1" applyBorder="1" applyProtection="1"/>
    <xf numFmtId="165" fontId="45" fillId="2" borderId="0" xfId="0" applyNumberFormat="1" applyFont="1" applyFill="1" applyBorder="1" applyProtection="1"/>
    <xf numFmtId="0" fontId="45" fillId="2" borderId="24" xfId="0" applyFont="1" applyFill="1" applyBorder="1" applyProtection="1"/>
    <xf numFmtId="0" fontId="45" fillId="2" borderId="25" xfId="0" applyFont="1" applyFill="1" applyBorder="1" applyProtection="1"/>
    <xf numFmtId="165" fontId="45" fillId="2" borderId="25" xfId="0" applyNumberFormat="1" applyFont="1" applyFill="1" applyBorder="1" applyProtection="1"/>
    <xf numFmtId="0" fontId="45" fillId="2" borderId="26" xfId="0" applyFont="1" applyFill="1" applyBorder="1" applyProtection="1"/>
    <xf numFmtId="0" fontId="43" fillId="2" borderId="0" xfId="0" applyFont="1" applyFill="1" applyAlignment="1" applyProtection="1">
      <alignment horizontal="left"/>
    </xf>
    <xf numFmtId="169" fontId="15" fillId="6" borderId="14" xfId="0" applyNumberFormat="1" applyFont="1" applyFill="1" applyBorder="1" applyAlignment="1" applyProtection="1">
      <alignment horizontal="center"/>
    </xf>
    <xf numFmtId="169" fontId="15" fillId="6" borderId="14" xfId="0" applyNumberFormat="1" applyFont="1" applyFill="1" applyBorder="1" applyAlignment="1" applyProtection="1">
      <alignment horizontal="center"/>
      <protection locked="0"/>
    </xf>
    <xf numFmtId="175" fontId="19" fillId="0" borderId="14" xfId="0" applyNumberFormat="1" applyFont="1" applyFill="1" applyBorder="1" applyAlignment="1" applyProtection="1">
      <alignment horizontal="center"/>
      <protection locked="0"/>
    </xf>
    <xf numFmtId="0" fontId="21" fillId="4" borderId="0" xfId="0" applyFont="1" applyFill="1" applyBorder="1" applyProtection="1"/>
    <xf numFmtId="0" fontId="15" fillId="4" borderId="0" xfId="0" applyFont="1" applyFill="1" applyBorder="1" applyAlignment="1" applyProtection="1">
      <alignment horizontal="left"/>
      <protection locked="0"/>
    </xf>
    <xf numFmtId="0" fontId="15" fillId="5" borderId="0" xfId="0" applyFont="1" applyFill="1" applyBorder="1" applyAlignment="1" applyProtection="1">
      <alignment horizontal="left"/>
      <protection locked="0"/>
    </xf>
    <xf numFmtId="0" fontId="8" fillId="2" borderId="0" xfId="0" applyFont="1" applyFill="1" applyProtection="1"/>
    <xf numFmtId="0" fontId="51" fillId="4" borderId="0" xfId="0" applyFont="1" applyFill="1" applyBorder="1" applyAlignment="1" applyProtection="1">
      <alignment horizontal="center"/>
    </xf>
    <xf numFmtId="0" fontId="49" fillId="4" borderId="0" xfId="0" applyFont="1" applyFill="1" applyBorder="1" applyAlignment="1" applyProtection="1">
      <alignment horizontal="left"/>
    </xf>
    <xf numFmtId="0" fontId="55" fillId="7" borderId="0" xfId="0" applyFont="1" applyFill="1" applyBorder="1" applyAlignment="1" applyProtection="1">
      <alignment horizontal="center"/>
    </xf>
    <xf numFmtId="0" fontId="56" fillId="7" borderId="0" xfId="0" applyFont="1" applyFill="1" applyBorder="1" applyAlignment="1" applyProtection="1">
      <alignment horizontal="left"/>
    </xf>
    <xf numFmtId="49" fontId="56" fillId="7" borderId="0" xfId="0" applyNumberFormat="1" applyFont="1" applyFill="1" applyBorder="1" applyAlignment="1" applyProtection="1">
      <alignment horizontal="left"/>
    </xf>
    <xf numFmtId="0" fontId="58" fillId="4" borderId="0" xfId="0" applyFont="1" applyFill="1" applyBorder="1" applyAlignment="1" applyProtection="1">
      <alignment horizontal="center"/>
    </xf>
    <xf numFmtId="2" fontId="55" fillId="7" borderId="0" xfId="0" applyNumberFormat="1" applyFont="1" applyFill="1" applyBorder="1" applyAlignment="1" applyProtection="1">
      <alignment horizontal="center"/>
    </xf>
    <xf numFmtId="0" fontId="65" fillId="4" borderId="0" xfId="0" applyFont="1" applyFill="1" applyBorder="1" applyAlignment="1" applyProtection="1">
      <alignment horizontal="left"/>
    </xf>
    <xf numFmtId="0" fontId="65" fillId="4" borderId="0" xfId="0" applyFont="1" applyFill="1" applyBorder="1" applyProtection="1"/>
    <xf numFmtId="0" fontId="49" fillId="4" borderId="1" xfId="0" applyFont="1" applyFill="1" applyBorder="1" applyAlignment="1" applyProtection="1">
      <alignment horizontal="left"/>
      <protection locked="0"/>
    </xf>
    <xf numFmtId="14" fontId="49" fillId="4" borderId="1" xfId="0" applyNumberFormat="1" applyFont="1" applyFill="1" applyBorder="1" applyAlignment="1" applyProtection="1">
      <alignment horizontal="center"/>
      <protection locked="0"/>
    </xf>
    <xf numFmtId="0" fontId="49" fillId="4" borderId="1" xfId="0" applyFont="1" applyFill="1" applyBorder="1" applyAlignment="1" applyProtection="1">
      <alignment horizontal="center"/>
      <protection locked="0"/>
    </xf>
    <xf numFmtId="166" fontId="50" fillId="8" borderId="1" xfId="0" applyNumberFormat="1" applyFont="1" applyFill="1" applyBorder="1" applyAlignment="1" applyProtection="1">
      <alignment horizontal="center"/>
    </xf>
    <xf numFmtId="172" fontId="49" fillId="4" borderId="1" xfId="0" applyNumberFormat="1" applyFont="1" applyFill="1" applyBorder="1" applyAlignment="1" applyProtection="1">
      <alignment horizontal="center"/>
      <protection locked="0"/>
    </xf>
    <xf numFmtId="166" fontId="62" fillId="9" borderId="1" xfId="0" applyNumberFormat="1" applyFont="1" applyFill="1" applyBorder="1" applyAlignment="1" applyProtection="1">
      <alignment horizontal="center"/>
    </xf>
    <xf numFmtId="0" fontId="49" fillId="4" borderId="1" xfId="3" applyNumberFormat="1" applyFont="1" applyFill="1" applyBorder="1" applyAlignment="1" applyProtection="1">
      <alignment horizontal="center"/>
      <protection locked="0"/>
    </xf>
    <xf numFmtId="166" fontId="49" fillId="8" borderId="1" xfId="0" applyNumberFormat="1" applyFont="1" applyFill="1" applyBorder="1" applyAlignment="1" applyProtection="1">
      <alignment horizontal="center"/>
    </xf>
    <xf numFmtId="166" fontId="59" fillId="8" borderId="1" xfId="0" applyNumberFormat="1" applyFont="1" applyFill="1" applyBorder="1" applyAlignment="1" applyProtection="1">
      <alignment horizontal="center"/>
    </xf>
    <xf numFmtId="166" fontId="51" fillId="8" borderId="1" xfId="0" applyNumberFormat="1" applyFont="1" applyFill="1" applyBorder="1" applyAlignment="1" applyProtection="1">
      <alignment horizontal="center"/>
    </xf>
    <xf numFmtId="166" fontId="58" fillId="8" borderId="1" xfId="0" applyNumberFormat="1" applyFont="1" applyFill="1" applyBorder="1" applyAlignment="1" applyProtection="1">
      <alignment horizontal="center"/>
    </xf>
    <xf numFmtId="166" fontId="67" fillId="8" borderId="1" xfId="0" applyNumberFormat="1" applyFont="1" applyFill="1" applyBorder="1" applyAlignment="1" applyProtection="1">
      <alignment horizontal="center"/>
    </xf>
    <xf numFmtId="175" fontId="62" fillId="9" borderId="1" xfId="3" applyNumberFormat="1" applyFont="1" applyFill="1" applyBorder="1" applyAlignment="1" applyProtection="1">
      <alignment horizontal="center"/>
    </xf>
    <xf numFmtId="0" fontId="68" fillId="7" borderId="0" xfId="0" applyFont="1" applyFill="1" applyBorder="1" applyAlignment="1" applyProtection="1">
      <alignment horizontal="left"/>
    </xf>
    <xf numFmtId="49" fontId="68" fillId="7" borderId="0" xfId="0" applyNumberFormat="1" applyFont="1" applyFill="1" applyBorder="1" applyAlignment="1" applyProtection="1">
      <alignment horizontal="left"/>
    </xf>
    <xf numFmtId="0" fontId="7" fillId="7" borderId="0" xfId="0" applyFont="1" applyFill="1" applyProtection="1"/>
    <xf numFmtId="0" fontId="7" fillId="7" borderId="0" xfId="0" applyFont="1" applyFill="1" applyBorder="1" applyProtection="1"/>
    <xf numFmtId="0" fontId="7" fillId="7" borderId="0" xfId="0" applyFont="1" applyFill="1" applyBorder="1" applyAlignment="1" applyProtection="1">
      <alignment horizontal="left"/>
    </xf>
    <xf numFmtId="0" fontId="7" fillId="7" borderId="0" xfId="0" applyFont="1" applyFill="1" applyBorder="1" applyAlignment="1" applyProtection="1">
      <alignment horizontal="center"/>
    </xf>
    <xf numFmtId="0" fontId="7" fillId="7" borderId="0" xfId="0" applyFont="1" applyFill="1" applyAlignment="1" applyProtection="1">
      <alignment horizontal="left"/>
    </xf>
    <xf numFmtId="0" fontId="16" fillId="7" borderId="0" xfId="0" applyFont="1" applyFill="1" applyProtection="1"/>
    <xf numFmtId="0" fontId="19" fillId="7" borderId="0" xfId="0" applyFont="1" applyFill="1" applyProtection="1"/>
    <xf numFmtId="0" fontId="7" fillId="7" borderId="0" xfId="0" applyFont="1" applyFill="1" applyAlignment="1" applyProtection="1">
      <alignment horizontal="center"/>
    </xf>
    <xf numFmtId="0" fontId="7" fillId="4" borderId="4" xfId="0" applyFont="1" applyFill="1" applyBorder="1" applyProtection="1"/>
    <xf numFmtId="0" fontId="7" fillId="4" borderId="5" xfId="0" applyFont="1" applyFill="1" applyBorder="1" applyProtection="1"/>
    <xf numFmtId="0" fontId="7" fillId="4" borderId="5" xfId="0" applyFont="1" applyFill="1" applyBorder="1" applyAlignment="1" applyProtection="1">
      <alignment horizontal="left"/>
    </xf>
    <xf numFmtId="0" fontId="7" fillId="4" borderId="5" xfId="0" applyFont="1" applyFill="1" applyBorder="1" applyAlignment="1" applyProtection="1">
      <alignment horizontal="center"/>
    </xf>
    <xf numFmtId="0" fontId="7" fillId="4" borderId="6" xfId="0" applyFont="1" applyFill="1" applyBorder="1" applyProtection="1"/>
    <xf numFmtId="0" fontId="7" fillId="4" borderId="7" xfId="0" applyFont="1" applyFill="1" applyBorder="1" applyProtection="1"/>
    <xf numFmtId="0" fontId="7" fillId="4" borderId="0" xfId="0" applyFont="1" applyFill="1" applyBorder="1" applyProtection="1"/>
    <xf numFmtId="0" fontId="7" fillId="4" borderId="0" xfId="0" applyFont="1" applyFill="1" applyBorder="1" applyAlignment="1" applyProtection="1">
      <alignment horizontal="left"/>
    </xf>
    <xf numFmtId="0" fontId="7" fillId="4" borderId="0" xfId="0" applyFont="1" applyFill="1" applyBorder="1" applyAlignment="1" applyProtection="1">
      <alignment horizontal="center"/>
    </xf>
    <xf numFmtId="0" fontId="7" fillId="4" borderId="8" xfId="0" applyFont="1" applyFill="1" applyBorder="1" applyProtection="1"/>
    <xf numFmtId="0" fontId="19" fillId="4" borderId="0" xfId="0" applyFont="1" applyFill="1" applyBorder="1" applyProtection="1"/>
    <xf numFmtId="14" fontId="7" fillId="4" borderId="0" xfId="0" applyNumberFormat="1" applyFont="1" applyFill="1" applyBorder="1" applyProtection="1"/>
    <xf numFmtId="0" fontId="16" fillId="4" borderId="8" xfId="0" applyFont="1" applyFill="1" applyBorder="1" applyProtection="1"/>
    <xf numFmtId="0" fontId="19" fillId="4" borderId="7" xfId="0" applyFont="1" applyFill="1" applyBorder="1" applyProtection="1"/>
    <xf numFmtId="166" fontId="7" fillId="4" borderId="0" xfId="0" applyNumberFormat="1" applyFont="1" applyFill="1" applyBorder="1" applyProtection="1"/>
    <xf numFmtId="0" fontId="7" fillId="4" borderId="2" xfId="0" applyFont="1" applyFill="1" applyBorder="1" applyProtection="1"/>
    <xf numFmtId="0" fontId="7" fillId="4" borderId="3" xfId="0" applyFont="1" applyFill="1" applyBorder="1" applyProtection="1"/>
    <xf numFmtId="0" fontId="16" fillId="4" borderId="3" xfId="0" applyFont="1" applyFill="1" applyBorder="1" applyProtection="1"/>
    <xf numFmtId="9" fontId="19" fillId="4" borderId="3" xfId="3" applyFont="1" applyFill="1" applyBorder="1" applyAlignment="1" applyProtection="1">
      <alignment horizontal="center"/>
    </xf>
    <xf numFmtId="0" fontId="7" fillId="4" borderId="9" xfId="0" applyFont="1" applyFill="1" applyBorder="1" applyProtection="1"/>
    <xf numFmtId="0" fontId="7" fillId="7" borderId="1" xfId="0" applyFont="1" applyFill="1" applyBorder="1" applyProtection="1"/>
    <xf numFmtId="0" fontId="19" fillId="7" borderId="1" xfId="0" applyFont="1" applyFill="1" applyBorder="1" applyProtection="1"/>
    <xf numFmtId="0" fontId="7" fillId="7" borderId="1" xfId="0" applyFont="1" applyFill="1" applyBorder="1" applyAlignment="1" applyProtection="1">
      <alignment horizontal="left"/>
    </xf>
    <xf numFmtId="0" fontId="7" fillId="7" borderId="1" xfId="0" applyFont="1" applyFill="1" applyBorder="1" applyAlignment="1" applyProtection="1">
      <alignment horizontal="center"/>
    </xf>
    <xf numFmtId="0" fontId="16" fillId="7" borderId="1" xfId="0" applyFont="1" applyFill="1" applyBorder="1" applyProtection="1"/>
    <xf numFmtId="0" fontId="16" fillId="7" borderId="1" xfId="0" applyFont="1" applyFill="1" applyBorder="1" applyAlignment="1" applyProtection="1">
      <alignment horizontal="right"/>
    </xf>
    <xf numFmtId="0" fontId="7" fillId="7" borderId="1" xfId="0" applyFont="1" applyFill="1" applyBorder="1" applyAlignment="1" applyProtection="1">
      <alignment horizontal="right"/>
    </xf>
    <xf numFmtId="1" fontId="7" fillId="7" borderId="1" xfId="0" applyNumberFormat="1" applyFont="1" applyFill="1" applyBorder="1" applyProtection="1"/>
    <xf numFmtId="0" fontId="16" fillId="7" borderId="1" xfId="0" applyFont="1" applyFill="1" applyBorder="1" applyAlignment="1" applyProtection="1">
      <alignment horizontal="center"/>
    </xf>
    <xf numFmtId="166" fontId="7" fillId="7" borderId="1" xfId="0" applyNumberFormat="1" applyFont="1" applyFill="1" applyBorder="1" applyProtection="1"/>
    <xf numFmtId="9" fontId="7" fillId="7" borderId="1" xfId="0" applyNumberFormat="1" applyFont="1" applyFill="1" applyBorder="1" applyAlignment="1" applyProtection="1">
      <alignment horizontal="center"/>
    </xf>
    <xf numFmtId="10" fontId="7" fillId="7" borderId="1" xfId="0" applyNumberFormat="1" applyFont="1" applyFill="1" applyBorder="1" applyAlignment="1" applyProtection="1">
      <alignment horizontal="center"/>
    </xf>
    <xf numFmtId="0" fontId="16" fillId="7" borderId="1" xfId="0" applyFont="1" applyFill="1" applyBorder="1" applyAlignment="1" applyProtection="1">
      <alignment horizontal="left"/>
    </xf>
    <xf numFmtId="166" fontId="16" fillId="7" borderId="1" xfId="0" applyNumberFormat="1" applyFont="1" applyFill="1" applyBorder="1" applyProtection="1"/>
    <xf numFmtId="0" fontId="19" fillId="7" borderId="1" xfId="0" applyFont="1" applyFill="1" applyBorder="1" applyAlignment="1" applyProtection="1">
      <alignment horizontal="left"/>
    </xf>
    <xf numFmtId="0" fontId="19" fillId="7" borderId="1" xfId="0" applyFont="1" applyFill="1" applyBorder="1" applyAlignment="1" applyProtection="1">
      <alignment horizontal="center"/>
    </xf>
    <xf numFmtId="178" fontId="22" fillId="7" borderId="1" xfId="4" applyNumberFormat="1" applyFont="1" applyFill="1" applyBorder="1" applyAlignment="1" applyProtection="1">
      <alignment horizontal="center"/>
    </xf>
    <xf numFmtId="166" fontId="16" fillId="7" borderId="1" xfId="0" applyNumberFormat="1" applyFont="1" applyFill="1" applyBorder="1" applyAlignment="1" applyProtection="1">
      <alignment horizontal="center"/>
    </xf>
    <xf numFmtId="0" fontId="48" fillId="7" borderId="1" xfId="0" applyFont="1" applyFill="1" applyBorder="1" applyProtection="1"/>
    <xf numFmtId="0" fontId="48" fillId="7" borderId="1" xfId="0" applyFont="1" applyFill="1" applyBorder="1" applyAlignment="1" applyProtection="1">
      <alignment horizontal="left"/>
    </xf>
    <xf numFmtId="0" fontId="48" fillId="7" borderId="1" xfId="0" applyFont="1" applyFill="1" applyBorder="1" applyAlignment="1" applyProtection="1">
      <alignment horizontal="center"/>
    </xf>
    <xf numFmtId="1" fontId="16" fillId="7" borderId="1" xfId="0" applyNumberFormat="1" applyFont="1" applyFill="1" applyBorder="1" applyProtection="1"/>
    <xf numFmtId="0" fontId="16" fillId="7" borderId="1" xfId="0" applyFont="1" applyFill="1" applyBorder="1" applyAlignment="1" applyProtection="1"/>
    <xf numFmtId="0" fontId="19" fillId="7" borderId="1" xfId="0" applyFont="1" applyFill="1" applyBorder="1" applyAlignment="1" applyProtection="1"/>
    <xf numFmtId="4" fontId="19" fillId="7" borderId="1" xfId="0" applyNumberFormat="1" applyFont="1" applyFill="1" applyBorder="1" applyAlignment="1" applyProtection="1">
      <alignment horizontal="center"/>
    </xf>
    <xf numFmtId="0" fontId="22" fillId="7" borderId="1" xfId="0" applyFont="1" applyFill="1" applyBorder="1" applyProtection="1"/>
    <xf numFmtId="0" fontId="22" fillId="7" borderId="1" xfId="0" applyFont="1" applyFill="1" applyBorder="1" applyAlignment="1" applyProtection="1"/>
    <xf numFmtId="0" fontId="22" fillId="7" borderId="1" xfId="0" applyFont="1" applyFill="1" applyBorder="1" applyAlignment="1" applyProtection="1">
      <alignment horizontal="left"/>
    </xf>
    <xf numFmtId="0" fontId="22" fillId="7" borderId="1" xfId="0" applyFont="1" applyFill="1" applyBorder="1" applyAlignment="1" applyProtection="1">
      <alignment horizontal="center"/>
    </xf>
    <xf numFmtId="4" fontId="22" fillId="7" borderId="1" xfId="0" applyNumberFormat="1" applyFont="1" applyFill="1" applyBorder="1" applyAlignment="1" applyProtection="1">
      <alignment horizontal="center"/>
    </xf>
    <xf numFmtId="166" fontId="22" fillId="7" borderId="1" xfId="0" applyNumberFormat="1" applyFont="1" applyFill="1" applyBorder="1" applyAlignment="1" applyProtection="1">
      <alignment horizontal="left"/>
    </xf>
    <xf numFmtId="0" fontId="7" fillId="7" borderId="1" xfId="0" applyFont="1" applyFill="1" applyBorder="1" applyAlignment="1" applyProtection="1"/>
    <xf numFmtId="166" fontId="19" fillId="7" borderId="1" xfId="0" applyNumberFormat="1" applyFont="1" applyFill="1" applyBorder="1" applyAlignment="1" applyProtection="1">
      <alignment horizontal="right"/>
    </xf>
    <xf numFmtId="166" fontId="16" fillId="7" borderId="1" xfId="0" applyNumberFormat="1" applyFont="1" applyFill="1" applyBorder="1" applyAlignment="1" applyProtection="1">
      <alignment horizontal="right"/>
    </xf>
    <xf numFmtId="165" fontId="7" fillId="7" borderId="1" xfId="4" applyNumberFormat="1" applyFont="1" applyFill="1" applyBorder="1" applyAlignment="1" applyProtection="1">
      <alignment horizontal="left"/>
    </xf>
    <xf numFmtId="0" fontId="61" fillId="4" borderId="3" xfId="0" applyFont="1" applyFill="1" applyBorder="1" applyProtection="1"/>
    <xf numFmtId="0" fontId="53" fillId="4" borderId="3" xfId="0" applyFont="1" applyFill="1" applyBorder="1" applyAlignment="1" applyProtection="1">
      <alignment horizontal="right"/>
    </xf>
    <xf numFmtId="0" fontId="7" fillId="4" borderId="1" xfId="0" applyFont="1" applyFill="1" applyBorder="1" applyAlignment="1" applyProtection="1">
      <alignment horizontal="center"/>
      <protection locked="0"/>
    </xf>
    <xf numFmtId="166" fontId="7" fillId="8" borderId="1" xfId="0" applyNumberFormat="1" applyFont="1" applyFill="1" applyBorder="1" applyProtection="1"/>
    <xf numFmtId="0" fontId="7" fillId="4" borderId="1" xfId="0" applyFont="1" applyFill="1" applyBorder="1" applyAlignment="1" applyProtection="1">
      <alignment horizontal="left"/>
      <protection locked="0"/>
    </xf>
    <xf numFmtId="0" fontId="7" fillId="4" borderId="1" xfId="3" applyNumberFormat="1" applyFont="1" applyFill="1" applyBorder="1" applyAlignment="1" applyProtection="1">
      <alignment horizontal="center"/>
      <protection locked="0"/>
    </xf>
    <xf numFmtId="166" fontId="7" fillId="8" borderId="1" xfId="4" applyNumberFormat="1" applyFont="1" applyFill="1" applyBorder="1" applyAlignment="1" applyProtection="1">
      <alignment horizontal="center"/>
    </xf>
    <xf numFmtId="10" fontId="7" fillId="8" borderId="1" xfId="3" applyNumberFormat="1" applyFont="1" applyFill="1" applyBorder="1" applyAlignment="1" applyProtection="1">
      <alignment horizontal="center"/>
    </xf>
    <xf numFmtId="166" fontId="16" fillId="8" borderId="1" xfId="0" applyNumberFormat="1" applyFont="1" applyFill="1" applyBorder="1" applyProtection="1"/>
    <xf numFmtId="166" fontId="19" fillId="8" borderId="1" xfId="0" applyNumberFormat="1" applyFont="1" applyFill="1" applyBorder="1" applyAlignment="1" applyProtection="1">
      <alignment horizontal="left"/>
    </xf>
    <xf numFmtId="166" fontId="22" fillId="8" borderId="1" xfId="0" applyNumberFormat="1" applyFont="1" applyFill="1" applyBorder="1" applyAlignment="1" applyProtection="1">
      <alignment horizontal="right"/>
    </xf>
    <xf numFmtId="166" fontId="19" fillId="8" borderId="1" xfId="0" applyNumberFormat="1" applyFont="1" applyFill="1" applyBorder="1" applyProtection="1"/>
    <xf numFmtId="166" fontId="52" fillId="9" borderId="1" xfId="0" applyNumberFormat="1" applyFont="1" applyFill="1" applyBorder="1" applyProtection="1"/>
    <xf numFmtId="0" fontId="7" fillId="7" borderId="27" xfId="0" applyFont="1" applyFill="1" applyBorder="1" applyProtection="1"/>
    <xf numFmtId="0" fontId="7" fillId="7" borderId="27" xfId="0" applyFont="1" applyFill="1" applyBorder="1" applyAlignment="1" applyProtection="1">
      <alignment horizontal="left"/>
    </xf>
    <xf numFmtId="0" fontId="7" fillId="7" borderId="27" xfId="0" applyFont="1" applyFill="1" applyBorder="1" applyAlignment="1" applyProtection="1">
      <alignment horizontal="center"/>
    </xf>
    <xf numFmtId="0" fontId="7" fillId="7" borderId="28" xfId="0" applyFont="1" applyFill="1" applyBorder="1" applyProtection="1"/>
    <xf numFmtId="0" fontId="7" fillId="7" borderId="28" xfId="0" applyFont="1" applyFill="1" applyBorder="1" applyAlignment="1" applyProtection="1">
      <alignment horizontal="left"/>
    </xf>
    <xf numFmtId="0" fontId="7" fillId="7" borderId="28" xfId="0" applyFont="1" applyFill="1" applyBorder="1" applyAlignment="1" applyProtection="1">
      <alignment horizontal="center"/>
    </xf>
    <xf numFmtId="0" fontId="16" fillId="7" borderId="27" xfId="0" applyFont="1" applyFill="1" applyBorder="1" applyProtection="1"/>
    <xf numFmtId="1" fontId="7" fillId="7" borderId="27" xfId="0" applyNumberFormat="1" applyFont="1" applyFill="1" applyBorder="1" applyProtection="1"/>
    <xf numFmtId="0" fontId="16" fillId="7" borderId="28" xfId="0" applyFont="1" applyFill="1" applyBorder="1" applyProtection="1"/>
    <xf numFmtId="1" fontId="7" fillId="7" borderId="28" xfId="0" applyNumberFormat="1" applyFont="1" applyFill="1" applyBorder="1" applyProtection="1"/>
    <xf numFmtId="4" fontId="7" fillId="7" borderId="27" xfId="0" applyNumberFormat="1" applyFont="1" applyFill="1" applyBorder="1" applyProtection="1"/>
    <xf numFmtId="4" fontId="7" fillId="7" borderId="28" xfId="0" applyNumberFormat="1" applyFont="1" applyFill="1" applyBorder="1" applyProtection="1"/>
    <xf numFmtId="14" fontId="60" fillId="7" borderId="0" xfId="0" applyNumberFormat="1" applyFont="1" applyFill="1" applyBorder="1" applyProtection="1"/>
    <xf numFmtId="1" fontId="60" fillId="7" borderId="1" xfId="0" applyNumberFormat="1" applyFont="1" applyFill="1" applyBorder="1" applyAlignment="1" applyProtection="1">
      <alignment horizontal="center"/>
    </xf>
    <xf numFmtId="1" fontId="60" fillId="7" borderId="1" xfId="0" applyNumberFormat="1" applyFont="1" applyFill="1" applyBorder="1" applyProtection="1"/>
    <xf numFmtId="0" fontId="60" fillId="7" borderId="1" xfId="0" applyFont="1" applyFill="1" applyBorder="1" applyAlignment="1" applyProtection="1">
      <alignment horizontal="left"/>
    </xf>
    <xf numFmtId="1" fontId="75" fillId="7" borderId="1" xfId="0" applyNumberFormat="1" applyFont="1" applyFill="1" applyBorder="1" applyAlignment="1" applyProtection="1">
      <alignment horizontal="center"/>
    </xf>
    <xf numFmtId="10" fontId="75" fillId="7" borderId="1" xfId="0" applyNumberFormat="1" applyFont="1" applyFill="1" applyBorder="1" applyAlignment="1" applyProtection="1">
      <alignment horizontal="center"/>
    </xf>
    <xf numFmtId="9" fontId="75" fillId="7" borderId="1" xfId="0" applyNumberFormat="1" applyFont="1" applyFill="1" applyBorder="1" applyAlignment="1" applyProtection="1">
      <alignment horizontal="center"/>
    </xf>
    <xf numFmtId="166" fontId="52" fillId="9" borderId="1" xfId="4" applyNumberFormat="1" applyFont="1" applyFill="1" applyBorder="1" applyAlignment="1" applyProtection="1">
      <alignment horizontal="right"/>
    </xf>
    <xf numFmtId="0" fontId="76" fillId="4" borderId="7" xfId="0" applyFont="1" applyFill="1" applyBorder="1" applyProtection="1"/>
    <xf numFmtId="0" fontId="76" fillId="4" borderId="0" xfId="0" applyFont="1" applyFill="1" applyBorder="1" applyProtection="1"/>
    <xf numFmtId="0" fontId="76" fillId="4" borderId="0" xfId="0" applyFont="1" applyFill="1" applyBorder="1" applyAlignment="1" applyProtection="1">
      <alignment horizontal="left"/>
    </xf>
    <xf numFmtId="0" fontId="76" fillId="4" borderId="0" xfId="0" applyFont="1" applyFill="1" applyBorder="1" applyAlignment="1" applyProtection="1">
      <alignment horizontal="center"/>
    </xf>
    <xf numFmtId="14" fontId="76" fillId="4" borderId="0" xfId="0" applyNumberFormat="1" applyFont="1" applyFill="1" applyBorder="1" applyProtection="1"/>
    <xf numFmtId="0" fontId="76" fillId="4" borderId="8" xfId="0" applyFont="1" applyFill="1" applyBorder="1" applyProtection="1"/>
    <xf numFmtId="0" fontId="76" fillId="7" borderId="0" xfId="0" applyFont="1" applyFill="1" applyProtection="1"/>
    <xf numFmtId="2" fontId="60" fillId="7" borderId="1" xfId="0" applyNumberFormat="1" applyFont="1" applyFill="1" applyBorder="1" applyProtection="1"/>
    <xf numFmtId="178" fontId="57" fillId="8" borderId="1" xfId="4" applyNumberFormat="1" applyFont="1" applyFill="1" applyBorder="1" applyAlignment="1" applyProtection="1">
      <alignment horizontal="center"/>
    </xf>
    <xf numFmtId="178" fontId="52" fillId="9" borderId="1" xfId="4" applyNumberFormat="1" applyFont="1" applyFill="1" applyBorder="1" applyAlignment="1" applyProtection="1">
      <alignment horizontal="center"/>
    </xf>
    <xf numFmtId="0" fontId="75" fillId="7" borderId="1" xfId="0" applyFont="1" applyFill="1" applyBorder="1" applyProtection="1"/>
    <xf numFmtId="0" fontId="2" fillId="4" borderId="0" xfId="1" applyFill="1" applyBorder="1" applyAlignment="1" applyProtection="1"/>
    <xf numFmtId="0" fontId="75" fillId="7" borderId="1" xfId="0" applyFont="1" applyFill="1" applyBorder="1" applyAlignment="1" applyProtection="1">
      <alignment horizontal="left"/>
    </xf>
    <xf numFmtId="0" fontId="75" fillId="7" borderId="1" xfId="0" applyFont="1" applyFill="1" applyBorder="1" applyAlignment="1" applyProtection="1">
      <alignment horizontal="center"/>
    </xf>
    <xf numFmtId="1" fontId="77" fillId="7" borderId="1" xfId="0" applyNumberFormat="1" applyFont="1" applyFill="1" applyBorder="1" applyAlignment="1" applyProtection="1">
      <alignment horizontal="center"/>
    </xf>
    <xf numFmtId="0" fontId="77" fillId="7" borderId="1" xfId="0" applyFont="1" applyFill="1" applyBorder="1" applyAlignment="1" applyProtection="1">
      <alignment horizontal="center"/>
    </xf>
    <xf numFmtId="0" fontId="54" fillId="7" borderId="1" xfId="0" applyFont="1" applyFill="1" applyBorder="1" applyProtection="1"/>
    <xf numFmtId="166" fontId="77" fillId="7" borderId="1" xfId="0" applyNumberFormat="1" applyFont="1" applyFill="1" applyBorder="1" applyAlignment="1" applyProtection="1">
      <alignment horizontal="center"/>
    </xf>
    <xf numFmtId="0" fontId="77" fillId="7" borderId="1" xfId="0" applyFont="1" applyFill="1" applyBorder="1" applyProtection="1"/>
    <xf numFmtId="0" fontId="57" fillId="4" borderId="0" xfId="0" applyFont="1" applyFill="1" applyBorder="1" applyAlignment="1" applyProtection="1">
      <alignment horizontal="left"/>
    </xf>
    <xf numFmtId="0" fontId="57" fillId="4" borderId="0" xfId="0" applyFont="1" applyFill="1" applyBorder="1" applyAlignment="1" applyProtection="1">
      <alignment horizontal="center"/>
    </xf>
    <xf numFmtId="14" fontId="57" fillId="4" borderId="0" xfId="0" applyNumberFormat="1" applyFont="1" applyFill="1" applyBorder="1" applyProtection="1"/>
    <xf numFmtId="0" fontId="57" fillId="7" borderId="1" xfId="0" applyFont="1" applyFill="1" applyBorder="1" applyAlignment="1" applyProtection="1">
      <alignment horizontal="left"/>
    </xf>
    <xf numFmtId="0" fontId="57" fillId="7" borderId="1" xfId="0" applyFont="1" applyFill="1" applyBorder="1" applyAlignment="1" applyProtection="1">
      <alignment horizontal="center"/>
    </xf>
    <xf numFmtId="0" fontId="57" fillId="7" borderId="1" xfId="0" applyFont="1" applyFill="1" applyBorder="1" applyProtection="1"/>
    <xf numFmtId="14" fontId="57" fillId="4" borderId="1" xfId="0" applyNumberFormat="1" applyFont="1" applyFill="1" applyBorder="1" applyAlignment="1" applyProtection="1">
      <alignment horizontal="center"/>
      <protection locked="0"/>
    </xf>
    <xf numFmtId="0" fontId="57" fillId="7" borderId="1" xfId="0" applyFont="1" applyFill="1" applyBorder="1" applyAlignment="1" applyProtection="1">
      <alignment horizontal="right"/>
    </xf>
    <xf numFmtId="166" fontId="78" fillId="7" borderId="1" xfId="0" applyNumberFormat="1" applyFont="1" applyFill="1" applyBorder="1" applyAlignment="1" applyProtection="1">
      <alignment horizontal="center"/>
    </xf>
    <xf numFmtId="0" fontId="57" fillId="4" borderId="1" xfId="0" applyFont="1" applyFill="1" applyBorder="1" applyAlignment="1" applyProtection="1">
      <alignment horizontal="center"/>
      <protection locked="0"/>
    </xf>
    <xf numFmtId="166" fontId="57" fillId="8" borderId="1" xfId="0" applyNumberFormat="1" applyFont="1" applyFill="1" applyBorder="1" applyProtection="1"/>
    <xf numFmtId="172" fontId="57" fillId="4" borderId="1" xfId="0" applyNumberFormat="1" applyFont="1" applyFill="1" applyBorder="1" applyProtection="1">
      <protection locked="0"/>
    </xf>
    <xf numFmtId="0" fontId="48" fillId="4" borderId="0" xfId="0" applyFont="1" applyFill="1" applyBorder="1" applyProtection="1"/>
    <xf numFmtId="10" fontId="16" fillId="4" borderId="0" xfId="0" applyNumberFormat="1" applyFont="1" applyFill="1" applyBorder="1" applyProtection="1"/>
    <xf numFmtId="10" fontId="7" fillId="4" borderId="0" xfId="3" applyNumberFormat="1" applyFont="1" applyFill="1" applyBorder="1" applyProtection="1"/>
    <xf numFmtId="0" fontId="60" fillId="7" borderId="0" xfId="0" applyFont="1" applyFill="1" applyBorder="1" applyAlignment="1" applyProtection="1">
      <alignment horizontal="center"/>
    </xf>
    <xf numFmtId="0" fontId="57" fillId="7" borderId="0" xfId="0" applyFont="1" applyFill="1" applyBorder="1" applyProtection="1"/>
    <xf numFmtId="0" fontId="19" fillId="4" borderId="8" xfId="0" applyFont="1" applyFill="1" applyBorder="1" applyProtection="1"/>
    <xf numFmtId="0" fontId="24" fillId="7" borderId="0" xfId="0" applyFont="1" applyFill="1"/>
    <xf numFmtId="0" fontId="33" fillId="7" borderId="0" xfId="0" applyFont="1" applyFill="1"/>
    <xf numFmtId="0" fontId="25" fillId="7" borderId="0" xfId="0" applyFont="1" applyFill="1" applyAlignment="1">
      <alignment horizontal="right"/>
    </xf>
    <xf numFmtId="0" fontId="8" fillId="7" borderId="0" xfId="0" applyFont="1" applyFill="1"/>
    <xf numFmtId="0" fontId="24" fillId="4" borderId="0" xfId="0" applyFont="1" applyFill="1"/>
    <xf numFmtId="0" fontId="24" fillId="4" borderId="0" xfId="0" applyFont="1" applyFill="1" applyBorder="1"/>
    <xf numFmtId="0" fontId="33" fillId="4" borderId="0" xfId="0" applyFont="1" applyFill="1" applyBorder="1"/>
    <xf numFmtId="0" fontId="33" fillId="4" borderId="0" xfId="0" applyFont="1" applyFill="1" applyBorder="1" applyAlignment="1">
      <alignment horizontal="right"/>
    </xf>
    <xf numFmtId="0" fontId="25" fillId="4" borderId="0" xfId="0" applyFont="1" applyFill="1" applyBorder="1"/>
    <xf numFmtId="0" fontId="25" fillId="4" borderId="0" xfId="0" applyFont="1" applyFill="1" applyBorder="1" applyAlignment="1">
      <alignment horizontal="right"/>
    </xf>
    <xf numFmtId="0" fontId="35" fillId="4" borderId="0" xfId="0" applyFont="1" applyFill="1" applyBorder="1"/>
    <xf numFmtId="0" fontId="25" fillId="4" borderId="0" xfId="0" applyFont="1" applyFill="1" applyBorder="1" applyAlignment="1">
      <alignment horizontal="center"/>
    </xf>
    <xf numFmtId="0" fontId="8" fillId="4" borderId="0" xfId="0" applyFont="1" applyFill="1" applyBorder="1"/>
    <xf numFmtId="0" fontId="10" fillId="4" borderId="0" xfId="0" applyFont="1" applyFill="1" applyBorder="1"/>
    <xf numFmtId="166" fontId="24" fillId="4" borderId="0" xfId="0" applyNumberFormat="1" applyFont="1" applyFill="1" applyBorder="1"/>
    <xf numFmtId="0" fontId="46" fillId="4" borderId="0" xfId="0" applyFont="1" applyFill="1" applyBorder="1"/>
    <xf numFmtId="0" fontId="36" fillId="4" borderId="0" xfId="0" applyFont="1" applyFill="1" applyBorder="1"/>
    <xf numFmtId="0" fontId="37" fillId="4" borderId="0" xfId="0" applyFont="1" applyFill="1" applyBorder="1"/>
    <xf numFmtId="166" fontId="38" fillId="4" borderId="0" xfId="4" applyNumberFormat="1" applyFont="1" applyFill="1" applyBorder="1"/>
    <xf numFmtId="166" fontId="38" fillId="4" borderId="0" xfId="0" applyNumberFormat="1" applyFont="1" applyFill="1" applyBorder="1"/>
    <xf numFmtId="166" fontId="24" fillId="4" borderId="0" xfId="4" applyNumberFormat="1" applyFont="1" applyFill="1" applyBorder="1"/>
    <xf numFmtId="165" fontId="24" fillId="4" borderId="0" xfId="4" applyNumberFormat="1" applyFont="1" applyFill="1" applyBorder="1"/>
    <xf numFmtId="0" fontId="9" fillId="4" borderId="0" xfId="0" applyFont="1" applyFill="1" applyBorder="1"/>
    <xf numFmtId="0" fontId="39" fillId="4" borderId="0" xfId="1" applyFont="1" applyFill="1" applyBorder="1" applyAlignment="1" applyProtection="1"/>
    <xf numFmtId="0" fontId="20" fillId="4" borderId="0" xfId="0" applyFont="1" applyFill="1" applyBorder="1" applyAlignment="1" applyProtection="1">
      <alignment horizontal="right"/>
    </xf>
    <xf numFmtId="0" fontId="74" fillId="4" borderId="0" xfId="0" applyFont="1" applyFill="1" applyBorder="1"/>
    <xf numFmtId="0" fontId="63" fillId="4" borderId="0" xfId="0" applyFont="1" applyFill="1" applyBorder="1"/>
    <xf numFmtId="0" fontId="79" fillId="4" borderId="0" xfId="0" applyFont="1" applyFill="1" applyBorder="1" applyAlignment="1">
      <alignment horizontal="center"/>
    </xf>
    <xf numFmtId="0" fontId="80" fillId="4" borderId="7" xfId="0" applyFont="1" applyFill="1" applyBorder="1" applyProtection="1"/>
    <xf numFmtId="0" fontId="80" fillId="4" borderId="0" xfId="0" applyFont="1" applyFill="1" applyBorder="1" applyProtection="1"/>
    <xf numFmtId="0" fontId="80" fillId="4" borderId="0" xfId="0" applyFont="1" applyFill="1" applyBorder="1" applyAlignment="1" applyProtection="1">
      <alignment horizontal="center"/>
    </xf>
    <xf numFmtId="0" fontId="80" fillId="4" borderId="0" xfId="0" applyFont="1" applyFill="1" applyBorder="1" applyAlignment="1" applyProtection="1">
      <alignment horizontal="left"/>
    </xf>
    <xf numFmtId="0" fontId="80" fillId="4" borderId="8" xfId="0" applyFont="1" applyFill="1" applyBorder="1" applyProtection="1"/>
    <xf numFmtId="0" fontId="80" fillId="7" borderId="0" xfId="0" applyFont="1" applyFill="1" applyProtection="1"/>
    <xf numFmtId="14" fontId="75" fillId="7" borderId="1" xfId="0" applyNumberFormat="1" applyFont="1" applyFill="1" applyBorder="1" applyAlignment="1" applyProtection="1">
      <alignment horizontal="left"/>
    </xf>
    <xf numFmtId="0" fontId="49" fillId="0" borderId="0" xfId="0" applyFont="1" applyBorder="1" applyAlignment="1">
      <alignment horizontal="left"/>
    </xf>
    <xf numFmtId="0" fontId="49" fillId="10" borderId="0" xfId="0" applyNumberFormat="1" applyFont="1" applyFill="1" applyBorder="1" applyAlignment="1" applyProtection="1">
      <alignment horizontal="left"/>
      <protection locked="0"/>
    </xf>
    <xf numFmtId="0" fontId="50" fillId="0" borderId="0" xfId="0" applyFont="1" applyBorder="1" applyAlignment="1" applyProtection="1">
      <alignment horizontal="left"/>
    </xf>
    <xf numFmtId="171" fontId="49" fillId="10" borderId="0" xfId="0" applyNumberFormat="1" applyFont="1" applyFill="1" applyBorder="1" applyAlignment="1" applyProtection="1">
      <alignment horizontal="left"/>
      <protection locked="0"/>
    </xf>
    <xf numFmtId="0" fontId="49" fillId="0" borderId="0" xfId="0" applyFont="1" applyBorder="1" applyAlignment="1" applyProtection="1">
      <alignment horizontal="left"/>
    </xf>
    <xf numFmtId="0" fontId="49" fillId="0" borderId="0" xfId="0" applyFont="1" applyFill="1" applyBorder="1" applyAlignment="1" applyProtection="1">
      <alignment horizontal="left"/>
    </xf>
    <xf numFmtId="0" fontId="49" fillId="0" borderId="0" xfId="0" applyNumberFormat="1" applyFont="1" applyBorder="1" applyAlignment="1" applyProtection="1">
      <alignment horizontal="left"/>
    </xf>
    <xf numFmtId="1" fontId="49" fillId="0" borderId="0" xfId="0" applyNumberFormat="1" applyFont="1" applyBorder="1" applyAlignment="1" applyProtection="1">
      <alignment horizontal="left"/>
    </xf>
    <xf numFmtId="3" fontId="49" fillId="10" borderId="0" xfId="0" applyNumberFormat="1" applyFont="1" applyFill="1" applyBorder="1" applyAlignment="1" applyProtection="1">
      <alignment horizontal="left"/>
      <protection locked="0"/>
    </xf>
    <xf numFmtId="0" fontId="49" fillId="4" borderId="0" xfId="0" applyFont="1" applyFill="1" applyBorder="1" applyAlignment="1" applyProtection="1">
      <alignment horizontal="left"/>
      <protection locked="0"/>
    </xf>
    <xf numFmtId="49" fontId="49" fillId="0" borderId="0" xfId="0" applyNumberFormat="1" applyFont="1" applyBorder="1" applyAlignment="1" applyProtection="1">
      <alignment horizontal="left"/>
    </xf>
    <xf numFmtId="3" fontId="49" fillId="0" borderId="0" xfId="0" applyNumberFormat="1" applyFont="1" applyFill="1" applyBorder="1" applyAlignment="1" applyProtection="1">
      <alignment horizontal="left"/>
      <protection locked="0"/>
    </xf>
    <xf numFmtId="173" fontId="49" fillId="10" borderId="0" xfId="0" applyNumberFormat="1" applyFont="1" applyFill="1" applyBorder="1" applyAlignment="1" applyProtection="1">
      <alignment horizontal="left"/>
      <protection locked="0"/>
    </xf>
    <xf numFmtId="4" fontId="49" fillId="10" borderId="0" xfId="0" applyNumberFormat="1" applyFont="1" applyFill="1" applyBorder="1" applyAlignment="1" applyProtection="1">
      <alignment horizontal="left"/>
      <protection locked="0"/>
    </xf>
    <xf numFmtId="10" fontId="49" fillId="10" borderId="0" xfId="0" applyNumberFormat="1" applyFont="1" applyFill="1" applyBorder="1" applyAlignment="1" applyProtection="1">
      <alignment horizontal="left"/>
      <protection locked="0"/>
    </xf>
    <xf numFmtId="3" fontId="49" fillId="0" borderId="0" xfId="0" applyNumberFormat="1" applyFont="1" applyFill="1" applyBorder="1" applyAlignment="1" applyProtection="1">
      <alignment horizontal="left"/>
    </xf>
    <xf numFmtId="9" fontId="49" fillId="0" borderId="0" xfId="0" applyNumberFormat="1" applyFont="1" applyBorder="1" applyAlignment="1" applyProtection="1">
      <alignment horizontal="left"/>
    </xf>
    <xf numFmtId="10" fontId="49" fillId="10" borderId="0" xfId="0" applyNumberFormat="1" applyFont="1" applyFill="1" applyBorder="1" applyAlignment="1" applyProtection="1">
      <alignment horizontal="left"/>
    </xf>
    <xf numFmtId="49" fontId="49" fillId="0" borderId="0" xfId="0" applyNumberFormat="1" applyFont="1" applyBorder="1" applyAlignment="1" applyProtection="1">
      <alignment horizontal="center"/>
    </xf>
    <xf numFmtId="10" fontId="49" fillId="0" borderId="0" xfId="0" applyNumberFormat="1" applyFont="1" applyBorder="1" applyAlignment="1" applyProtection="1">
      <alignment horizontal="left"/>
    </xf>
    <xf numFmtId="2" fontId="49" fillId="10" borderId="0" xfId="0" applyNumberFormat="1" applyFont="1" applyFill="1" applyBorder="1" applyAlignment="1" applyProtection="1">
      <alignment horizontal="left"/>
      <protection locked="0"/>
    </xf>
    <xf numFmtId="0" fontId="81" fillId="0" borderId="0" xfId="0" applyFont="1" applyFill="1" applyBorder="1" applyAlignment="1" applyProtection="1">
      <alignment horizontal="left"/>
    </xf>
    <xf numFmtId="2" fontId="49" fillId="0" borderId="0" xfId="0" applyNumberFormat="1" applyFont="1" applyFill="1" applyBorder="1" applyAlignment="1" applyProtection="1">
      <alignment horizontal="left"/>
      <protection locked="0"/>
    </xf>
    <xf numFmtId="2" fontId="81" fillId="0" borderId="0" xfId="0" applyNumberFormat="1" applyFont="1" applyBorder="1" applyAlignment="1" applyProtection="1">
      <alignment horizontal="left"/>
    </xf>
    <xf numFmtId="2" fontId="81" fillId="0" borderId="0" xfId="0" applyNumberFormat="1" applyFont="1" applyFill="1" applyBorder="1" applyAlignment="1" applyProtection="1">
      <alignment horizontal="left"/>
    </xf>
    <xf numFmtId="174" fontId="49" fillId="10" borderId="0" xfId="0" applyNumberFormat="1" applyFont="1" applyFill="1" applyBorder="1" applyAlignment="1" applyProtection="1">
      <alignment horizontal="left"/>
      <protection locked="0"/>
    </xf>
    <xf numFmtId="2" fontId="49" fillId="0" borderId="0" xfId="0" applyNumberFormat="1" applyFont="1" applyBorder="1" applyAlignment="1" applyProtection="1">
      <alignment horizontal="left"/>
    </xf>
    <xf numFmtId="0" fontId="50" fillId="0" borderId="0" xfId="0" applyFont="1" applyBorder="1" applyAlignment="1">
      <alignment horizontal="left"/>
    </xf>
    <xf numFmtId="0" fontId="82" fillId="0" borderId="0" xfId="0" applyFont="1" applyBorder="1" applyAlignment="1" applyProtection="1">
      <alignment horizontal="left"/>
    </xf>
    <xf numFmtId="4" fontId="49" fillId="0" borderId="0" xfId="0" applyNumberFormat="1" applyFont="1" applyBorder="1" applyAlignment="1" applyProtection="1">
      <alignment horizontal="left"/>
    </xf>
    <xf numFmtId="3" fontId="49" fillId="0" borderId="0" xfId="0" applyNumberFormat="1" applyFont="1" applyBorder="1" applyAlignment="1" applyProtection="1">
      <alignment horizontal="left"/>
    </xf>
    <xf numFmtId="173" fontId="49" fillId="0" borderId="0" xfId="0" applyNumberFormat="1" applyFont="1" applyBorder="1" applyAlignment="1" applyProtection="1">
      <alignment horizontal="left"/>
    </xf>
    <xf numFmtId="0" fontId="49" fillId="0" borderId="0" xfId="0" applyFont="1" applyProtection="1"/>
    <xf numFmtId="0" fontId="83" fillId="0" borderId="0" xfId="0" applyFont="1" applyAlignment="1" applyProtection="1">
      <alignment horizontal="left"/>
    </xf>
    <xf numFmtId="0" fontId="83" fillId="0" borderId="0" xfId="0" applyFont="1" applyProtection="1"/>
    <xf numFmtId="0" fontId="49" fillId="0" borderId="0" xfId="0" applyFont="1" applyAlignment="1" applyProtection="1">
      <alignment horizontal="left"/>
    </xf>
    <xf numFmtId="14" fontId="84" fillId="8" borderId="0" xfId="0" applyNumberFormat="1" applyFont="1" applyFill="1" applyAlignment="1" applyProtection="1">
      <alignment horizontal="right"/>
    </xf>
    <xf numFmtId="0" fontId="86" fillId="4" borderId="0" xfId="0" applyFont="1" applyFill="1" applyBorder="1"/>
    <xf numFmtId="0" fontId="49" fillId="4" borderId="0" xfId="0" applyFont="1" applyFill="1" applyBorder="1" applyAlignment="1" applyProtection="1">
      <alignment horizontal="center"/>
    </xf>
    <xf numFmtId="0" fontId="50" fillId="4" borderId="0" xfId="0" applyFont="1" applyFill="1" applyBorder="1" applyAlignment="1" applyProtection="1">
      <alignment horizontal="center"/>
    </xf>
    <xf numFmtId="0" fontId="83" fillId="0" borderId="0" xfId="0" applyFont="1" applyFill="1" applyProtection="1"/>
    <xf numFmtId="0" fontId="49" fillId="0" borderId="0" xfId="0" applyFont="1" applyFill="1" applyProtection="1"/>
    <xf numFmtId="0" fontId="87" fillId="0" borderId="0" xfId="0" applyFont="1" applyFill="1" applyProtection="1"/>
    <xf numFmtId="0" fontId="87" fillId="0" borderId="0" xfId="0" applyFont="1" applyAlignment="1" applyProtection="1">
      <alignment horizontal="center"/>
    </xf>
    <xf numFmtId="0" fontId="59" fillId="0" borderId="0" xfId="0" applyFont="1" applyFill="1" applyAlignment="1" applyProtection="1">
      <alignment horizontal="center"/>
    </xf>
    <xf numFmtId="0" fontId="64" fillId="0" borderId="0" xfId="0" applyFont="1" applyBorder="1" applyAlignment="1" applyProtection="1">
      <alignment horizontal="left"/>
    </xf>
    <xf numFmtId="10" fontId="50" fillId="0" borderId="0" xfId="3" applyNumberFormat="1" applyFont="1" applyFill="1" applyProtection="1"/>
    <xf numFmtId="10" fontId="50" fillId="0" borderId="0" xfId="0" applyNumberFormat="1" applyFont="1" applyFill="1" applyProtection="1"/>
    <xf numFmtId="43" fontId="49" fillId="0" borderId="0" xfId="2" applyFont="1" applyFill="1" applyProtection="1"/>
    <xf numFmtId="14" fontId="49" fillId="0" borderId="0" xfId="0" applyNumberFormat="1" applyFont="1" applyFill="1" applyProtection="1"/>
    <xf numFmtId="0" fontId="49" fillId="0" borderId="0" xfId="0" applyFont="1" applyFill="1" applyBorder="1" applyAlignment="1" applyProtection="1">
      <alignment horizontal="center"/>
    </xf>
    <xf numFmtId="179" fontId="49" fillId="0" borderId="0" xfId="2" applyNumberFormat="1" applyFont="1" applyFill="1" applyProtection="1"/>
    <xf numFmtId="43" fontId="49" fillId="0" borderId="0" xfId="2" applyFont="1" applyProtection="1"/>
    <xf numFmtId="10" fontId="49" fillId="0" borderId="0" xfId="0" applyNumberFormat="1" applyFont="1" applyProtection="1"/>
    <xf numFmtId="10" fontId="49" fillId="0" borderId="0" xfId="0" applyNumberFormat="1" applyFont="1" applyFill="1" applyProtection="1"/>
    <xf numFmtId="0" fontId="51" fillId="0" borderId="0" xfId="0" applyFont="1" applyAlignment="1" applyProtection="1">
      <alignment horizontal="center"/>
    </xf>
    <xf numFmtId="0" fontId="51" fillId="0" borderId="0" xfId="0" quotePrefix="1" applyFont="1" applyAlignment="1" applyProtection="1">
      <alignment horizontal="center"/>
    </xf>
    <xf numFmtId="0" fontId="51" fillId="0" borderId="0" xfId="0" applyFont="1" applyFill="1" applyAlignment="1" applyProtection="1">
      <alignment horizontal="center"/>
    </xf>
    <xf numFmtId="166" fontId="49" fillId="0" borderId="0" xfId="4" applyNumberFormat="1" applyFont="1" applyProtection="1"/>
    <xf numFmtId="167" fontId="49" fillId="0" borderId="0" xfId="2" applyNumberFormat="1" applyFont="1" applyFill="1" applyProtection="1"/>
    <xf numFmtId="0" fontId="65" fillId="0" borderId="0" xfId="0" applyFont="1" applyBorder="1" applyAlignment="1" applyProtection="1">
      <alignment horizontal="left"/>
    </xf>
    <xf numFmtId="14" fontId="49" fillId="0" borderId="0" xfId="0" applyNumberFormat="1" applyFont="1" applyFill="1" applyAlignment="1" applyProtection="1">
      <alignment horizontal="right"/>
    </xf>
    <xf numFmtId="0" fontId="49" fillId="4" borderId="4" xfId="0" applyFont="1" applyFill="1" applyBorder="1" applyAlignment="1" applyProtection="1">
      <alignment horizontal="center"/>
    </xf>
    <xf numFmtId="0" fontId="49" fillId="4" borderId="5" xfId="0" applyFont="1" applyFill="1" applyBorder="1" applyAlignment="1" applyProtection="1">
      <alignment horizontal="center"/>
    </xf>
    <xf numFmtId="0" fontId="49" fillId="4" borderId="5" xfId="0" applyFont="1" applyFill="1" applyBorder="1" applyAlignment="1" applyProtection="1">
      <alignment horizontal="left"/>
    </xf>
    <xf numFmtId="0" fontId="49" fillId="4" borderId="6" xfId="0" applyFont="1" applyFill="1" applyBorder="1" applyAlignment="1" applyProtection="1">
      <alignment horizontal="center"/>
    </xf>
    <xf numFmtId="0" fontId="51" fillId="4" borderId="5" xfId="0" applyFont="1" applyFill="1" applyBorder="1" applyAlignment="1" applyProtection="1">
      <alignment horizontal="center"/>
    </xf>
    <xf numFmtId="0" fontId="55" fillId="4" borderId="5" xfId="0" applyFont="1" applyFill="1" applyBorder="1" applyAlignment="1" applyProtection="1">
      <alignment horizontal="center"/>
    </xf>
    <xf numFmtId="0" fontId="49" fillId="7" borderId="0" xfId="0" applyFont="1" applyFill="1" applyBorder="1" applyAlignment="1" applyProtection="1">
      <alignment horizontal="center"/>
    </xf>
    <xf numFmtId="0" fontId="49" fillId="4" borderId="7" xfId="0" applyFont="1" applyFill="1" applyBorder="1" applyAlignment="1" applyProtection="1">
      <alignment horizontal="center"/>
    </xf>
    <xf numFmtId="0" fontId="49" fillId="4" borderId="8" xfId="0" applyFont="1" applyFill="1" applyBorder="1" applyAlignment="1" applyProtection="1">
      <alignment horizontal="center"/>
    </xf>
    <xf numFmtId="0" fontId="55" fillId="4" borderId="0" xfId="0" applyFont="1" applyFill="1" applyBorder="1" applyAlignment="1" applyProtection="1">
      <alignment horizontal="center"/>
    </xf>
    <xf numFmtId="0" fontId="70" fillId="4" borderId="7" xfId="0" applyFont="1" applyFill="1" applyBorder="1" applyAlignment="1" applyProtection="1">
      <alignment horizontal="center"/>
    </xf>
    <xf numFmtId="0" fontId="71" fillId="4" borderId="0" xfId="0" applyFont="1" applyFill="1" applyBorder="1" applyAlignment="1" applyProtection="1">
      <alignment horizontal="left"/>
    </xf>
    <xf numFmtId="0" fontId="70" fillId="4" borderId="0" xfId="0" applyFont="1" applyFill="1" applyBorder="1" applyAlignment="1" applyProtection="1">
      <alignment horizontal="left"/>
    </xf>
    <xf numFmtId="0" fontId="70" fillId="4" borderId="0" xfId="0" applyFont="1" applyFill="1" applyBorder="1" applyAlignment="1" applyProtection="1">
      <alignment horizontal="center"/>
    </xf>
    <xf numFmtId="0" fontId="70" fillId="4" borderId="8" xfId="0" applyFont="1" applyFill="1" applyBorder="1" applyAlignment="1" applyProtection="1">
      <alignment horizontal="center"/>
    </xf>
    <xf numFmtId="0" fontId="72" fillId="4" borderId="0" xfId="0" applyFont="1" applyFill="1" applyBorder="1" applyAlignment="1" applyProtection="1">
      <alignment horizontal="center"/>
    </xf>
    <xf numFmtId="0" fontId="73" fillId="4" borderId="0" xfId="0" applyFont="1" applyFill="1" applyBorder="1" applyAlignment="1" applyProtection="1">
      <alignment horizontal="center"/>
    </xf>
    <xf numFmtId="0" fontId="70" fillId="7" borderId="0" xfId="0" applyFont="1" applyFill="1" applyBorder="1" applyAlignment="1" applyProtection="1">
      <alignment horizontal="center"/>
    </xf>
    <xf numFmtId="0" fontId="73" fillId="7" borderId="0" xfId="0" applyFont="1" applyFill="1" applyBorder="1" applyAlignment="1" applyProtection="1">
      <alignment horizontal="center"/>
    </xf>
    <xf numFmtId="0" fontId="64" fillId="4" borderId="7" xfId="0" applyFont="1" applyFill="1" applyBorder="1" applyAlignment="1" applyProtection="1">
      <alignment horizontal="center"/>
    </xf>
    <xf numFmtId="0" fontId="64" fillId="4" borderId="0" xfId="0" applyFont="1" applyFill="1" applyBorder="1" applyAlignment="1" applyProtection="1">
      <alignment horizontal="center"/>
    </xf>
    <xf numFmtId="166" fontId="64" fillId="4" borderId="0" xfId="0" applyNumberFormat="1" applyFont="1" applyFill="1" applyBorder="1" applyAlignment="1" applyProtection="1">
      <alignment horizontal="center"/>
    </xf>
    <xf numFmtId="0" fontId="64" fillId="4" borderId="8" xfId="0" applyFont="1" applyFill="1" applyBorder="1" applyAlignment="1" applyProtection="1">
      <alignment horizontal="center"/>
    </xf>
    <xf numFmtId="0" fontId="66" fillId="4" borderId="0" xfId="0" applyFont="1" applyFill="1" applyBorder="1" applyAlignment="1" applyProtection="1">
      <alignment horizontal="center"/>
    </xf>
    <xf numFmtId="166" fontId="49" fillId="4" borderId="0" xfId="0" applyNumberFormat="1" applyFont="1" applyFill="1" applyBorder="1" applyAlignment="1" applyProtection="1">
      <alignment horizontal="center"/>
    </xf>
    <xf numFmtId="0" fontId="64" fillId="7" borderId="0" xfId="0" applyFont="1" applyFill="1" applyBorder="1" applyAlignment="1" applyProtection="1">
      <alignment horizontal="center"/>
    </xf>
    <xf numFmtId="0" fontId="49" fillId="7" borderId="1" xfId="0" applyFont="1" applyFill="1" applyBorder="1" applyAlignment="1" applyProtection="1">
      <alignment horizontal="center"/>
    </xf>
    <xf numFmtId="0" fontId="49" fillId="7" borderId="1" xfId="0" applyFont="1" applyFill="1" applyBorder="1" applyAlignment="1" applyProtection="1">
      <alignment horizontal="left"/>
    </xf>
    <xf numFmtId="0" fontId="49" fillId="7" borderId="29" xfId="0" applyFont="1" applyFill="1" applyBorder="1" applyAlignment="1" applyProtection="1">
      <alignment horizontal="center"/>
    </xf>
    <xf numFmtId="0" fontId="49" fillId="7" borderId="30" xfId="0" applyFont="1" applyFill="1" applyBorder="1" applyAlignment="1" applyProtection="1">
      <alignment horizontal="center"/>
    </xf>
    <xf numFmtId="0" fontId="51" fillId="7" borderId="1" xfId="0" applyFont="1" applyFill="1" applyBorder="1" applyAlignment="1" applyProtection="1">
      <alignment horizontal="center"/>
    </xf>
    <xf numFmtId="0" fontId="55" fillId="7" borderId="1" xfId="0" applyFont="1" applyFill="1" applyBorder="1" applyAlignment="1" applyProtection="1">
      <alignment horizontal="center"/>
    </xf>
    <xf numFmtId="0" fontId="58" fillId="7" borderId="1" xfId="0" applyFont="1" applyFill="1" applyBorder="1" applyAlignment="1" applyProtection="1">
      <alignment horizontal="center"/>
    </xf>
    <xf numFmtId="0" fontId="49" fillId="4" borderId="2" xfId="0" applyFont="1" applyFill="1" applyBorder="1" applyAlignment="1" applyProtection="1">
      <alignment horizontal="center"/>
    </xf>
    <xf numFmtId="0" fontId="49" fillId="4" borderId="3" xfId="0" applyFont="1" applyFill="1" applyBorder="1" applyAlignment="1" applyProtection="1">
      <alignment horizontal="center"/>
    </xf>
    <xf numFmtId="0" fontId="49" fillId="4" borderId="3" xfId="0" applyFont="1" applyFill="1" applyBorder="1" applyAlignment="1" applyProtection="1">
      <alignment horizontal="left"/>
    </xf>
    <xf numFmtId="0" fontId="49" fillId="4" borderId="9" xfId="0" applyFont="1" applyFill="1" applyBorder="1" applyAlignment="1" applyProtection="1">
      <alignment horizontal="center"/>
    </xf>
    <xf numFmtId="0" fontId="51" fillId="4" borderId="3" xfId="0" applyFont="1" applyFill="1" applyBorder="1" applyAlignment="1" applyProtection="1">
      <alignment horizontal="center"/>
    </xf>
    <xf numFmtId="0" fontId="55" fillId="4" borderId="3" xfId="0" applyFont="1" applyFill="1" applyBorder="1" applyAlignment="1" applyProtection="1">
      <alignment horizontal="center"/>
    </xf>
    <xf numFmtId="0" fontId="68" fillId="7" borderId="0" xfId="0" applyFont="1" applyFill="1" applyBorder="1" applyAlignment="1" applyProtection="1">
      <alignment horizontal="center"/>
    </xf>
    <xf numFmtId="0" fontId="69" fillId="7" borderId="0" xfId="0" applyFont="1" applyFill="1" applyBorder="1" applyAlignment="1" applyProtection="1">
      <alignment horizontal="center"/>
    </xf>
    <xf numFmtId="0" fontId="49" fillId="7" borderId="0" xfId="0" applyFont="1" applyFill="1" applyBorder="1" applyAlignment="1" applyProtection="1">
      <alignment horizontal="left"/>
    </xf>
    <xf numFmtId="0" fontId="51" fillId="7" borderId="0" xfId="0" applyFont="1" applyFill="1" applyBorder="1" applyAlignment="1" applyProtection="1">
      <alignment horizontal="center"/>
    </xf>
    <xf numFmtId="0" fontId="47" fillId="7" borderId="1" xfId="0" applyFont="1" applyFill="1" applyBorder="1" applyProtection="1"/>
    <xf numFmtId="0" fontId="88" fillId="4" borderId="0" xfId="0" applyFont="1" applyFill="1" applyBorder="1" applyAlignment="1" applyProtection="1">
      <alignment horizontal="left"/>
    </xf>
    <xf numFmtId="0" fontId="8" fillId="4" borderId="0" xfId="1" applyFont="1" applyFill="1" applyBorder="1" applyAlignment="1" applyProtection="1"/>
    <xf numFmtId="0" fontId="8" fillId="0" borderId="0" xfId="0" applyFont="1" applyFill="1" applyBorder="1"/>
    <xf numFmtId="0" fontId="8" fillId="11" borderId="0" xfId="0" applyFont="1" applyFill="1" applyBorder="1"/>
    <xf numFmtId="0" fontId="8" fillId="11" borderId="0" xfId="0" applyFont="1" applyFill="1"/>
    <xf numFmtId="0" fontId="24" fillId="11" borderId="0" xfId="0" applyFont="1" applyFill="1" applyBorder="1"/>
    <xf numFmtId="0" fontId="38" fillId="11" borderId="0" xfId="0" applyFont="1" applyFill="1" applyBorder="1"/>
    <xf numFmtId="0" fontId="10" fillId="11" borderId="0" xfId="0" applyFont="1" applyFill="1" applyBorder="1"/>
    <xf numFmtId="0" fontId="8" fillId="10" borderId="0" xfId="0" applyFont="1" applyFill="1" applyBorder="1" applyAlignment="1">
      <alignment horizontal="left"/>
    </xf>
    <xf numFmtId="0" fontId="10" fillId="4" borderId="0" xfId="1" applyFont="1" applyFill="1" applyBorder="1" applyAlignment="1" applyProtection="1"/>
    <xf numFmtId="0" fontId="24" fillId="12" borderId="0" xfId="0" applyFont="1" applyFill="1"/>
    <xf numFmtId="0" fontId="24" fillId="12" borderId="0" xfId="0" applyFont="1" applyFill="1" applyBorder="1"/>
    <xf numFmtId="166" fontId="7" fillId="0" borderId="1" xfId="0" applyNumberFormat="1" applyFont="1" applyFill="1" applyBorder="1" applyProtection="1"/>
    <xf numFmtId="0" fontId="55" fillId="11" borderId="0" xfId="0" applyFont="1" applyFill="1" applyBorder="1" applyAlignment="1" applyProtection="1">
      <alignment horizontal="center"/>
    </xf>
    <xf numFmtId="0" fontId="64" fillId="11" borderId="0" xfId="0" applyFont="1" applyFill="1" applyBorder="1" applyAlignment="1" applyProtection="1">
      <alignment horizontal="center"/>
    </xf>
    <xf numFmtId="0" fontId="58" fillId="11" borderId="0" xfId="0" applyFont="1" applyFill="1" applyBorder="1" applyAlignment="1" applyProtection="1">
      <alignment horizontal="center"/>
    </xf>
    <xf numFmtId="0" fontId="51" fillId="11" borderId="0" xfId="0" applyFont="1" applyFill="1" applyBorder="1" applyAlignment="1" applyProtection="1">
      <alignment horizontal="center"/>
    </xf>
    <xf numFmtId="0" fontId="89" fillId="0" borderId="0" xfId="0" applyFont="1" applyBorder="1" applyAlignment="1" applyProtection="1">
      <alignment horizontal="left"/>
    </xf>
    <xf numFmtId="173" fontId="89" fillId="0" borderId="0" xfId="0" applyNumberFormat="1" applyFont="1" applyBorder="1" applyAlignment="1" applyProtection="1">
      <alignment horizontal="left"/>
    </xf>
    <xf numFmtId="3" fontId="89" fillId="0" borderId="0" xfId="0" applyNumberFormat="1" applyFont="1" applyFill="1" applyBorder="1" applyAlignment="1" applyProtection="1">
      <alignment horizontal="left"/>
    </xf>
    <xf numFmtId="0" fontId="58" fillId="0" borderId="0" xfId="0" applyFont="1" applyAlignment="1" applyProtection="1">
      <alignment horizontal="left"/>
    </xf>
    <xf numFmtId="0" fontId="58" fillId="0" borderId="0" xfId="0" applyFont="1" applyProtection="1"/>
    <xf numFmtId="0" fontId="90" fillId="12" borderId="0" xfId="0" applyFont="1" applyFill="1" applyBorder="1" applyProtection="1"/>
    <xf numFmtId="0" fontId="91" fillId="12" borderId="36" xfId="0" applyFont="1" applyFill="1" applyBorder="1" applyProtection="1"/>
    <xf numFmtId="0" fontId="8" fillId="4" borderId="0" xfId="0" applyFont="1" applyFill="1" applyBorder="1" applyAlignment="1" applyProtection="1">
      <alignment horizontal="center"/>
    </xf>
    <xf numFmtId="0" fontId="58" fillId="0" borderId="0" xfId="0" applyFont="1" applyFill="1" applyAlignment="1" applyProtection="1">
      <alignment horizontal="left"/>
    </xf>
    <xf numFmtId="0" fontId="58" fillId="0" borderId="0" xfId="0" applyFont="1" applyFill="1" applyProtection="1"/>
    <xf numFmtId="0" fontId="92" fillId="0" borderId="0" xfId="0" applyFont="1" applyProtection="1"/>
    <xf numFmtId="0" fontId="92" fillId="0" borderId="0" xfId="0" applyFont="1" applyFill="1" applyProtection="1"/>
    <xf numFmtId="14" fontId="92" fillId="0" borderId="0" xfId="0" applyNumberFormat="1" applyFont="1" applyProtection="1"/>
    <xf numFmtId="0" fontId="8" fillId="0" borderId="0" xfId="0" applyFont="1" applyFill="1" applyAlignment="1" applyProtection="1">
      <alignment horizontal="left"/>
    </xf>
    <xf numFmtId="0" fontId="57" fillId="4" borderId="37" xfId="0" applyFont="1" applyFill="1" applyBorder="1" applyProtection="1">
      <protection locked="0"/>
    </xf>
    <xf numFmtId="0" fontId="57" fillId="4" borderId="33" xfId="0" applyFont="1" applyFill="1" applyBorder="1" applyAlignment="1" applyProtection="1">
      <alignment horizontal="center"/>
      <protection locked="0"/>
    </xf>
    <xf numFmtId="0" fontId="93" fillId="4" borderId="5" xfId="0" applyFont="1" applyFill="1" applyBorder="1" applyAlignment="1" applyProtection="1">
      <alignment horizontal="center"/>
    </xf>
    <xf numFmtId="0" fontId="93" fillId="4" borderId="0" xfId="0" applyFont="1" applyFill="1" applyBorder="1" applyAlignment="1" applyProtection="1">
      <alignment horizontal="center"/>
    </xf>
    <xf numFmtId="0" fontId="94" fillId="4" borderId="0" xfId="0" applyFont="1" applyFill="1" applyBorder="1" applyAlignment="1" applyProtection="1">
      <alignment horizontal="center"/>
    </xf>
    <xf numFmtId="0" fontId="93" fillId="11" borderId="0" xfId="0" applyFont="1" applyFill="1" applyBorder="1" applyAlignment="1" applyProtection="1">
      <alignment horizontal="center"/>
    </xf>
    <xf numFmtId="0" fontId="96" fillId="11" borderId="0" xfId="0" applyFont="1" applyFill="1" applyBorder="1" applyAlignment="1" applyProtection="1">
      <alignment horizontal="center"/>
    </xf>
    <xf numFmtId="0" fontId="96" fillId="4" borderId="0" xfId="0" applyFont="1" applyFill="1" applyBorder="1" applyAlignment="1" applyProtection="1">
      <alignment horizontal="center"/>
    </xf>
    <xf numFmtId="0" fontId="96" fillId="7" borderId="1" xfId="0" applyFont="1" applyFill="1" applyBorder="1" applyAlignment="1" applyProtection="1">
      <alignment horizontal="center"/>
    </xf>
    <xf numFmtId="166" fontId="96" fillId="0" borderId="1" xfId="0" applyNumberFormat="1" applyFont="1" applyFill="1" applyBorder="1" applyAlignment="1" applyProtection="1">
      <alignment horizontal="center"/>
    </xf>
    <xf numFmtId="0" fontId="93" fillId="7" borderId="1" xfId="0" applyFont="1" applyFill="1" applyBorder="1" applyAlignment="1" applyProtection="1">
      <alignment horizontal="center"/>
    </xf>
    <xf numFmtId="0" fontId="93" fillId="4" borderId="3" xfId="0" applyFont="1" applyFill="1" applyBorder="1" applyAlignment="1" applyProtection="1">
      <alignment horizontal="center"/>
    </xf>
    <xf numFmtId="0" fontId="93" fillId="7" borderId="0" xfId="0" applyFont="1" applyFill="1" applyBorder="1" applyAlignment="1" applyProtection="1">
      <alignment horizontal="center"/>
    </xf>
    <xf numFmtId="0" fontId="95" fillId="0" borderId="0" xfId="0" applyFont="1" applyAlignment="1">
      <alignment horizontal="center"/>
    </xf>
    <xf numFmtId="0" fontId="95" fillId="4" borderId="0" xfId="0" applyFont="1" applyFill="1" applyBorder="1" applyAlignment="1" applyProtection="1">
      <alignment horizontal="center"/>
    </xf>
    <xf numFmtId="0" fontId="95" fillId="4" borderId="0" xfId="0" applyFont="1" applyFill="1" applyBorder="1" applyAlignment="1" applyProtection="1">
      <alignment horizontal="left"/>
    </xf>
    <xf numFmtId="0" fontId="95" fillId="11" borderId="0" xfId="0" applyFont="1" applyFill="1" applyBorder="1" applyProtection="1"/>
    <xf numFmtId="0" fontId="97" fillId="7" borderId="0" xfId="0" applyFont="1" applyFill="1" applyBorder="1" applyAlignment="1" applyProtection="1">
      <alignment horizontal="center"/>
    </xf>
    <xf numFmtId="0" fontId="97" fillId="7" borderId="0" xfId="0" applyFont="1" applyFill="1" applyBorder="1" applyAlignment="1" applyProtection="1"/>
    <xf numFmtId="0" fontId="98" fillId="7" borderId="0" xfId="0" applyFont="1" applyFill="1" applyBorder="1" applyAlignment="1" applyProtection="1">
      <alignment horizontal="center"/>
    </xf>
    <xf numFmtId="0" fontId="98" fillId="7" borderId="0" xfId="0" applyFont="1" applyFill="1" applyBorder="1" applyAlignment="1" applyProtection="1"/>
    <xf numFmtId="0" fontId="97" fillId="7" borderId="0" xfId="0" applyFont="1" applyFill="1" applyBorder="1" applyAlignment="1" applyProtection="1">
      <alignment horizontal="left"/>
    </xf>
    <xf numFmtId="0" fontId="97" fillId="7" borderId="0" xfId="0" applyFont="1" applyFill="1" applyBorder="1" applyProtection="1"/>
    <xf numFmtId="0" fontId="97" fillId="7" borderId="0" xfId="0" applyFont="1" applyFill="1" applyAlignment="1" applyProtection="1">
      <alignment horizontal="center"/>
    </xf>
    <xf numFmtId="14" fontId="97" fillId="7" borderId="0" xfId="0" applyNumberFormat="1" applyFont="1" applyFill="1" applyBorder="1" applyAlignment="1" applyProtection="1">
      <alignment horizontal="center"/>
    </xf>
    <xf numFmtId="0" fontId="99" fillId="7" borderId="0" xfId="0" applyFont="1" applyFill="1" applyBorder="1" applyAlignment="1" applyProtection="1">
      <alignment horizontal="center"/>
    </xf>
    <xf numFmtId="0" fontId="97" fillId="7" borderId="1" xfId="0" applyFont="1" applyFill="1" applyBorder="1" applyAlignment="1" applyProtection="1">
      <alignment horizontal="center"/>
    </xf>
    <xf numFmtId="1" fontId="97" fillId="7" borderId="31" xfId="0" applyNumberFormat="1" applyFont="1" applyFill="1" applyBorder="1" applyAlignment="1" applyProtection="1">
      <alignment horizontal="center"/>
    </xf>
    <xf numFmtId="1" fontId="97" fillId="7" borderId="27" xfId="0" applyNumberFormat="1" applyFont="1" applyFill="1" applyBorder="1" applyAlignment="1" applyProtection="1">
      <alignment horizontal="center"/>
    </xf>
    <xf numFmtId="0" fontId="97" fillId="7" borderId="27" xfId="0" applyFont="1" applyFill="1" applyBorder="1" applyAlignment="1" applyProtection="1">
      <alignment horizontal="center"/>
    </xf>
    <xf numFmtId="14" fontId="97" fillId="12" borderId="27" xfId="0" applyNumberFormat="1" applyFont="1" applyFill="1" applyBorder="1" applyAlignment="1" applyProtection="1">
      <alignment horizontal="center"/>
    </xf>
    <xf numFmtId="9" fontId="97" fillId="12" borderId="27" xfId="0" applyNumberFormat="1" applyFont="1" applyFill="1" applyBorder="1" applyAlignment="1" applyProtection="1">
      <alignment horizontal="center"/>
    </xf>
    <xf numFmtId="10" fontId="97" fillId="7" borderId="27" xfId="0" applyNumberFormat="1" applyFont="1" applyFill="1" applyBorder="1" applyAlignment="1" applyProtection="1">
      <alignment horizontal="center"/>
    </xf>
    <xf numFmtId="10" fontId="97" fillId="12" borderId="27" xfId="0" applyNumberFormat="1" applyFont="1" applyFill="1" applyBorder="1" applyAlignment="1" applyProtection="1">
      <alignment horizontal="center"/>
    </xf>
    <xf numFmtId="2" fontId="97" fillId="7" borderId="27" xfId="0" applyNumberFormat="1" applyFont="1" applyFill="1" applyBorder="1" applyAlignment="1" applyProtection="1">
      <alignment horizontal="center"/>
    </xf>
    <xf numFmtId="166" fontId="97" fillId="7" borderId="27" xfId="0" applyNumberFormat="1" applyFont="1" applyFill="1" applyBorder="1" applyAlignment="1" applyProtection="1">
      <alignment horizontal="left"/>
    </xf>
    <xf numFmtId="166" fontId="97" fillId="7" borderId="27" xfId="0" applyNumberFormat="1" applyFont="1" applyFill="1" applyBorder="1" applyAlignment="1" applyProtection="1">
      <alignment horizontal="right"/>
    </xf>
    <xf numFmtId="166" fontId="97" fillId="7" borderId="27" xfId="0" applyNumberFormat="1" applyFont="1" applyFill="1" applyBorder="1" applyProtection="1"/>
    <xf numFmtId="14" fontId="97" fillId="7" borderId="32" xfId="0" applyNumberFormat="1" applyFont="1" applyFill="1" applyBorder="1" applyAlignment="1" applyProtection="1">
      <alignment horizontal="center"/>
    </xf>
    <xf numFmtId="0" fontId="97" fillId="7" borderId="32" xfId="0" applyFont="1" applyFill="1" applyBorder="1" applyAlignment="1" applyProtection="1">
      <alignment horizontal="center"/>
    </xf>
    <xf numFmtId="1" fontId="97" fillId="7" borderId="33" xfId="0" applyNumberFormat="1" applyFont="1" applyFill="1" applyBorder="1" applyAlignment="1" applyProtection="1">
      <alignment horizontal="center"/>
    </xf>
    <xf numFmtId="1" fontId="97" fillId="7" borderId="1" xfId="0" applyNumberFormat="1" applyFont="1" applyFill="1" applyBorder="1" applyAlignment="1" applyProtection="1">
      <alignment horizontal="center"/>
    </xf>
    <xf numFmtId="14" fontId="97" fillId="7" borderId="1" xfId="0" applyNumberFormat="1" applyFont="1" applyFill="1" applyBorder="1" applyAlignment="1" applyProtection="1">
      <alignment horizontal="center"/>
    </xf>
    <xf numFmtId="9" fontId="97" fillId="7" borderId="1" xfId="0" applyNumberFormat="1" applyFont="1" applyFill="1" applyBorder="1" applyAlignment="1" applyProtection="1">
      <alignment horizontal="center"/>
    </xf>
    <xf numFmtId="10" fontId="97" fillId="7" borderId="1" xfId="0" applyNumberFormat="1" applyFont="1" applyFill="1" applyBorder="1" applyAlignment="1" applyProtection="1">
      <alignment horizontal="center"/>
    </xf>
    <xf numFmtId="2" fontId="97" fillId="7" borderId="1" xfId="0" applyNumberFormat="1" applyFont="1" applyFill="1" applyBorder="1" applyAlignment="1" applyProtection="1">
      <alignment horizontal="center"/>
    </xf>
    <xf numFmtId="166" fontId="97" fillId="7" borderId="1" xfId="0" applyNumberFormat="1" applyFont="1" applyFill="1" applyBorder="1" applyAlignment="1" applyProtection="1">
      <alignment horizontal="left"/>
    </xf>
    <xf numFmtId="166" fontId="97" fillId="7" borderId="1" xfId="0" applyNumberFormat="1" applyFont="1" applyFill="1" applyBorder="1" applyAlignment="1" applyProtection="1">
      <alignment horizontal="right"/>
    </xf>
    <xf numFmtId="166" fontId="97" fillId="7" borderId="1" xfId="0" applyNumberFormat="1" applyFont="1" applyFill="1" applyBorder="1" applyProtection="1"/>
    <xf numFmtId="1" fontId="97" fillId="7" borderId="34" xfId="0" applyNumberFormat="1" applyFont="1" applyFill="1" applyBorder="1" applyAlignment="1" applyProtection="1">
      <alignment horizontal="center"/>
    </xf>
    <xf numFmtId="1" fontId="97" fillId="7" borderId="35" xfId="0" applyNumberFormat="1" applyFont="1" applyFill="1" applyBorder="1" applyAlignment="1" applyProtection="1">
      <alignment horizontal="center"/>
    </xf>
    <xf numFmtId="0" fontId="97" fillId="7" borderId="35" xfId="0" applyFont="1" applyFill="1" applyBorder="1" applyAlignment="1" applyProtection="1">
      <alignment horizontal="center"/>
    </xf>
    <xf numFmtId="10" fontId="97" fillId="7" borderId="35" xfId="0" applyNumberFormat="1" applyFont="1" applyFill="1" applyBorder="1" applyAlignment="1" applyProtection="1">
      <alignment horizontal="center"/>
    </xf>
    <xf numFmtId="2" fontId="97" fillId="7" borderId="35" xfId="0" applyNumberFormat="1" applyFont="1" applyFill="1" applyBorder="1" applyAlignment="1" applyProtection="1">
      <alignment horizontal="center"/>
    </xf>
    <xf numFmtId="166" fontId="97" fillId="7" borderId="35" xfId="0" applyNumberFormat="1" applyFont="1" applyFill="1" applyBorder="1" applyAlignment="1" applyProtection="1">
      <alignment horizontal="left"/>
    </xf>
    <xf numFmtId="166" fontId="97" fillId="7" borderId="35" xfId="0" applyNumberFormat="1" applyFont="1" applyFill="1" applyBorder="1" applyAlignment="1" applyProtection="1">
      <alignment horizontal="right"/>
    </xf>
    <xf numFmtId="166" fontId="97" fillId="7" borderId="35" xfId="0" applyNumberFormat="1" applyFont="1" applyFill="1" applyBorder="1" applyProtection="1"/>
    <xf numFmtId="0" fontId="9" fillId="0" borderId="0" xfId="0" applyFont="1" applyBorder="1" applyAlignment="1" applyProtection="1">
      <alignment horizontal="left"/>
    </xf>
    <xf numFmtId="0" fontId="8" fillId="0" borderId="0" xfId="0" applyFont="1" applyBorder="1" applyAlignment="1" applyProtection="1">
      <alignment horizontal="left"/>
    </xf>
    <xf numFmtId="10" fontId="8" fillId="10" borderId="0" xfId="0" applyNumberFormat="1" applyFont="1" applyFill="1" applyBorder="1" applyAlignment="1" applyProtection="1">
      <alignment horizontal="left"/>
      <protection locked="0"/>
    </xf>
    <xf numFmtId="166" fontId="7" fillId="13" borderId="1" xfId="4" applyNumberFormat="1" applyFont="1" applyFill="1" applyBorder="1" applyAlignment="1" applyProtection="1">
      <alignment horizontal="center"/>
    </xf>
    <xf numFmtId="10" fontId="7" fillId="13" borderId="1" xfId="3" applyNumberFormat="1" applyFont="1" applyFill="1" applyBorder="1" applyAlignment="1" applyProtection="1">
      <alignment horizontal="center"/>
    </xf>
    <xf numFmtId="49" fontId="8" fillId="0" borderId="0" xfId="0" applyNumberFormat="1" applyFont="1" applyBorder="1" applyAlignment="1" applyProtection="1">
      <alignment horizontal="center"/>
    </xf>
    <xf numFmtId="0" fontId="8" fillId="0" borderId="38" xfId="0" applyFont="1" applyFill="1" applyBorder="1"/>
    <xf numFmtId="0" fontId="8" fillId="10" borderId="0" xfId="0" applyNumberFormat="1" applyFont="1" applyFill="1" applyBorder="1" applyAlignment="1" applyProtection="1">
      <alignment horizontal="left"/>
      <protection locked="0"/>
    </xf>
    <xf numFmtId="175" fontId="53" fillId="9" borderId="1" xfId="3" applyNumberFormat="1" applyFont="1" applyFill="1" applyBorder="1" applyAlignment="1" applyProtection="1">
      <alignment horizontal="center"/>
    </xf>
    <xf numFmtId="166" fontId="16" fillId="5" borderId="14" xfId="0" applyNumberFormat="1" applyFont="1" applyFill="1" applyBorder="1" applyAlignment="1" applyProtection="1">
      <protection locked="0"/>
    </xf>
    <xf numFmtId="0" fontId="16" fillId="5" borderId="14" xfId="0" applyFont="1" applyFill="1" applyBorder="1" applyAlignment="1" applyProtection="1">
      <protection locked="0"/>
    </xf>
    <xf numFmtId="0" fontId="15" fillId="4" borderId="0" xfId="0" applyFont="1" applyFill="1" applyBorder="1" applyAlignment="1" applyProtection="1">
      <alignment horizontal="left"/>
      <protection locked="0"/>
    </xf>
    <xf numFmtId="0" fontId="15" fillId="4" borderId="14" xfId="0" applyFont="1" applyFill="1" applyBorder="1" applyAlignment="1" applyProtection="1">
      <protection locked="0"/>
    </xf>
    <xf numFmtId="0" fontId="50" fillId="11" borderId="0" xfId="0" applyFont="1" applyFill="1" applyBorder="1" applyAlignment="1" applyProtection="1">
      <alignment horizontal="center"/>
    </xf>
    <xf numFmtId="0" fontId="49" fillId="4" borderId="0" xfId="0" applyFont="1" applyFill="1" applyBorder="1" applyAlignment="1" applyProtection="1">
      <alignment horizontal="center"/>
    </xf>
    <xf numFmtId="0" fontId="49" fillId="0" borderId="0" xfId="0" applyFont="1" applyBorder="1" applyAlignment="1" applyProtection="1">
      <alignment horizontal="center"/>
    </xf>
  </cellXfs>
  <cellStyles count="5">
    <cellStyle name="Hyperlink" xfId="1" builtinId="8"/>
    <cellStyle name="Komma" xfId="2" builtinId="3"/>
    <cellStyle name="Procent" xfId="3" builtinId="5"/>
    <cellStyle name="Standaard" xfId="0" builtinId="0"/>
    <cellStyle name="Valuta" xfId="4"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11</xdr:col>
      <xdr:colOff>333375</xdr:colOff>
      <xdr:row>2</xdr:row>
      <xdr:rowOff>85725</xdr:rowOff>
    </xdr:from>
    <xdr:to>
      <xdr:col>13</xdr:col>
      <xdr:colOff>114300</xdr:colOff>
      <xdr:row>4</xdr:row>
      <xdr:rowOff>9525</xdr:rowOff>
    </xdr:to>
    <xdr:pic>
      <xdr:nvPicPr>
        <xdr:cNvPr id="14337"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10400" y="409575"/>
          <a:ext cx="10382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18</xdr:col>
      <xdr:colOff>790575</xdr:colOff>
      <xdr:row>3</xdr:row>
      <xdr:rowOff>9525</xdr:rowOff>
    </xdr:from>
    <xdr:to>
      <xdr:col>20</xdr:col>
      <xdr:colOff>180975</xdr:colOff>
      <xdr:row>4</xdr:row>
      <xdr:rowOff>123825</xdr:rowOff>
    </xdr:to>
    <xdr:pic>
      <xdr:nvPicPr>
        <xdr:cNvPr id="2245"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77725" y="523875"/>
          <a:ext cx="11049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33618</xdr:colOff>
      <xdr:row>43</xdr:row>
      <xdr:rowOff>33617</xdr:rowOff>
    </xdr:from>
    <xdr:to>
      <xdr:col>21</xdr:col>
      <xdr:colOff>22412</xdr:colOff>
      <xdr:row>52</xdr:row>
      <xdr:rowOff>42334</xdr:rowOff>
    </xdr:to>
    <xdr:sp macro="" textlink="">
      <xdr:nvSpPr>
        <xdr:cNvPr id="2" name="Tekstvak 1"/>
        <xdr:cNvSpPr txBox="1"/>
      </xdr:nvSpPr>
      <xdr:spPr>
        <a:xfrm>
          <a:off x="6648201" y="7378450"/>
          <a:ext cx="6243544" cy="15327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nl-NL" sz="1100" b="1" i="1">
              <a:solidFill>
                <a:srgbClr val="FF0000"/>
              </a:solidFill>
            </a:rPr>
            <a:t>NB: Niet alle</a:t>
          </a:r>
          <a:r>
            <a:rPr lang="nl-NL" sz="1100" b="1" i="1" baseline="0">
              <a:solidFill>
                <a:srgbClr val="FF0000"/>
              </a:solidFill>
            </a:rPr>
            <a:t>  werkgeverslasten  zijn hiermee aangegeven. Sinds 1 aug. 2012 zijn de kosten die door de UWV vergoed worden niet meer zichtbaar (zie de toelichting), maar de kosten  die gemaakt worden voor o.a. zwangerschaps- en bevallingsverlof kunnen anders zijn dan de vergoeding die UWV  daarvoor verstrekt. Ook moet rekening gehouden worden met kosten die hier niet zijn opgenomen omdat ze per individu sterk  kunnen verschillen zoals reis- en verblijfkosten, parkeervergoeding  e.d. Ga daarom na welke kosten bij uw bestuur ook nog gemaakt worden. </a:t>
          </a:r>
          <a:r>
            <a:rPr lang="nl-NL" sz="1100" b="1" i="1" baseline="0">
              <a:solidFill>
                <a:srgbClr val="FF0000"/>
              </a:solidFill>
              <a:effectLst/>
              <a:latin typeface="+mn-lt"/>
              <a:ea typeface="+mn-ea"/>
              <a:cs typeface="+mn-cs"/>
            </a:rPr>
            <a:t>Zie rij 55 voor opgave van 'kosten eigen beleid'.</a:t>
          </a:r>
          <a:endParaRPr lang="nl-NL">
            <a:solidFill>
              <a:srgbClr val="FF0000"/>
            </a:solidFill>
            <a:effectLst/>
          </a:endParaRPr>
        </a:p>
        <a:p>
          <a:r>
            <a:rPr lang="nl-NL" sz="1100" b="1" i="1">
              <a:solidFill>
                <a:srgbClr val="FF0000"/>
              </a:solidFill>
            </a:rPr>
            <a:t>Een bestuur dat voor het VF eigenrisicodrager is, dient de eigen kosten ziektevervanging hier ook op te voeren.</a:t>
          </a:r>
        </a:p>
        <a:p>
          <a:endParaRPr lang="nl-NL" sz="1100" b="1" i="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828675</xdr:colOff>
      <xdr:row>1</xdr:row>
      <xdr:rowOff>152400</xdr:rowOff>
    </xdr:from>
    <xdr:to>
      <xdr:col>10</xdr:col>
      <xdr:colOff>152400</xdr:colOff>
      <xdr:row>3</xdr:row>
      <xdr:rowOff>133350</xdr:rowOff>
    </xdr:to>
    <xdr:pic>
      <xdr:nvPicPr>
        <xdr:cNvPr id="4137"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81875" y="323850"/>
          <a:ext cx="10382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104775</xdr:colOff>
      <xdr:row>2</xdr:row>
      <xdr:rowOff>114300</xdr:rowOff>
    </xdr:from>
    <xdr:to>
      <xdr:col>8</xdr:col>
      <xdr:colOff>161925</xdr:colOff>
      <xdr:row>4</xdr:row>
      <xdr:rowOff>38100</xdr:rowOff>
    </xdr:to>
    <xdr:pic>
      <xdr:nvPicPr>
        <xdr:cNvPr id="9221"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00" y="457200"/>
          <a:ext cx="10382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76200</xdr:colOff>
      <xdr:row>2</xdr:row>
      <xdr:rowOff>0</xdr:rowOff>
    </xdr:from>
    <xdr:to>
      <xdr:col>8</xdr:col>
      <xdr:colOff>152400</xdr:colOff>
      <xdr:row>3</xdr:row>
      <xdr:rowOff>152400</xdr:rowOff>
    </xdr:to>
    <xdr:pic>
      <xdr:nvPicPr>
        <xdr:cNvPr id="6151"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95975" y="342900"/>
          <a:ext cx="10382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poraad.nl/index.php?p=363178"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93"/>
  <sheetViews>
    <sheetView workbookViewId="0">
      <selection activeCell="B2" sqref="B2"/>
    </sheetView>
  </sheetViews>
  <sheetFormatPr defaultColWidth="9.140625" defaultRowHeight="12.75" x14ac:dyDescent="0.2"/>
  <cols>
    <col min="1" max="1" width="3.7109375" style="437" customWidth="1"/>
    <col min="2" max="2" width="2.7109375" style="437" customWidth="1"/>
    <col min="3" max="4" width="9.140625" style="437"/>
    <col min="5" max="6" width="14.85546875" style="437" customWidth="1"/>
    <col min="7" max="11" width="9.140625" style="437"/>
    <col min="12" max="12" width="9.7109375" style="437" customWidth="1"/>
    <col min="13" max="13" width="9.140625" style="437"/>
    <col min="14" max="15" width="2.7109375" style="437" customWidth="1"/>
    <col min="16" max="16384" width="9.140625" style="437"/>
  </cols>
  <sheetData>
    <row r="2" spans="2:15" x14ac:dyDescent="0.2">
      <c r="B2" s="441"/>
      <c r="C2" s="441"/>
      <c r="D2" s="441"/>
      <c r="E2" s="441"/>
      <c r="F2" s="441"/>
      <c r="G2" s="441"/>
      <c r="H2" s="441"/>
      <c r="I2" s="441"/>
      <c r="J2" s="441"/>
      <c r="K2" s="441"/>
      <c r="L2" s="441"/>
      <c r="M2" s="441"/>
      <c r="N2" s="441"/>
      <c r="O2" s="441"/>
    </row>
    <row r="3" spans="2:15" x14ac:dyDescent="0.2">
      <c r="B3" s="442"/>
      <c r="C3" s="442"/>
      <c r="D3" s="442"/>
      <c r="E3" s="442"/>
      <c r="F3" s="442"/>
      <c r="G3" s="442"/>
      <c r="H3" s="442"/>
      <c r="I3" s="442"/>
      <c r="J3" s="442"/>
      <c r="K3" s="442"/>
      <c r="L3" s="442"/>
      <c r="M3" s="442"/>
      <c r="N3" s="442"/>
      <c r="O3" s="442"/>
    </row>
    <row r="4" spans="2:15" s="438" customFormat="1" ht="18.75" x14ac:dyDescent="0.3">
      <c r="B4" s="443"/>
      <c r="C4" s="462" t="s">
        <v>33</v>
      </c>
      <c r="D4" s="463"/>
      <c r="E4" s="463"/>
      <c r="F4" s="463"/>
      <c r="G4" s="463"/>
      <c r="H4" s="464"/>
      <c r="I4" s="443"/>
      <c r="J4" s="443"/>
      <c r="K4" s="443"/>
      <c r="L4" s="444"/>
      <c r="M4" s="443"/>
      <c r="N4" s="443"/>
      <c r="O4" s="443"/>
    </row>
    <row r="5" spans="2:15" ht="15.75" x14ac:dyDescent="0.25">
      <c r="B5" s="442"/>
      <c r="C5" s="509" t="s">
        <v>438</v>
      </c>
      <c r="D5" s="442"/>
      <c r="E5" s="442"/>
      <c r="F5" s="442"/>
      <c r="G5" s="442"/>
      <c r="H5" s="442"/>
      <c r="I5" s="442"/>
      <c r="J5" s="442"/>
      <c r="K5" s="442"/>
      <c r="L5" s="446"/>
      <c r="M5" s="445"/>
      <c r="N5" s="447"/>
      <c r="O5" s="442"/>
    </row>
    <row r="6" spans="2:15" x14ac:dyDescent="0.2">
      <c r="B6" s="442"/>
      <c r="C6" s="445"/>
      <c r="D6" s="442"/>
      <c r="E6" s="442"/>
      <c r="F6" s="442"/>
      <c r="G6" s="442"/>
      <c r="H6" s="442"/>
      <c r="I6" s="442"/>
      <c r="J6" s="442"/>
      <c r="K6" s="442"/>
      <c r="L6" s="446"/>
      <c r="M6" s="445"/>
      <c r="N6" s="447"/>
      <c r="O6" s="442"/>
    </row>
    <row r="7" spans="2:15" x14ac:dyDescent="0.2">
      <c r="B7" s="442"/>
      <c r="C7" s="445"/>
      <c r="D7" s="442"/>
      <c r="E7" s="442"/>
      <c r="F7" s="442"/>
      <c r="G7" s="442"/>
      <c r="H7" s="442"/>
      <c r="I7" s="442"/>
      <c r="J7" s="442"/>
      <c r="K7" s="442"/>
      <c r="L7" s="446"/>
      <c r="M7" s="445"/>
      <c r="N7" s="447"/>
      <c r="O7" s="442"/>
    </row>
    <row r="8" spans="2:15" x14ac:dyDescent="0.2">
      <c r="B8" s="442"/>
      <c r="C8" s="445"/>
      <c r="D8" s="442"/>
      <c r="E8" s="442"/>
      <c r="F8" s="442"/>
      <c r="G8" s="442"/>
      <c r="H8" s="442"/>
      <c r="I8" s="442"/>
      <c r="J8" s="442"/>
      <c r="K8" s="442"/>
      <c r="L8" s="446"/>
      <c r="M8" s="445"/>
      <c r="N8" s="447"/>
      <c r="O8" s="442"/>
    </row>
    <row r="9" spans="2:15" x14ac:dyDescent="0.2">
      <c r="B9" s="442"/>
      <c r="C9" s="442" t="s">
        <v>36</v>
      </c>
      <c r="D9" s="442"/>
      <c r="E9" s="442"/>
      <c r="F9" s="442"/>
      <c r="G9" s="442"/>
      <c r="H9" s="448" t="s">
        <v>255</v>
      </c>
      <c r="I9" s="442"/>
      <c r="J9" s="442"/>
      <c r="K9" s="442"/>
      <c r="L9" s="442"/>
      <c r="M9" s="442"/>
      <c r="N9" s="447"/>
      <c r="O9" s="442"/>
    </row>
    <row r="10" spans="2:15" x14ac:dyDescent="0.2">
      <c r="B10" s="442"/>
      <c r="C10" s="442" t="s">
        <v>283</v>
      </c>
      <c r="D10" s="442"/>
      <c r="E10" s="442"/>
      <c r="F10" s="442"/>
      <c r="G10" s="442"/>
      <c r="H10" s="442"/>
      <c r="I10" s="442"/>
      <c r="J10" s="442"/>
      <c r="K10" s="442"/>
      <c r="L10" s="442"/>
      <c r="M10" s="442"/>
      <c r="N10" s="442"/>
      <c r="O10" s="442"/>
    </row>
    <row r="11" spans="2:15" x14ac:dyDescent="0.2">
      <c r="B11" s="442"/>
      <c r="C11" s="442"/>
      <c r="D11" s="442"/>
      <c r="E11" s="442"/>
      <c r="F11" s="442"/>
      <c r="G11" s="442"/>
      <c r="H11" s="442"/>
      <c r="I11" s="442"/>
      <c r="J11" s="442"/>
      <c r="K11" s="442"/>
      <c r="L11" s="442"/>
      <c r="M11" s="442"/>
      <c r="N11" s="442"/>
      <c r="O11" s="442"/>
    </row>
    <row r="12" spans="2:15" x14ac:dyDescent="0.2">
      <c r="B12" s="442"/>
      <c r="C12" s="449" t="s">
        <v>400</v>
      </c>
      <c r="D12" s="442"/>
      <c r="E12" s="442"/>
      <c r="F12" s="442"/>
      <c r="G12" s="442"/>
      <c r="H12" s="442"/>
      <c r="I12" s="442"/>
      <c r="J12" s="442"/>
      <c r="K12" s="442"/>
      <c r="L12" s="442"/>
      <c r="M12" s="442"/>
      <c r="N12" s="442"/>
      <c r="O12" s="442"/>
    </row>
    <row r="13" spans="2:15" x14ac:dyDescent="0.2">
      <c r="B13" s="442"/>
      <c r="C13" s="449" t="s">
        <v>439</v>
      </c>
      <c r="D13" s="442"/>
      <c r="E13" s="442"/>
      <c r="F13" s="442"/>
      <c r="G13" s="442"/>
      <c r="H13" s="442"/>
      <c r="I13" s="442"/>
      <c r="J13" s="442"/>
      <c r="K13" s="442"/>
      <c r="L13" s="442"/>
      <c r="M13" s="442"/>
      <c r="N13" s="442"/>
      <c r="O13" s="442"/>
    </row>
    <row r="14" spans="2:15" x14ac:dyDescent="0.2">
      <c r="B14" s="442"/>
      <c r="C14" s="442"/>
      <c r="D14" s="442"/>
      <c r="E14" s="442"/>
      <c r="F14" s="442"/>
      <c r="G14" s="442"/>
      <c r="H14" s="442"/>
      <c r="I14" s="442"/>
      <c r="J14" s="442"/>
      <c r="K14" s="442"/>
      <c r="L14" s="442"/>
      <c r="M14" s="442"/>
      <c r="N14" s="442"/>
      <c r="O14" s="442"/>
    </row>
    <row r="15" spans="2:15" x14ac:dyDescent="0.2">
      <c r="B15" s="442"/>
      <c r="C15" s="449" t="s">
        <v>440</v>
      </c>
      <c r="D15" s="442"/>
      <c r="E15" s="442"/>
      <c r="F15" s="442"/>
      <c r="G15" s="442"/>
      <c r="H15" s="442"/>
      <c r="I15" s="442"/>
      <c r="J15" s="442"/>
      <c r="K15" s="442"/>
      <c r="L15" s="442"/>
      <c r="M15" s="442"/>
      <c r="N15" s="442"/>
      <c r="O15" s="442"/>
    </row>
    <row r="16" spans="2:15" x14ac:dyDescent="0.2">
      <c r="B16" s="442"/>
      <c r="C16" s="449" t="s">
        <v>421</v>
      </c>
      <c r="D16" s="442"/>
      <c r="E16" s="442"/>
      <c r="F16" s="442"/>
      <c r="G16" s="442"/>
      <c r="H16" s="442"/>
      <c r="I16" s="442"/>
      <c r="J16" s="442"/>
      <c r="K16" s="442"/>
      <c r="L16" s="442"/>
      <c r="M16" s="442"/>
      <c r="N16" s="442"/>
      <c r="O16" s="442"/>
    </row>
    <row r="17" spans="2:15" s="440" customFormat="1" x14ac:dyDescent="0.2">
      <c r="B17" s="449"/>
      <c r="C17" s="581" t="s">
        <v>443</v>
      </c>
      <c r="D17" s="449"/>
      <c r="E17" s="449"/>
      <c r="F17" s="449"/>
      <c r="G17" s="449"/>
      <c r="H17" s="449"/>
      <c r="I17" s="449"/>
      <c r="J17" s="449"/>
      <c r="K17" s="449"/>
      <c r="L17" s="449"/>
      <c r="M17" s="449"/>
      <c r="N17" s="449"/>
      <c r="O17" s="449"/>
    </row>
    <row r="18" spans="2:15" x14ac:dyDescent="0.2">
      <c r="B18" s="442"/>
      <c r="C18" s="581" t="s">
        <v>398</v>
      </c>
      <c r="D18" s="442"/>
      <c r="E18" s="442"/>
      <c r="F18" s="442"/>
      <c r="G18" s="442"/>
      <c r="H18" s="442"/>
      <c r="I18" s="442"/>
      <c r="J18" s="442"/>
      <c r="K18" s="442"/>
      <c r="L18" s="442"/>
      <c r="M18" s="442"/>
      <c r="N18" s="442"/>
      <c r="O18" s="442"/>
    </row>
    <row r="19" spans="2:15" x14ac:dyDescent="0.2">
      <c r="B19" s="442"/>
      <c r="C19" s="581" t="s">
        <v>399</v>
      </c>
      <c r="D19" s="442"/>
      <c r="E19" s="442"/>
      <c r="F19" s="442"/>
      <c r="G19" s="442"/>
      <c r="H19" s="442"/>
      <c r="I19" s="442"/>
      <c r="J19" s="442"/>
      <c r="K19" s="442"/>
      <c r="L19" s="442"/>
      <c r="M19" s="442"/>
      <c r="N19" s="442"/>
      <c r="O19" s="442"/>
    </row>
    <row r="20" spans="2:15" x14ac:dyDescent="0.2">
      <c r="B20" s="442"/>
      <c r="C20" s="581" t="s">
        <v>401</v>
      </c>
      <c r="D20" s="442"/>
      <c r="E20" s="442"/>
      <c r="F20" s="442"/>
      <c r="G20" s="442"/>
      <c r="H20" s="442"/>
      <c r="I20" s="442"/>
      <c r="J20" s="442"/>
      <c r="K20" s="442"/>
      <c r="L20" s="442"/>
      <c r="M20" s="442"/>
      <c r="N20" s="442"/>
      <c r="O20" s="442"/>
    </row>
    <row r="21" spans="2:15" x14ac:dyDescent="0.2">
      <c r="B21" s="442"/>
      <c r="C21" s="581" t="s">
        <v>402</v>
      </c>
      <c r="D21" s="442"/>
      <c r="E21" s="442"/>
      <c r="F21" s="442"/>
      <c r="G21" s="442"/>
      <c r="H21" s="442"/>
      <c r="I21" s="442"/>
      <c r="J21" s="442"/>
      <c r="K21" s="442"/>
      <c r="L21" s="442"/>
      <c r="M21" s="442"/>
      <c r="N21" s="442"/>
      <c r="O21" s="442"/>
    </row>
    <row r="22" spans="2:15" x14ac:dyDescent="0.2">
      <c r="B22" s="442"/>
      <c r="C22" s="581" t="s">
        <v>403</v>
      </c>
      <c r="D22" s="442"/>
      <c r="E22" s="442"/>
      <c r="F22" s="442"/>
      <c r="G22" s="442"/>
      <c r="H22" s="442"/>
      <c r="I22" s="442"/>
      <c r="J22" s="442"/>
      <c r="K22" s="442"/>
      <c r="L22" s="442"/>
      <c r="M22" s="442"/>
      <c r="N22" s="442"/>
      <c r="O22" s="442"/>
    </row>
    <row r="23" spans="2:15" x14ac:dyDescent="0.2">
      <c r="B23" s="442"/>
      <c r="C23" s="581"/>
      <c r="D23" s="442"/>
      <c r="E23" s="442"/>
      <c r="F23" s="442"/>
      <c r="G23" s="442"/>
      <c r="H23" s="442"/>
      <c r="I23" s="442"/>
      <c r="J23" s="442"/>
      <c r="K23" s="442"/>
      <c r="L23" s="442"/>
      <c r="M23" s="442"/>
      <c r="N23" s="442"/>
      <c r="O23" s="442"/>
    </row>
    <row r="24" spans="2:15" x14ac:dyDescent="0.2">
      <c r="B24" s="442"/>
      <c r="C24" s="582" t="s">
        <v>396</v>
      </c>
      <c r="D24" s="442"/>
      <c r="E24" s="442"/>
      <c r="F24" s="442"/>
      <c r="G24" s="442"/>
      <c r="H24" s="442"/>
      <c r="I24" s="442"/>
      <c r="J24" s="442"/>
      <c r="K24" s="442"/>
      <c r="L24" s="442"/>
      <c r="M24" s="442"/>
      <c r="N24" s="442"/>
      <c r="O24" s="442"/>
    </row>
    <row r="25" spans="2:15" x14ac:dyDescent="0.2">
      <c r="B25" s="442"/>
      <c r="C25" s="581" t="s">
        <v>422</v>
      </c>
      <c r="D25" s="442"/>
      <c r="E25" s="442"/>
      <c r="F25" s="442"/>
      <c r="G25" s="442"/>
      <c r="H25" s="442"/>
      <c r="I25" s="442"/>
      <c r="J25" s="442"/>
      <c r="K25" s="442"/>
      <c r="L25" s="442"/>
      <c r="M25" s="442"/>
      <c r="N25" s="442"/>
      <c r="O25" s="442"/>
    </row>
    <row r="26" spans="2:15" x14ac:dyDescent="0.2">
      <c r="B26" s="442"/>
      <c r="C26" s="581" t="s">
        <v>423</v>
      </c>
      <c r="D26" s="442"/>
      <c r="E26" s="442"/>
      <c r="F26" s="442"/>
      <c r="G26" s="442"/>
      <c r="H26" s="442"/>
      <c r="I26" s="442"/>
      <c r="J26" s="442"/>
      <c r="K26" s="442"/>
      <c r="L26" s="442"/>
      <c r="M26" s="442"/>
      <c r="N26" s="442"/>
      <c r="O26" s="442"/>
    </row>
    <row r="27" spans="2:15" x14ac:dyDescent="0.2">
      <c r="B27" s="442"/>
      <c r="C27" s="583" t="s">
        <v>242</v>
      </c>
      <c r="D27" s="442"/>
      <c r="E27" s="442"/>
      <c r="F27" s="442"/>
      <c r="G27" s="442"/>
      <c r="H27" s="442"/>
      <c r="I27" s="442"/>
      <c r="J27" s="442"/>
      <c r="K27" s="442"/>
      <c r="L27" s="442"/>
      <c r="M27" s="442"/>
      <c r="N27" s="442"/>
      <c r="O27" s="442"/>
    </row>
    <row r="28" spans="2:15" x14ac:dyDescent="0.2">
      <c r="B28" s="442"/>
      <c r="C28" s="583" t="s">
        <v>284</v>
      </c>
      <c r="D28" s="442"/>
      <c r="E28" s="442"/>
      <c r="F28" s="442"/>
      <c r="G28" s="442"/>
      <c r="H28" s="442"/>
      <c r="I28" s="442"/>
      <c r="J28" s="442"/>
      <c r="K28" s="442"/>
      <c r="L28" s="442"/>
      <c r="M28" s="442"/>
      <c r="N28" s="442"/>
      <c r="O28" s="442"/>
    </row>
    <row r="29" spans="2:15" x14ac:dyDescent="0.2">
      <c r="B29" s="442"/>
      <c r="C29" s="583" t="s">
        <v>239</v>
      </c>
      <c r="D29" s="442"/>
      <c r="E29" s="442"/>
      <c r="F29" s="442"/>
      <c r="G29" s="442"/>
      <c r="H29" s="442"/>
      <c r="I29" s="442"/>
      <c r="J29" s="442"/>
      <c r="K29" s="442"/>
      <c r="L29" s="442"/>
      <c r="M29" s="442"/>
      <c r="N29" s="442"/>
      <c r="O29" s="442"/>
    </row>
    <row r="30" spans="2:15" x14ac:dyDescent="0.2">
      <c r="B30" s="442"/>
      <c r="C30" s="584" t="s">
        <v>251</v>
      </c>
      <c r="D30" s="442"/>
      <c r="E30" s="442"/>
      <c r="F30" s="442"/>
      <c r="G30" s="442"/>
      <c r="H30" s="442"/>
      <c r="I30" s="442"/>
      <c r="J30" s="442"/>
      <c r="K30" s="442"/>
      <c r="L30" s="442"/>
      <c r="M30" s="442"/>
      <c r="N30" s="442"/>
      <c r="O30" s="442"/>
    </row>
    <row r="31" spans="2:15" x14ac:dyDescent="0.2">
      <c r="B31" s="442"/>
      <c r="C31" s="584" t="s">
        <v>461</v>
      </c>
      <c r="D31" s="442"/>
      <c r="E31" s="442"/>
      <c r="F31" s="442"/>
      <c r="G31" s="442"/>
      <c r="H31" s="442"/>
      <c r="I31" s="442"/>
      <c r="J31" s="442"/>
      <c r="K31" s="442"/>
      <c r="L31" s="442"/>
      <c r="M31" s="442"/>
      <c r="N31" s="442"/>
      <c r="O31" s="442"/>
    </row>
    <row r="32" spans="2:15" x14ac:dyDescent="0.2">
      <c r="B32" s="442"/>
      <c r="C32" s="584"/>
      <c r="D32" s="442"/>
      <c r="E32" s="442"/>
      <c r="F32" s="442"/>
      <c r="G32" s="442"/>
      <c r="H32" s="442"/>
      <c r="I32" s="442"/>
      <c r="J32" s="442"/>
      <c r="K32" s="442"/>
      <c r="L32" s="442"/>
      <c r="M32" s="442"/>
      <c r="N32" s="442"/>
      <c r="O32" s="442"/>
    </row>
    <row r="33" spans="2:15" x14ac:dyDescent="0.2">
      <c r="B33" s="442"/>
      <c r="C33" s="581" t="s">
        <v>404</v>
      </c>
      <c r="D33" s="442"/>
      <c r="E33" s="442"/>
      <c r="F33" s="442"/>
      <c r="G33" s="442"/>
      <c r="H33" s="442"/>
      <c r="I33" s="442"/>
      <c r="J33" s="442"/>
      <c r="K33" s="442"/>
      <c r="L33" s="442"/>
      <c r="M33" s="442"/>
      <c r="N33" s="442"/>
      <c r="O33" s="442"/>
    </row>
    <row r="34" spans="2:15" x14ac:dyDescent="0.2">
      <c r="B34" s="442"/>
      <c r="C34" s="581" t="s">
        <v>444</v>
      </c>
      <c r="D34" s="442"/>
      <c r="E34" s="442"/>
      <c r="F34" s="442"/>
      <c r="G34" s="442"/>
      <c r="H34" s="442"/>
      <c r="I34" s="442"/>
      <c r="J34" s="442"/>
      <c r="K34" s="442"/>
      <c r="L34" s="442"/>
      <c r="M34" s="442"/>
      <c r="N34" s="442"/>
      <c r="O34" s="442"/>
    </row>
    <row r="35" spans="2:15" x14ac:dyDescent="0.2">
      <c r="B35" s="442"/>
      <c r="C35" s="581" t="s">
        <v>445</v>
      </c>
      <c r="D35" s="442"/>
      <c r="E35" s="442"/>
      <c r="F35" s="442"/>
      <c r="G35" s="442"/>
      <c r="H35" s="442"/>
      <c r="I35" s="442"/>
      <c r="J35" s="442"/>
      <c r="K35" s="442"/>
      <c r="L35" s="442"/>
      <c r="M35" s="442"/>
      <c r="N35" s="442"/>
      <c r="O35" s="442"/>
    </row>
    <row r="36" spans="2:15" x14ac:dyDescent="0.2">
      <c r="B36" s="442"/>
      <c r="C36" s="581" t="s">
        <v>446</v>
      </c>
      <c r="D36" s="442"/>
      <c r="E36" s="442"/>
      <c r="F36" s="442"/>
      <c r="G36" s="442"/>
      <c r="H36" s="442"/>
      <c r="I36" s="442"/>
      <c r="J36" s="442"/>
      <c r="K36" s="442"/>
      <c r="L36" s="442"/>
      <c r="M36" s="442"/>
      <c r="N36" s="442"/>
      <c r="O36" s="442"/>
    </row>
    <row r="37" spans="2:15" x14ac:dyDescent="0.2">
      <c r="B37" s="442"/>
      <c r="C37" s="581" t="s">
        <v>447</v>
      </c>
      <c r="D37" s="442"/>
      <c r="E37" s="442"/>
      <c r="F37" s="442"/>
      <c r="G37" s="442"/>
      <c r="H37" s="442"/>
      <c r="I37" s="442"/>
      <c r="J37" s="442"/>
      <c r="K37" s="442"/>
      <c r="L37" s="442"/>
      <c r="M37" s="442"/>
      <c r="N37" s="442"/>
      <c r="O37" s="442"/>
    </row>
    <row r="38" spans="2:15" x14ac:dyDescent="0.2">
      <c r="B38" s="442"/>
      <c r="C38" s="581" t="s">
        <v>448</v>
      </c>
      <c r="D38" s="442"/>
      <c r="E38" s="442"/>
      <c r="F38" s="442"/>
      <c r="G38" s="442"/>
      <c r="H38" s="442"/>
      <c r="I38" s="442"/>
      <c r="J38" s="442"/>
      <c r="K38" s="442"/>
      <c r="L38" s="442"/>
      <c r="M38" s="442"/>
      <c r="N38" s="442"/>
      <c r="O38" s="442"/>
    </row>
    <row r="39" spans="2:15" x14ac:dyDescent="0.2">
      <c r="B39" s="442"/>
      <c r="C39" s="581" t="s">
        <v>449</v>
      </c>
      <c r="D39" s="442"/>
      <c r="E39" s="442"/>
      <c r="F39" s="442"/>
      <c r="G39" s="442"/>
      <c r="H39" s="442"/>
      <c r="I39" s="442"/>
      <c r="J39" s="442"/>
      <c r="K39" s="442"/>
      <c r="L39" s="442"/>
      <c r="M39" s="442"/>
      <c r="N39" s="442"/>
      <c r="O39" s="442"/>
    </row>
    <row r="40" spans="2:15" x14ac:dyDescent="0.2">
      <c r="B40" s="442"/>
      <c r="C40" s="581"/>
      <c r="D40" s="442"/>
      <c r="E40" s="442"/>
      <c r="F40" s="442"/>
      <c r="G40" s="442"/>
      <c r="H40" s="442"/>
      <c r="I40" s="442"/>
      <c r="J40" s="442"/>
      <c r="K40" s="442"/>
      <c r="L40" s="442"/>
      <c r="M40" s="442"/>
      <c r="N40" s="442"/>
      <c r="O40" s="442"/>
    </row>
    <row r="41" spans="2:15" x14ac:dyDescent="0.2">
      <c r="B41" s="442"/>
      <c r="C41" s="585" t="s">
        <v>452</v>
      </c>
      <c r="D41" s="442"/>
      <c r="E41" s="442"/>
      <c r="F41" s="442"/>
      <c r="G41" s="442"/>
      <c r="H41" s="442"/>
      <c r="I41" s="442"/>
      <c r="J41" s="442"/>
      <c r="K41" s="442"/>
      <c r="L41" s="442"/>
      <c r="M41" s="442"/>
      <c r="N41" s="442"/>
      <c r="O41" s="442"/>
    </row>
    <row r="42" spans="2:15" x14ac:dyDescent="0.2">
      <c r="B42" s="442"/>
      <c r="C42" s="583"/>
      <c r="D42" s="442"/>
      <c r="E42" s="442"/>
      <c r="F42" s="442"/>
      <c r="G42" s="442"/>
      <c r="H42" s="442"/>
      <c r="I42" s="442"/>
      <c r="J42" s="442"/>
      <c r="K42" s="442"/>
      <c r="L42" s="442"/>
      <c r="M42" s="442"/>
      <c r="N42" s="442"/>
      <c r="O42" s="442"/>
    </row>
    <row r="43" spans="2:15" x14ac:dyDescent="0.2">
      <c r="B43" s="442"/>
      <c r="C43" s="672" t="s">
        <v>453</v>
      </c>
      <c r="D43" s="442"/>
      <c r="E43" s="442"/>
      <c r="F43" s="442"/>
      <c r="G43" s="442"/>
      <c r="H43" s="442"/>
      <c r="I43" s="442"/>
      <c r="J43" s="442"/>
      <c r="K43" s="442"/>
      <c r="L43" s="442"/>
      <c r="M43" s="442"/>
      <c r="N43" s="442"/>
      <c r="O43" s="442"/>
    </row>
    <row r="44" spans="2:15" x14ac:dyDescent="0.2">
      <c r="B44" s="442"/>
      <c r="C44" s="580" t="s">
        <v>460</v>
      </c>
      <c r="D44" s="442"/>
      <c r="E44" s="442"/>
      <c r="F44" s="442"/>
      <c r="G44" s="442"/>
      <c r="H44" s="442"/>
      <c r="I44" s="442"/>
      <c r="J44" s="442"/>
      <c r="K44" s="442"/>
      <c r="L44" s="442"/>
      <c r="M44" s="442"/>
      <c r="N44" s="442"/>
      <c r="O44" s="442"/>
    </row>
    <row r="45" spans="2:15" x14ac:dyDescent="0.2">
      <c r="B45" s="442"/>
      <c r="C45" s="442"/>
      <c r="D45" s="442"/>
      <c r="E45" s="442"/>
      <c r="F45" s="442"/>
      <c r="G45" s="442"/>
      <c r="H45" s="442"/>
      <c r="I45" s="442"/>
      <c r="J45" s="442"/>
      <c r="K45" s="442"/>
      <c r="L45" s="442"/>
      <c r="M45" s="442"/>
      <c r="N45" s="442"/>
      <c r="O45" s="442"/>
    </row>
    <row r="46" spans="2:15" x14ac:dyDescent="0.2">
      <c r="B46" s="442"/>
      <c r="C46" s="449" t="s">
        <v>405</v>
      </c>
      <c r="D46" s="442"/>
      <c r="E46" s="442"/>
      <c r="F46" s="442"/>
      <c r="G46" s="442"/>
      <c r="H46" s="442"/>
      <c r="I46" s="442"/>
      <c r="J46" s="442"/>
      <c r="K46" s="442"/>
      <c r="L46" s="442"/>
      <c r="M46" s="442"/>
      <c r="N46" s="442"/>
      <c r="O46" s="442"/>
    </row>
    <row r="47" spans="2:15" x14ac:dyDescent="0.2">
      <c r="B47" s="442"/>
      <c r="C47" s="442" t="s">
        <v>317</v>
      </c>
      <c r="D47" s="442"/>
      <c r="E47" s="442"/>
      <c r="F47" s="442"/>
      <c r="G47" s="442"/>
      <c r="H47" s="442"/>
      <c r="I47" s="442"/>
      <c r="J47" s="442"/>
      <c r="K47" s="442"/>
      <c r="L47" s="442"/>
      <c r="M47" s="442"/>
      <c r="N47" s="442"/>
      <c r="O47" s="442"/>
    </row>
    <row r="48" spans="2:15" x14ac:dyDescent="0.2">
      <c r="B48" s="442"/>
      <c r="C48" s="449" t="s">
        <v>392</v>
      </c>
      <c r="D48" s="442"/>
      <c r="E48" s="442"/>
      <c r="F48" s="442"/>
      <c r="G48" s="442"/>
      <c r="H48" s="442"/>
      <c r="I48" s="442"/>
      <c r="J48" s="442"/>
      <c r="K48" s="442"/>
      <c r="L48" s="442"/>
      <c r="M48" s="442"/>
      <c r="N48" s="442"/>
      <c r="O48" s="442"/>
    </row>
    <row r="49" spans="2:15" x14ac:dyDescent="0.2">
      <c r="B49" s="442"/>
      <c r="C49" s="442"/>
      <c r="D49" s="442"/>
      <c r="E49" s="442"/>
      <c r="F49" s="442"/>
      <c r="G49" s="442"/>
      <c r="H49" s="442"/>
      <c r="I49" s="442"/>
      <c r="J49" s="442"/>
      <c r="K49" s="442"/>
      <c r="L49" s="442"/>
      <c r="M49" s="442"/>
      <c r="N49" s="442"/>
      <c r="O49" s="442"/>
    </row>
    <row r="50" spans="2:15" x14ac:dyDescent="0.2">
      <c r="B50" s="442"/>
      <c r="C50" s="442" t="s">
        <v>395</v>
      </c>
      <c r="D50" s="442"/>
      <c r="E50" s="442"/>
      <c r="F50" s="442"/>
      <c r="G50" s="442"/>
      <c r="H50" s="442"/>
      <c r="I50" s="442"/>
      <c r="J50" s="442"/>
      <c r="K50" s="442"/>
      <c r="L50" s="442"/>
      <c r="M50" s="442"/>
      <c r="N50" s="442"/>
      <c r="O50" s="442"/>
    </row>
    <row r="51" spans="2:15" x14ac:dyDescent="0.2">
      <c r="B51" s="442"/>
      <c r="C51" s="442" t="s">
        <v>305</v>
      </c>
      <c r="D51" s="442"/>
      <c r="E51" s="442"/>
      <c r="F51" s="442"/>
      <c r="G51" s="442"/>
      <c r="H51" s="442"/>
      <c r="I51" s="442"/>
      <c r="J51" s="442"/>
      <c r="K51" s="442"/>
      <c r="L51" s="442"/>
      <c r="M51" s="442"/>
      <c r="N51" s="442"/>
      <c r="O51" s="442"/>
    </row>
    <row r="52" spans="2:15" x14ac:dyDescent="0.2">
      <c r="B52" s="442"/>
      <c r="C52" s="449" t="s">
        <v>424</v>
      </c>
      <c r="D52" s="442"/>
      <c r="E52" s="442"/>
      <c r="F52" s="442"/>
      <c r="G52" s="442"/>
      <c r="H52" s="442"/>
      <c r="I52" s="442"/>
      <c r="J52" s="442"/>
      <c r="K52" s="442"/>
      <c r="L52" s="442"/>
      <c r="M52" s="442"/>
      <c r="N52" s="442"/>
      <c r="O52" s="442"/>
    </row>
    <row r="53" spans="2:15" x14ac:dyDescent="0.2">
      <c r="B53" s="442"/>
      <c r="C53" s="449" t="s">
        <v>436</v>
      </c>
      <c r="D53" s="442"/>
      <c r="E53" s="442"/>
      <c r="F53" s="442"/>
      <c r="G53" s="442"/>
      <c r="H53" s="442"/>
      <c r="I53" s="442"/>
      <c r="J53" s="442"/>
      <c r="K53" s="442"/>
      <c r="L53" s="442"/>
      <c r="M53" s="442"/>
      <c r="N53" s="442"/>
      <c r="O53" s="442"/>
    </row>
    <row r="54" spans="2:15" x14ac:dyDescent="0.2">
      <c r="B54" s="442"/>
      <c r="C54" s="449" t="s">
        <v>425</v>
      </c>
      <c r="D54" s="442"/>
      <c r="E54" s="442"/>
      <c r="F54" s="442"/>
      <c r="G54" s="442"/>
      <c r="H54" s="442"/>
      <c r="I54" s="442"/>
      <c r="J54" s="442"/>
      <c r="K54" s="442"/>
      <c r="L54" s="442"/>
      <c r="M54" s="442"/>
      <c r="N54" s="442"/>
      <c r="O54" s="442"/>
    </row>
    <row r="55" spans="2:15" x14ac:dyDescent="0.2">
      <c r="B55" s="442"/>
      <c r="C55" s="442" t="s">
        <v>262</v>
      </c>
      <c r="D55" s="442"/>
      <c r="E55" s="442"/>
      <c r="F55" s="442"/>
      <c r="G55" s="442"/>
      <c r="H55" s="442"/>
      <c r="I55" s="442"/>
      <c r="J55" s="442"/>
      <c r="K55" s="442"/>
      <c r="L55" s="442"/>
      <c r="M55" s="442"/>
      <c r="N55" s="442"/>
      <c r="O55" s="442"/>
    </row>
    <row r="56" spans="2:15" x14ac:dyDescent="0.2">
      <c r="B56" s="442"/>
      <c r="C56" s="449" t="s">
        <v>426</v>
      </c>
      <c r="D56" s="442"/>
      <c r="E56" s="442"/>
      <c r="F56" s="442"/>
      <c r="G56" s="411"/>
      <c r="H56" s="442"/>
      <c r="I56" s="442"/>
      <c r="J56" s="442"/>
      <c r="K56" s="442"/>
      <c r="L56" s="442"/>
      <c r="M56" s="442"/>
      <c r="N56" s="442"/>
      <c r="O56" s="442"/>
    </row>
    <row r="57" spans="2:15" s="440" customFormat="1" x14ac:dyDescent="0.2">
      <c r="B57" s="449"/>
      <c r="C57" s="587" t="s">
        <v>454</v>
      </c>
      <c r="D57" s="449"/>
      <c r="E57" s="449"/>
      <c r="F57" s="449"/>
      <c r="G57" s="449"/>
      <c r="H57" s="449"/>
      <c r="I57" s="449"/>
      <c r="J57" s="449"/>
      <c r="K57" s="449"/>
      <c r="L57" s="449"/>
      <c r="M57" s="449"/>
      <c r="N57" s="449"/>
      <c r="O57" s="449"/>
    </row>
    <row r="58" spans="2:15" s="440" customFormat="1" x14ac:dyDescent="0.2">
      <c r="B58" s="449"/>
      <c r="C58" s="587" t="s">
        <v>437</v>
      </c>
      <c r="D58" s="449"/>
      <c r="E58" s="449"/>
      <c r="F58" s="449"/>
      <c r="G58" s="449"/>
      <c r="H58" s="449"/>
      <c r="I58" s="449"/>
      <c r="J58" s="449"/>
      <c r="K58" s="449"/>
      <c r="L58" s="449"/>
      <c r="M58" s="449"/>
      <c r="N58" s="449"/>
      <c r="O58" s="449"/>
    </row>
    <row r="59" spans="2:15" x14ac:dyDescent="0.2">
      <c r="B59" s="442"/>
      <c r="C59" s="579"/>
      <c r="D59" s="442"/>
      <c r="E59" s="442"/>
      <c r="F59" s="442"/>
      <c r="G59" s="442"/>
      <c r="H59" s="442"/>
      <c r="I59" s="442"/>
      <c r="J59" s="442"/>
      <c r="K59" s="442"/>
      <c r="L59" s="442"/>
      <c r="M59" s="442"/>
      <c r="N59" s="442"/>
      <c r="O59" s="442"/>
    </row>
    <row r="60" spans="2:15" x14ac:dyDescent="0.2">
      <c r="B60" s="442"/>
      <c r="C60" s="449" t="s">
        <v>397</v>
      </c>
      <c r="D60" s="442"/>
      <c r="E60" s="442"/>
      <c r="F60" s="442"/>
      <c r="G60" s="442"/>
      <c r="H60" s="442"/>
      <c r="I60" s="442"/>
      <c r="J60" s="442"/>
      <c r="K60" s="442"/>
      <c r="L60" s="442"/>
      <c r="M60" s="442"/>
      <c r="N60" s="442"/>
      <c r="O60" s="442"/>
    </row>
    <row r="61" spans="2:15" x14ac:dyDescent="0.2">
      <c r="B61" s="442"/>
      <c r="C61" s="442" t="s">
        <v>321</v>
      </c>
      <c r="D61" s="442"/>
      <c r="E61" s="442"/>
      <c r="F61" s="442"/>
      <c r="G61" s="442"/>
      <c r="H61" s="442"/>
      <c r="I61" s="442"/>
      <c r="J61" s="442"/>
      <c r="K61" s="442"/>
      <c r="L61" s="442"/>
      <c r="M61" s="442"/>
      <c r="N61" s="442"/>
      <c r="O61" s="442"/>
    </row>
    <row r="62" spans="2:15" x14ac:dyDescent="0.2">
      <c r="B62" s="442"/>
      <c r="C62" s="442"/>
      <c r="D62" s="442"/>
      <c r="E62" s="442"/>
      <c r="F62" s="442"/>
      <c r="G62" s="442"/>
      <c r="H62" s="442"/>
      <c r="I62" s="442"/>
      <c r="J62" s="442"/>
      <c r="K62" s="442"/>
      <c r="L62" s="442"/>
      <c r="M62" s="442"/>
      <c r="N62" s="442"/>
      <c r="O62" s="442"/>
    </row>
    <row r="63" spans="2:15" x14ac:dyDescent="0.2">
      <c r="B63" s="442"/>
      <c r="C63" s="449" t="s">
        <v>427</v>
      </c>
      <c r="D63" s="442"/>
      <c r="E63" s="442"/>
      <c r="F63" s="442"/>
      <c r="G63" s="442"/>
      <c r="H63" s="442"/>
      <c r="I63" s="442"/>
      <c r="J63" s="442"/>
      <c r="K63" s="442"/>
      <c r="L63" s="442"/>
      <c r="M63" s="442"/>
      <c r="N63" s="442"/>
      <c r="O63" s="442"/>
    </row>
    <row r="64" spans="2:15" x14ac:dyDescent="0.2">
      <c r="B64" s="442"/>
      <c r="C64" s="442" t="s">
        <v>333</v>
      </c>
      <c r="D64" s="442"/>
      <c r="E64" s="442"/>
      <c r="F64" s="442"/>
      <c r="G64" s="442"/>
      <c r="H64" s="442"/>
      <c r="I64" s="442"/>
      <c r="J64" s="442"/>
      <c r="K64" s="442"/>
      <c r="L64" s="442"/>
      <c r="M64" s="442"/>
      <c r="N64" s="442"/>
      <c r="O64" s="442"/>
    </row>
    <row r="65" spans="1:15" x14ac:dyDescent="0.2">
      <c r="B65" s="442"/>
      <c r="C65" s="442"/>
      <c r="D65" s="442"/>
      <c r="E65" s="442"/>
      <c r="F65" s="442"/>
      <c r="G65" s="442"/>
      <c r="H65" s="451"/>
      <c r="I65" s="451"/>
      <c r="J65" s="451"/>
      <c r="K65" s="442"/>
      <c r="L65" s="442"/>
      <c r="M65" s="442"/>
      <c r="N65" s="442"/>
      <c r="O65" s="442"/>
    </row>
    <row r="66" spans="1:15" x14ac:dyDescent="0.2">
      <c r="B66" s="442"/>
      <c r="C66" s="442" t="s">
        <v>306</v>
      </c>
      <c r="D66" s="442"/>
      <c r="E66" s="442"/>
      <c r="F66" s="442"/>
      <c r="G66" s="442"/>
      <c r="H66" s="451"/>
      <c r="I66" s="451"/>
      <c r="J66" s="451"/>
      <c r="K66" s="442"/>
      <c r="L66" s="442"/>
      <c r="M66" s="442"/>
      <c r="N66" s="442"/>
      <c r="O66" s="442"/>
    </row>
    <row r="67" spans="1:15" x14ac:dyDescent="0.2">
      <c r="A67" s="439"/>
      <c r="B67" s="446"/>
      <c r="C67" s="442"/>
      <c r="D67" s="442"/>
      <c r="E67" s="442"/>
      <c r="F67" s="442"/>
      <c r="G67" s="442"/>
      <c r="H67" s="451"/>
      <c r="I67" s="451"/>
      <c r="J67" s="451"/>
      <c r="K67" s="442"/>
      <c r="L67" s="442"/>
      <c r="M67" s="442"/>
      <c r="N67" s="442"/>
      <c r="O67" s="442"/>
    </row>
    <row r="68" spans="1:15" x14ac:dyDescent="0.2">
      <c r="B68" s="442"/>
      <c r="C68" s="445" t="s">
        <v>34</v>
      </c>
      <c r="D68" s="442"/>
      <c r="E68" s="442"/>
      <c r="F68" s="442"/>
      <c r="G68" s="442"/>
      <c r="H68" s="451"/>
      <c r="I68" s="451"/>
      <c r="J68" s="451"/>
      <c r="K68" s="442"/>
      <c r="L68" s="442"/>
      <c r="M68" s="442"/>
      <c r="N68" s="442"/>
      <c r="O68" s="442"/>
    </row>
    <row r="69" spans="1:15" x14ac:dyDescent="0.2">
      <c r="B69" s="442"/>
      <c r="C69" s="459" t="s">
        <v>383</v>
      </c>
      <c r="D69" s="442"/>
      <c r="E69" s="442"/>
      <c r="F69" s="442"/>
      <c r="G69" s="442"/>
      <c r="H69" s="451"/>
      <c r="I69" s="451"/>
      <c r="J69" s="451"/>
      <c r="K69" s="442"/>
      <c r="L69" s="442"/>
      <c r="M69" s="442"/>
      <c r="N69" s="442"/>
      <c r="O69" s="442"/>
    </row>
    <row r="70" spans="1:15" x14ac:dyDescent="0.2">
      <c r="B70" s="442"/>
      <c r="C70" s="452" t="s">
        <v>252</v>
      </c>
      <c r="D70" s="442"/>
      <c r="E70" s="442"/>
      <c r="F70" s="442"/>
      <c r="G70" s="442"/>
      <c r="H70" s="451"/>
      <c r="I70" s="451"/>
      <c r="J70" s="451"/>
      <c r="K70" s="442"/>
      <c r="L70" s="442"/>
      <c r="M70" s="442"/>
      <c r="N70" s="442"/>
      <c r="O70" s="442"/>
    </row>
    <row r="71" spans="1:15" x14ac:dyDescent="0.2">
      <c r="B71" s="442"/>
      <c r="C71" s="452" t="s">
        <v>213</v>
      </c>
      <c r="D71" s="442"/>
      <c r="E71" s="442"/>
      <c r="F71" s="442"/>
      <c r="G71" s="442"/>
      <c r="H71" s="451"/>
      <c r="I71" s="451"/>
      <c r="J71" s="451"/>
      <c r="K71" s="442"/>
      <c r="L71" s="442"/>
      <c r="M71" s="442"/>
      <c r="N71" s="442"/>
      <c r="O71" s="442"/>
    </row>
    <row r="72" spans="1:15" x14ac:dyDescent="0.2">
      <c r="B72" s="442"/>
      <c r="C72" s="452" t="s">
        <v>235</v>
      </c>
      <c r="D72" s="442"/>
      <c r="E72" s="442"/>
      <c r="F72" s="442"/>
      <c r="G72" s="442"/>
      <c r="H72" s="451"/>
      <c r="I72" s="451"/>
      <c r="J72" s="451"/>
      <c r="K72" s="442"/>
      <c r="L72" s="442"/>
      <c r="M72" s="442"/>
      <c r="N72" s="442"/>
      <c r="O72" s="442"/>
    </row>
    <row r="73" spans="1:15" x14ac:dyDescent="0.2">
      <c r="B73" s="442"/>
      <c r="C73" s="452" t="s">
        <v>308</v>
      </c>
      <c r="D73" s="442"/>
      <c r="E73" s="442"/>
      <c r="F73" s="442"/>
      <c r="G73" s="442"/>
      <c r="H73" s="451"/>
      <c r="I73" s="451"/>
      <c r="J73" s="451"/>
      <c r="K73" s="442"/>
      <c r="L73" s="442"/>
      <c r="M73" s="442"/>
      <c r="N73" s="442"/>
      <c r="O73" s="442"/>
    </row>
    <row r="74" spans="1:15" x14ac:dyDescent="0.2">
      <c r="B74" s="442"/>
      <c r="C74" s="452" t="s">
        <v>309</v>
      </c>
      <c r="D74" s="442"/>
      <c r="E74" s="442"/>
      <c r="F74" s="442"/>
      <c r="G74" s="442"/>
      <c r="H74" s="451"/>
      <c r="I74" s="451"/>
      <c r="J74" s="451"/>
      <c r="K74" s="442"/>
      <c r="L74" s="442"/>
      <c r="M74" s="442"/>
      <c r="N74" s="442"/>
      <c r="O74" s="442"/>
    </row>
    <row r="75" spans="1:15" x14ac:dyDescent="0.2">
      <c r="B75" s="442"/>
      <c r="C75" s="452" t="s">
        <v>310</v>
      </c>
      <c r="D75" s="442"/>
      <c r="E75" s="442"/>
      <c r="F75" s="442"/>
      <c r="G75" s="442"/>
      <c r="H75" s="451"/>
      <c r="I75" s="451"/>
      <c r="J75" s="451"/>
      <c r="K75" s="442"/>
      <c r="L75" s="442"/>
      <c r="M75" s="442"/>
      <c r="N75" s="442"/>
      <c r="O75" s="442"/>
    </row>
    <row r="76" spans="1:15" x14ac:dyDescent="0.2">
      <c r="B76" s="442"/>
      <c r="C76" s="453"/>
      <c r="D76" s="442"/>
      <c r="E76" s="442"/>
      <c r="F76" s="442"/>
      <c r="G76" s="442"/>
      <c r="H76" s="451"/>
      <c r="I76" s="451"/>
      <c r="J76" s="451"/>
      <c r="K76" s="442"/>
      <c r="L76" s="442"/>
      <c r="M76" s="442"/>
      <c r="N76" s="442"/>
      <c r="O76" s="442"/>
    </row>
    <row r="77" spans="1:15" x14ac:dyDescent="0.2">
      <c r="B77" s="442"/>
      <c r="C77" s="453" t="s">
        <v>120</v>
      </c>
      <c r="D77" s="442"/>
      <c r="E77" s="442"/>
      <c r="F77" s="442"/>
      <c r="G77" s="442"/>
      <c r="H77" s="451"/>
      <c r="I77" s="451"/>
      <c r="J77" s="451"/>
      <c r="K77" s="442"/>
      <c r="L77" s="442"/>
      <c r="M77" s="442"/>
      <c r="N77" s="442"/>
      <c r="O77" s="442"/>
    </row>
    <row r="78" spans="1:15" x14ac:dyDescent="0.2">
      <c r="B78" s="442"/>
      <c r="C78" s="453" t="s">
        <v>121</v>
      </c>
      <c r="D78" s="442"/>
      <c r="E78" s="442"/>
      <c r="F78" s="442"/>
      <c r="G78" s="442"/>
      <c r="H78" s="451"/>
      <c r="I78" s="451"/>
      <c r="J78" s="451"/>
      <c r="K78" s="442"/>
      <c r="L78" s="442"/>
      <c r="M78" s="442"/>
      <c r="N78" s="442"/>
      <c r="O78" s="442"/>
    </row>
    <row r="79" spans="1:15" x14ac:dyDescent="0.2">
      <c r="B79" s="442"/>
      <c r="C79" s="453" t="s">
        <v>311</v>
      </c>
      <c r="D79" s="442"/>
      <c r="E79" s="442"/>
      <c r="F79" s="442"/>
      <c r="G79" s="442"/>
      <c r="H79" s="451"/>
      <c r="I79" s="451"/>
      <c r="J79" s="451"/>
      <c r="K79" s="442"/>
      <c r="L79" s="442"/>
      <c r="M79" s="442"/>
      <c r="N79" s="442"/>
      <c r="O79" s="442"/>
    </row>
    <row r="80" spans="1:15" x14ac:dyDescent="0.2">
      <c r="B80" s="442"/>
      <c r="C80" s="450" t="s">
        <v>384</v>
      </c>
      <c r="D80" s="442"/>
      <c r="E80" s="442"/>
      <c r="F80" s="442"/>
      <c r="G80" s="442"/>
      <c r="H80" s="451"/>
      <c r="I80" s="451"/>
      <c r="J80" s="451"/>
      <c r="K80" s="442"/>
      <c r="L80" s="442"/>
      <c r="M80" s="442"/>
      <c r="N80" s="442"/>
      <c r="O80" s="442"/>
    </row>
    <row r="81" spans="2:15" x14ac:dyDescent="0.2">
      <c r="B81" s="442"/>
      <c r="C81" s="445"/>
      <c r="D81" s="442"/>
      <c r="E81" s="442"/>
      <c r="F81" s="442"/>
      <c r="G81" s="442"/>
      <c r="H81" s="451"/>
      <c r="I81" s="451"/>
      <c r="J81" s="451"/>
      <c r="K81" s="442"/>
      <c r="L81" s="442"/>
      <c r="M81" s="442"/>
      <c r="N81" s="442"/>
      <c r="O81" s="442"/>
    </row>
    <row r="82" spans="2:15" x14ac:dyDescent="0.2">
      <c r="B82" s="442"/>
      <c r="C82" s="442" t="s">
        <v>69</v>
      </c>
      <c r="D82" s="442"/>
      <c r="E82" s="442"/>
      <c r="F82" s="442"/>
      <c r="G82" s="442"/>
      <c r="H82" s="451"/>
      <c r="I82" s="451"/>
      <c r="J82" s="451"/>
      <c r="K82" s="442"/>
      <c r="L82" s="442"/>
      <c r="M82" s="442"/>
      <c r="N82" s="442"/>
      <c r="O82" s="442"/>
    </row>
    <row r="83" spans="2:15" x14ac:dyDescent="0.2">
      <c r="B83" s="442"/>
      <c r="C83" s="442" t="s">
        <v>70</v>
      </c>
      <c r="D83" s="442"/>
      <c r="E83" s="442"/>
      <c r="F83" s="442"/>
      <c r="G83" s="442"/>
      <c r="H83" s="451"/>
      <c r="I83" s="451"/>
      <c r="J83" s="451"/>
      <c r="K83" s="442"/>
      <c r="L83" s="442"/>
      <c r="M83" s="442"/>
      <c r="N83" s="442"/>
      <c r="O83" s="442"/>
    </row>
    <row r="84" spans="2:15" x14ac:dyDescent="0.2">
      <c r="B84" s="442"/>
      <c r="C84" s="442" t="s">
        <v>312</v>
      </c>
      <c r="D84" s="442"/>
      <c r="E84" s="442"/>
      <c r="F84" s="442"/>
      <c r="G84" s="442"/>
      <c r="H84" s="451"/>
      <c r="I84" s="451"/>
      <c r="J84" s="451"/>
      <c r="K84" s="442"/>
      <c r="L84" s="442"/>
      <c r="M84" s="442"/>
      <c r="N84" s="442"/>
      <c r="O84" s="442"/>
    </row>
    <row r="85" spans="2:15" x14ac:dyDescent="0.2">
      <c r="B85" s="442"/>
      <c r="C85" s="442"/>
      <c r="D85" s="442"/>
      <c r="E85" s="442"/>
      <c r="F85" s="442"/>
      <c r="G85" s="442"/>
      <c r="H85" s="451"/>
      <c r="I85" s="451"/>
      <c r="J85" s="451"/>
      <c r="K85" s="442"/>
      <c r="L85" s="442"/>
      <c r="M85" s="442"/>
      <c r="N85" s="442"/>
      <c r="O85" s="442"/>
    </row>
    <row r="86" spans="2:15" x14ac:dyDescent="0.2">
      <c r="B86" s="442"/>
      <c r="C86" s="442" t="s">
        <v>236</v>
      </c>
      <c r="D86" s="442"/>
      <c r="E86" s="442"/>
      <c r="F86" s="442"/>
      <c r="G86" s="442"/>
      <c r="H86" s="451"/>
      <c r="I86" s="451"/>
      <c r="J86" s="451"/>
      <c r="K86" s="442"/>
      <c r="L86" s="442"/>
      <c r="M86" s="442"/>
      <c r="N86" s="442"/>
      <c r="O86" s="442"/>
    </row>
    <row r="87" spans="2:15" x14ac:dyDescent="0.2">
      <c r="B87" s="442"/>
      <c r="C87" s="442" t="s">
        <v>237</v>
      </c>
      <c r="D87" s="442"/>
      <c r="E87" s="442"/>
      <c r="F87" s="442"/>
      <c r="G87" s="442"/>
      <c r="H87" s="451"/>
      <c r="I87" s="451"/>
      <c r="J87" s="451"/>
      <c r="K87" s="442"/>
      <c r="L87" s="442"/>
      <c r="M87" s="442"/>
      <c r="N87" s="442"/>
      <c r="O87" s="442"/>
    </row>
    <row r="88" spans="2:15" x14ac:dyDescent="0.2">
      <c r="B88" s="442"/>
      <c r="C88" s="442" t="s">
        <v>238</v>
      </c>
      <c r="D88" s="442"/>
      <c r="E88" s="442"/>
      <c r="F88" s="442"/>
      <c r="G88" s="442"/>
      <c r="H88" s="451"/>
      <c r="I88" s="451"/>
      <c r="J88" s="451"/>
      <c r="K88" s="442"/>
      <c r="L88" s="454"/>
      <c r="M88" s="454"/>
      <c r="N88" s="442"/>
      <c r="O88" s="442"/>
    </row>
    <row r="89" spans="2:15" x14ac:dyDescent="0.2">
      <c r="B89" s="442"/>
      <c r="C89" s="442" t="s">
        <v>214</v>
      </c>
      <c r="D89" s="442"/>
      <c r="E89" s="442"/>
      <c r="F89" s="442"/>
      <c r="G89" s="442"/>
      <c r="H89" s="451"/>
      <c r="I89" s="451"/>
      <c r="J89" s="451"/>
      <c r="K89" s="442"/>
      <c r="L89" s="454"/>
      <c r="M89" s="454"/>
      <c r="N89" s="442"/>
      <c r="O89" s="442"/>
    </row>
    <row r="90" spans="2:15" x14ac:dyDescent="0.2">
      <c r="B90" s="442"/>
      <c r="C90" s="442"/>
      <c r="D90" s="442"/>
      <c r="E90" s="442"/>
      <c r="F90" s="442"/>
      <c r="G90" s="442"/>
      <c r="H90" s="451"/>
      <c r="I90" s="451"/>
      <c r="J90" s="451"/>
      <c r="K90" s="442"/>
      <c r="L90" s="442"/>
      <c r="M90" s="442"/>
      <c r="N90" s="442"/>
      <c r="O90" s="442"/>
    </row>
    <row r="91" spans="2:15" x14ac:dyDescent="0.2">
      <c r="B91" s="442"/>
      <c r="C91" s="442" t="s">
        <v>313</v>
      </c>
      <c r="D91" s="442"/>
      <c r="E91" s="442"/>
      <c r="F91" s="442"/>
      <c r="G91" s="442"/>
      <c r="H91" s="451"/>
      <c r="I91" s="451"/>
      <c r="J91" s="451"/>
      <c r="K91" s="442"/>
      <c r="L91" s="442"/>
      <c r="M91" s="442"/>
      <c r="N91" s="442"/>
      <c r="O91" s="442"/>
    </row>
    <row r="92" spans="2:15" x14ac:dyDescent="0.2">
      <c r="B92" s="442"/>
      <c r="C92" s="442" t="s">
        <v>314</v>
      </c>
      <c r="D92" s="442"/>
      <c r="E92" s="442"/>
      <c r="F92" s="442"/>
      <c r="G92" s="442"/>
      <c r="H92" s="451"/>
      <c r="I92" s="451"/>
      <c r="J92" s="451"/>
      <c r="K92" s="442"/>
      <c r="L92" s="442"/>
      <c r="M92" s="442"/>
      <c r="N92" s="442"/>
      <c r="O92" s="442"/>
    </row>
    <row r="93" spans="2:15" x14ac:dyDescent="0.2">
      <c r="B93" s="442"/>
      <c r="C93" s="442" t="s">
        <v>256</v>
      </c>
      <c r="D93" s="442"/>
      <c r="E93" s="442"/>
      <c r="F93" s="442"/>
      <c r="G93" s="442"/>
      <c r="H93" s="451"/>
      <c r="I93" s="451"/>
      <c r="J93" s="451"/>
      <c r="K93" s="442"/>
      <c r="L93" s="442"/>
      <c r="M93" s="442"/>
      <c r="N93" s="442"/>
      <c r="O93" s="442"/>
    </row>
    <row r="94" spans="2:15" x14ac:dyDescent="0.2">
      <c r="B94" s="442"/>
      <c r="C94" s="449" t="s">
        <v>428</v>
      </c>
      <c r="D94" s="442"/>
      <c r="E94" s="442"/>
      <c r="F94" s="442"/>
      <c r="G94" s="442"/>
      <c r="H94" s="451"/>
      <c r="I94" s="451"/>
      <c r="J94" s="451"/>
      <c r="K94" s="442"/>
      <c r="L94" s="442"/>
      <c r="M94" s="442"/>
      <c r="N94" s="442"/>
      <c r="O94" s="442"/>
    </row>
    <row r="95" spans="2:15" x14ac:dyDescent="0.2">
      <c r="B95" s="442"/>
      <c r="C95" s="442"/>
      <c r="D95" s="442"/>
      <c r="E95" s="442"/>
      <c r="F95" s="442"/>
      <c r="G95" s="442"/>
      <c r="H95" s="451"/>
      <c r="I95" s="451"/>
      <c r="J95" s="451"/>
      <c r="K95" s="442"/>
      <c r="L95" s="442"/>
      <c r="M95" s="442"/>
      <c r="N95" s="442"/>
      <c r="O95" s="442"/>
    </row>
    <row r="96" spans="2:15" x14ac:dyDescent="0.2">
      <c r="B96" s="442"/>
      <c r="C96" s="442" t="s">
        <v>71</v>
      </c>
      <c r="D96" s="442"/>
      <c r="E96" s="442"/>
      <c r="F96" s="442"/>
      <c r="G96" s="442"/>
      <c r="H96" s="451"/>
      <c r="I96" s="451"/>
      <c r="J96" s="451"/>
      <c r="K96" s="442"/>
      <c r="L96" s="442"/>
      <c r="M96" s="442"/>
      <c r="N96" s="442"/>
      <c r="O96" s="442"/>
    </row>
    <row r="97" spans="2:15" x14ac:dyDescent="0.2">
      <c r="B97" s="442"/>
      <c r="C97" s="449" t="s">
        <v>407</v>
      </c>
      <c r="D97" s="442"/>
      <c r="E97" s="442"/>
      <c r="F97" s="442"/>
      <c r="G97" s="442"/>
      <c r="H97" s="451"/>
      <c r="I97" s="451"/>
      <c r="J97" s="451"/>
      <c r="K97" s="442"/>
      <c r="L97" s="442"/>
      <c r="M97" s="442"/>
      <c r="N97" s="442"/>
      <c r="O97" s="442"/>
    </row>
    <row r="98" spans="2:15" x14ac:dyDescent="0.2">
      <c r="B98" s="449"/>
      <c r="C98" s="449" t="s">
        <v>455</v>
      </c>
      <c r="D98" s="442"/>
      <c r="E98" s="442"/>
      <c r="F98" s="442"/>
      <c r="G98" s="442"/>
      <c r="H98" s="451"/>
      <c r="I98" s="451"/>
      <c r="J98" s="451"/>
      <c r="K98" s="442"/>
      <c r="L98" s="442"/>
      <c r="M98" s="442"/>
      <c r="N98" s="442"/>
      <c r="O98" s="442"/>
    </row>
    <row r="99" spans="2:15" x14ac:dyDescent="0.2">
      <c r="B99" s="449"/>
      <c r="C99" s="449" t="s">
        <v>409</v>
      </c>
      <c r="D99" s="442"/>
      <c r="E99" s="442"/>
      <c r="F99" s="442"/>
      <c r="G99" s="442"/>
      <c r="H99" s="451"/>
      <c r="I99" s="451"/>
      <c r="J99" s="451"/>
      <c r="K99" s="442"/>
      <c r="L99" s="442"/>
      <c r="M99" s="442"/>
      <c r="N99" s="442"/>
      <c r="O99" s="442"/>
    </row>
    <row r="100" spans="2:15" x14ac:dyDescent="0.2">
      <c r="B100" s="449"/>
      <c r="C100" s="449" t="s">
        <v>410</v>
      </c>
      <c r="D100" s="442"/>
      <c r="E100" s="442"/>
      <c r="F100" s="442"/>
      <c r="G100" s="442"/>
      <c r="H100" s="451"/>
      <c r="I100" s="451"/>
      <c r="J100" s="451"/>
      <c r="K100" s="442"/>
      <c r="L100" s="442"/>
      <c r="M100" s="442"/>
      <c r="N100" s="442"/>
      <c r="O100" s="442"/>
    </row>
    <row r="101" spans="2:15" x14ac:dyDescent="0.2">
      <c r="B101" s="449"/>
      <c r="C101" s="449" t="s">
        <v>411</v>
      </c>
      <c r="D101" s="442"/>
      <c r="E101" s="442"/>
      <c r="F101" s="442"/>
      <c r="G101" s="442"/>
      <c r="H101" s="451"/>
      <c r="I101" s="451"/>
      <c r="J101" s="451"/>
      <c r="K101" s="442"/>
      <c r="L101" s="442"/>
      <c r="M101" s="442"/>
      <c r="N101" s="442"/>
      <c r="O101" s="442"/>
    </row>
    <row r="102" spans="2:15" x14ac:dyDescent="0.2">
      <c r="B102" s="449"/>
      <c r="C102" s="449" t="s">
        <v>412</v>
      </c>
      <c r="D102" s="442"/>
      <c r="E102" s="442"/>
      <c r="F102" s="442"/>
      <c r="G102" s="442"/>
      <c r="H102" s="451"/>
      <c r="I102" s="451"/>
      <c r="J102" s="451"/>
      <c r="K102" s="442"/>
      <c r="L102" s="442"/>
      <c r="M102" s="442"/>
      <c r="N102" s="442"/>
      <c r="O102" s="442"/>
    </row>
    <row r="103" spans="2:15" x14ac:dyDescent="0.2">
      <c r="B103" s="449"/>
      <c r="C103" s="449"/>
      <c r="D103" s="442"/>
      <c r="E103" s="442"/>
      <c r="F103" s="442"/>
      <c r="G103" s="442"/>
      <c r="H103" s="451"/>
      <c r="I103" s="451"/>
      <c r="J103" s="451"/>
      <c r="K103" s="442"/>
      <c r="L103" s="442"/>
      <c r="M103" s="442"/>
      <c r="N103" s="442"/>
      <c r="O103" s="442"/>
    </row>
    <row r="104" spans="2:15" x14ac:dyDescent="0.2">
      <c r="B104" s="442"/>
      <c r="C104" s="449" t="s">
        <v>408</v>
      </c>
      <c r="D104" s="442"/>
      <c r="E104" s="442"/>
      <c r="F104" s="442"/>
      <c r="G104" s="442"/>
      <c r="H104" s="451"/>
      <c r="I104" s="451"/>
      <c r="J104" s="451"/>
      <c r="K104" s="442"/>
      <c r="L104" s="442"/>
      <c r="M104" s="442"/>
      <c r="N104" s="442"/>
      <c r="O104" s="442"/>
    </row>
    <row r="105" spans="2:15" x14ac:dyDescent="0.2">
      <c r="B105" s="442"/>
      <c r="C105" s="442" t="s">
        <v>307</v>
      </c>
      <c r="D105" s="442"/>
      <c r="E105" s="442"/>
      <c r="F105" s="442"/>
      <c r="G105" s="442"/>
      <c r="H105" s="451"/>
      <c r="I105" s="451"/>
      <c r="J105" s="451"/>
      <c r="K105" s="442"/>
      <c r="L105" s="442"/>
      <c r="M105" s="442"/>
      <c r="N105" s="442"/>
      <c r="O105" s="442"/>
    </row>
    <row r="106" spans="2:15" x14ac:dyDescent="0.2">
      <c r="B106" s="442"/>
      <c r="C106" s="442" t="s">
        <v>72</v>
      </c>
      <c r="D106" s="442"/>
      <c r="E106" s="442"/>
      <c r="F106" s="442"/>
      <c r="G106" s="442"/>
      <c r="H106" s="451"/>
      <c r="I106" s="451"/>
      <c r="J106" s="451"/>
      <c r="K106" s="442"/>
      <c r="L106" s="442"/>
      <c r="M106" s="442"/>
      <c r="N106" s="442"/>
      <c r="O106" s="442"/>
    </row>
    <row r="107" spans="2:15" x14ac:dyDescent="0.2">
      <c r="B107" s="442"/>
      <c r="C107" s="442"/>
      <c r="D107" s="442"/>
      <c r="E107" s="442"/>
      <c r="F107" s="442"/>
      <c r="G107" s="442"/>
      <c r="H107" s="451"/>
      <c r="I107" s="451"/>
      <c r="J107" s="451"/>
      <c r="K107" s="442"/>
      <c r="L107" s="442"/>
      <c r="M107" s="442"/>
      <c r="N107" s="442"/>
      <c r="O107" s="442"/>
    </row>
    <row r="108" spans="2:15" x14ac:dyDescent="0.2">
      <c r="B108" s="442"/>
      <c r="C108" s="453" t="s">
        <v>74</v>
      </c>
      <c r="D108" s="442"/>
      <c r="E108" s="442"/>
      <c r="F108" s="442"/>
      <c r="G108" s="442"/>
      <c r="H108" s="451"/>
      <c r="I108" s="451"/>
      <c r="J108" s="451"/>
      <c r="K108" s="442"/>
      <c r="L108" s="442"/>
      <c r="M108" s="442"/>
      <c r="N108" s="442"/>
      <c r="O108" s="442"/>
    </row>
    <row r="109" spans="2:15" x14ac:dyDescent="0.2">
      <c r="B109" s="442"/>
      <c r="C109" s="442" t="s">
        <v>225</v>
      </c>
      <c r="D109" s="442"/>
      <c r="E109" s="442"/>
      <c r="F109" s="442"/>
      <c r="G109" s="442"/>
      <c r="H109" s="451"/>
      <c r="I109" s="451"/>
      <c r="J109" s="451"/>
      <c r="K109" s="442"/>
      <c r="L109" s="442"/>
      <c r="M109" s="442"/>
      <c r="N109" s="442"/>
      <c r="O109" s="442"/>
    </row>
    <row r="110" spans="2:15" x14ac:dyDescent="0.2">
      <c r="B110" s="442"/>
      <c r="C110" s="442"/>
      <c r="D110" s="442"/>
      <c r="E110" s="442"/>
      <c r="F110" s="442"/>
      <c r="G110" s="442"/>
      <c r="H110" s="451"/>
      <c r="I110" s="451"/>
      <c r="J110" s="451"/>
      <c r="K110" s="442"/>
      <c r="L110" s="442"/>
      <c r="M110" s="442"/>
      <c r="N110" s="442"/>
      <c r="O110" s="442"/>
    </row>
    <row r="111" spans="2:15" x14ac:dyDescent="0.2">
      <c r="B111" s="442"/>
      <c r="C111" s="453" t="s">
        <v>75</v>
      </c>
      <c r="D111" s="442"/>
      <c r="E111" s="442"/>
      <c r="F111" s="442"/>
      <c r="G111" s="442"/>
      <c r="H111" s="451"/>
      <c r="I111" s="451"/>
      <c r="J111" s="451"/>
      <c r="K111" s="442"/>
      <c r="L111" s="442"/>
      <c r="M111" s="442"/>
      <c r="N111" s="442"/>
      <c r="O111" s="442"/>
    </row>
    <row r="112" spans="2:15" x14ac:dyDescent="0.2">
      <c r="B112" s="442"/>
      <c r="C112" s="442" t="s">
        <v>224</v>
      </c>
      <c r="D112" s="442"/>
      <c r="E112" s="442"/>
      <c r="F112" s="442"/>
      <c r="G112" s="442"/>
      <c r="H112" s="451"/>
      <c r="I112" s="451"/>
      <c r="J112" s="451"/>
      <c r="K112" s="442"/>
      <c r="L112" s="442"/>
      <c r="M112" s="442"/>
      <c r="N112" s="442"/>
      <c r="O112" s="442"/>
    </row>
    <row r="113" spans="1:15" x14ac:dyDescent="0.2">
      <c r="B113" s="442"/>
      <c r="C113" s="442"/>
      <c r="D113" s="442"/>
      <c r="E113" s="442"/>
      <c r="F113" s="442"/>
      <c r="G113" s="442"/>
      <c r="H113" s="451"/>
      <c r="I113" s="451"/>
      <c r="J113" s="451"/>
      <c r="K113" s="442"/>
      <c r="L113" s="442"/>
      <c r="M113" s="442"/>
      <c r="N113" s="442"/>
      <c r="O113" s="442"/>
    </row>
    <row r="114" spans="1:15" x14ac:dyDescent="0.2">
      <c r="B114" s="442"/>
      <c r="C114" s="453" t="s">
        <v>257</v>
      </c>
      <c r="D114" s="442"/>
      <c r="E114" s="442"/>
      <c r="F114" s="442"/>
      <c r="G114" s="442"/>
      <c r="H114" s="451"/>
      <c r="I114" s="451"/>
      <c r="J114" s="451"/>
      <c r="K114" s="442"/>
      <c r="L114" s="442"/>
      <c r="M114" s="442"/>
      <c r="N114" s="442"/>
      <c r="O114" s="442"/>
    </row>
    <row r="115" spans="1:15" x14ac:dyDescent="0.2">
      <c r="B115" s="442"/>
      <c r="C115" s="442" t="s">
        <v>258</v>
      </c>
      <c r="D115" s="442"/>
      <c r="E115" s="442"/>
      <c r="F115" s="442"/>
      <c r="G115" s="442"/>
      <c r="H115" s="451"/>
      <c r="I115" s="451"/>
      <c r="J115" s="451"/>
      <c r="K115" s="442"/>
      <c r="L115" s="442"/>
      <c r="M115" s="442"/>
      <c r="N115" s="442"/>
      <c r="O115" s="442"/>
    </row>
    <row r="116" spans="1:15" x14ac:dyDescent="0.2">
      <c r="B116" s="442"/>
      <c r="C116" s="442"/>
      <c r="D116" s="442"/>
      <c r="E116" s="442"/>
      <c r="F116" s="442"/>
      <c r="G116" s="442"/>
      <c r="H116" s="451"/>
      <c r="I116" s="451"/>
      <c r="J116" s="451"/>
      <c r="K116" s="442"/>
      <c r="L116" s="442"/>
      <c r="M116" s="442"/>
      <c r="N116" s="442"/>
      <c r="O116" s="442"/>
    </row>
    <row r="117" spans="1:15" x14ac:dyDescent="0.2">
      <c r="B117" s="442"/>
      <c r="C117" s="453" t="s">
        <v>122</v>
      </c>
      <c r="D117" s="442"/>
      <c r="E117" s="442"/>
      <c r="F117" s="442"/>
      <c r="G117" s="442"/>
      <c r="H117" s="451"/>
      <c r="I117" s="451"/>
      <c r="J117" s="451"/>
      <c r="K117" s="442"/>
      <c r="L117" s="442"/>
      <c r="M117" s="442"/>
      <c r="N117" s="442"/>
      <c r="O117" s="442"/>
    </row>
    <row r="118" spans="1:15" x14ac:dyDescent="0.2">
      <c r="B118" s="442"/>
      <c r="C118" s="442" t="s">
        <v>123</v>
      </c>
      <c r="D118" s="442"/>
      <c r="E118" s="442"/>
      <c r="F118" s="442"/>
      <c r="G118" s="442"/>
      <c r="H118" s="451"/>
      <c r="I118" s="451"/>
      <c r="J118" s="451"/>
      <c r="K118" s="442"/>
      <c r="L118" s="442"/>
      <c r="M118" s="442"/>
      <c r="N118" s="442"/>
      <c r="O118" s="442"/>
    </row>
    <row r="119" spans="1:15" x14ac:dyDescent="0.2">
      <c r="B119" s="442"/>
      <c r="C119" s="442"/>
      <c r="D119" s="442"/>
      <c r="E119" s="442"/>
      <c r="F119" s="442"/>
      <c r="G119" s="442"/>
      <c r="H119" s="451"/>
      <c r="I119" s="451"/>
      <c r="J119" s="451"/>
      <c r="K119" s="442"/>
      <c r="L119" s="442"/>
      <c r="M119" s="442"/>
      <c r="N119" s="442"/>
      <c r="O119" s="442"/>
    </row>
    <row r="120" spans="1:15" x14ac:dyDescent="0.2">
      <c r="B120" s="442"/>
      <c r="C120" s="453" t="s">
        <v>80</v>
      </c>
      <c r="D120" s="442"/>
      <c r="E120" s="442"/>
      <c r="F120" s="442"/>
      <c r="G120" s="442"/>
      <c r="H120" s="451"/>
      <c r="I120" s="451"/>
      <c r="J120" s="451"/>
      <c r="K120" s="442"/>
      <c r="L120" s="442"/>
      <c r="M120" s="442"/>
      <c r="N120" s="442"/>
      <c r="O120" s="442"/>
    </row>
    <row r="121" spans="1:15" x14ac:dyDescent="0.2">
      <c r="B121" s="442"/>
      <c r="C121" s="442" t="s">
        <v>263</v>
      </c>
      <c r="D121" s="442"/>
      <c r="E121" s="442"/>
      <c r="F121" s="442"/>
      <c r="G121" s="442"/>
      <c r="H121" s="451"/>
      <c r="I121" s="451"/>
      <c r="J121" s="451"/>
      <c r="K121" s="442"/>
      <c r="L121" s="442"/>
      <c r="M121" s="442"/>
      <c r="N121" s="442"/>
      <c r="O121" s="442"/>
    </row>
    <row r="122" spans="1:15" x14ac:dyDescent="0.2">
      <c r="B122" s="442"/>
      <c r="C122" s="442" t="s">
        <v>264</v>
      </c>
      <c r="D122" s="442"/>
      <c r="E122" s="442"/>
      <c r="F122" s="442"/>
      <c r="G122" s="442"/>
      <c r="H122" s="451"/>
      <c r="I122" s="451"/>
      <c r="J122" s="451"/>
      <c r="K122" s="442"/>
      <c r="L122" s="442"/>
      <c r="M122" s="442"/>
      <c r="N122" s="442"/>
      <c r="O122" s="442"/>
    </row>
    <row r="123" spans="1:15" hidden="1" x14ac:dyDescent="0.2">
      <c r="A123" s="439"/>
      <c r="B123" s="446"/>
      <c r="C123" s="442"/>
      <c r="D123" s="442"/>
      <c r="E123" s="442"/>
      <c r="F123" s="442"/>
      <c r="G123" s="442"/>
      <c r="H123" s="451"/>
      <c r="I123" s="451"/>
      <c r="J123" s="451"/>
      <c r="K123" s="442"/>
      <c r="L123" s="442"/>
      <c r="M123" s="442"/>
      <c r="N123" s="442"/>
      <c r="O123" s="442"/>
    </row>
    <row r="124" spans="1:15" hidden="1" x14ac:dyDescent="0.2">
      <c r="A124" s="439"/>
      <c r="B124" s="446"/>
      <c r="C124" s="445" t="s">
        <v>184</v>
      </c>
      <c r="D124" s="442"/>
      <c r="E124" s="442"/>
      <c r="F124" s="442"/>
      <c r="G124" s="442"/>
      <c r="H124" s="451"/>
      <c r="I124" s="451"/>
      <c r="J124" s="451"/>
      <c r="K124" s="442"/>
      <c r="L124" s="442"/>
      <c r="M124" s="442"/>
      <c r="N124" s="442"/>
      <c r="O124" s="442"/>
    </row>
    <row r="125" spans="1:15" hidden="1" x14ac:dyDescent="0.2">
      <c r="A125" s="439"/>
      <c r="B125" s="446"/>
      <c r="C125" s="453" t="s">
        <v>79</v>
      </c>
      <c r="D125" s="442"/>
      <c r="E125" s="442"/>
      <c r="F125" s="442"/>
      <c r="G125" s="442"/>
      <c r="H125" s="451"/>
      <c r="I125" s="451"/>
      <c r="J125" s="451"/>
      <c r="K125" s="442"/>
      <c r="L125" s="442"/>
      <c r="M125" s="442"/>
      <c r="N125" s="442"/>
      <c r="O125" s="442"/>
    </row>
    <row r="126" spans="1:15" hidden="1" x14ac:dyDescent="0.2">
      <c r="A126" s="439"/>
      <c r="B126" s="446"/>
      <c r="C126" s="442" t="s">
        <v>185</v>
      </c>
      <c r="D126" s="442"/>
      <c r="E126" s="442"/>
      <c r="F126" s="442"/>
      <c r="G126" s="442"/>
      <c r="H126" s="451"/>
      <c r="I126" s="451"/>
      <c r="J126" s="451"/>
      <c r="K126" s="442"/>
      <c r="L126" s="442"/>
      <c r="M126" s="442"/>
      <c r="N126" s="442"/>
      <c r="O126" s="442"/>
    </row>
    <row r="127" spans="1:15" hidden="1" x14ac:dyDescent="0.2">
      <c r="A127" s="439"/>
      <c r="B127" s="446"/>
      <c r="C127" s="442" t="s">
        <v>265</v>
      </c>
      <c r="D127" s="442"/>
      <c r="E127" s="442"/>
      <c r="F127" s="442"/>
      <c r="G127" s="442"/>
      <c r="H127" s="451"/>
      <c r="I127" s="451"/>
      <c r="J127" s="451"/>
      <c r="K127" s="442"/>
      <c r="L127" s="442"/>
      <c r="M127" s="442"/>
      <c r="N127" s="442"/>
      <c r="O127" s="442"/>
    </row>
    <row r="128" spans="1:15" hidden="1" x14ac:dyDescent="0.2">
      <c r="A128" s="439"/>
      <c r="B128" s="446"/>
      <c r="C128" s="442"/>
      <c r="D128" s="442"/>
      <c r="E128" s="455"/>
      <c r="F128" s="456"/>
      <c r="G128" s="442"/>
      <c r="H128" s="451"/>
      <c r="I128" s="451"/>
      <c r="J128" s="451"/>
      <c r="K128" s="442"/>
      <c r="L128" s="442"/>
      <c r="M128" s="442"/>
      <c r="N128" s="442"/>
      <c r="O128" s="442"/>
    </row>
    <row r="129" spans="1:15" hidden="1" x14ac:dyDescent="0.2">
      <c r="A129" s="439"/>
      <c r="B129" s="446"/>
      <c r="C129" s="442" t="s">
        <v>243</v>
      </c>
      <c r="D129" s="442"/>
      <c r="E129" s="455"/>
      <c r="F129" s="456"/>
      <c r="G129" s="442"/>
      <c r="H129" s="451"/>
      <c r="I129" s="451"/>
      <c r="J129" s="451"/>
      <c r="K129" s="442"/>
      <c r="L129" s="442"/>
      <c r="M129" s="442"/>
      <c r="N129" s="442"/>
      <c r="O129" s="442"/>
    </row>
    <row r="130" spans="1:15" hidden="1" x14ac:dyDescent="0.2">
      <c r="A130" s="439"/>
      <c r="B130" s="446"/>
      <c r="C130" s="442" t="s">
        <v>216</v>
      </c>
      <c r="D130" s="442"/>
      <c r="E130" s="455"/>
      <c r="F130" s="456"/>
      <c r="G130" s="442"/>
      <c r="H130" s="451"/>
      <c r="I130" s="451"/>
      <c r="J130" s="451"/>
      <c r="K130" s="442"/>
      <c r="L130" s="442"/>
      <c r="M130" s="442"/>
      <c r="N130" s="442"/>
      <c r="O130" s="442"/>
    </row>
    <row r="131" spans="1:15" hidden="1" x14ac:dyDescent="0.2">
      <c r="A131" s="439"/>
      <c r="B131" s="446"/>
      <c r="C131" s="449" t="s">
        <v>334</v>
      </c>
      <c r="D131" s="442"/>
      <c r="E131" s="455"/>
      <c r="F131" s="456"/>
      <c r="G131" s="442"/>
      <c r="H131" s="451"/>
      <c r="I131" s="451"/>
      <c r="J131" s="451"/>
      <c r="K131" s="442"/>
      <c r="L131" s="442"/>
      <c r="M131" s="442"/>
      <c r="N131" s="442"/>
      <c r="O131" s="442"/>
    </row>
    <row r="132" spans="1:15" hidden="1" x14ac:dyDescent="0.2">
      <c r="A132" s="439"/>
      <c r="B132" s="446"/>
      <c r="C132" s="442" t="s">
        <v>325</v>
      </c>
      <c r="D132" s="442"/>
      <c r="E132" s="457"/>
      <c r="F132" s="451"/>
      <c r="G132" s="442"/>
      <c r="H132" s="451"/>
      <c r="I132" s="451"/>
      <c r="J132" s="451"/>
      <c r="K132" s="442"/>
      <c r="L132" s="442"/>
      <c r="M132" s="442"/>
      <c r="N132" s="442"/>
      <c r="O132" s="442"/>
    </row>
    <row r="133" spans="1:15" hidden="1" x14ac:dyDescent="0.2">
      <c r="A133" s="439"/>
      <c r="B133" s="446"/>
      <c r="C133" s="442"/>
      <c r="D133" s="442"/>
      <c r="E133" s="455"/>
      <c r="F133" s="451"/>
      <c r="G133" s="442"/>
      <c r="H133" s="451"/>
      <c r="I133" s="451"/>
      <c r="J133" s="451"/>
      <c r="K133" s="442"/>
      <c r="L133" s="442"/>
      <c r="M133" s="442"/>
      <c r="N133" s="442"/>
      <c r="O133" s="442"/>
    </row>
    <row r="134" spans="1:15" hidden="1" x14ac:dyDescent="0.2">
      <c r="A134" s="439"/>
      <c r="B134" s="446"/>
      <c r="C134" s="453" t="s">
        <v>186</v>
      </c>
      <c r="D134" s="442"/>
      <c r="E134" s="458"/>
      <c r="F134" s="442"/>
      <c r="G134" s="442"/>
      <c r="H134" s="451"/>
      <c r="I134" s="451"/>
      <c r="J134" s="451"/>
      <c r="K134" s="442"/>
      <c r="L134" s="442"/>
      <c r="M134" s="442"/>
      <c r="N134" s="442"/>
      <c r="O134" s="442"/>
    </row>
    <row r="135" spans="1:15" hidden="1" x14ac:dyDescent="0.2">
      <c r="A135" s="439"/>
      <c r="B135" s="446"/>
      <c r="C135" s="442" t="s">
        <v>240</v>
      </c>
      <c r="D135" s="442"/>
      <c r="E135" s="442"/>
      <c r="F135" s="442"/>
      <c r="G135" s="442"/>
      <c r="H135" s="451"/>
      <c r="I135" s="451"/>
      <c r="J135" s="451"/>
      <c r="K135" s="442"/>
      <c r="L135" s="442"/>
      <c r="M135" s="442"/>
      <c r="N135" s="442"/>
      <c r="O135" s="442"/>
    </row>
    <row r="136" spans="1:15" hidden="1" x14ac:dyDescent="0.2">
      <c r="A136" s="439"/>
      <c r="B136" s="446"/>
      <c r="C136" s="442" t="s">
        <v>241</v>
      </c>
      <c r="D136" s="442"/>
      <c r="E136" s="442"/>
      <c r="F136" s="442"/>
      <c r="G136" s="442"/>
      <c r="H136" s="451"/>
      <c r="I136" s="451"/>
      <c r="J136" s="451"/>
      <c r="K136" s="442"/>
      <c r="L136" s="442"/>
      <c r="M136" s="442"/>
      <c r="N136" s="442"/>
      <c r="O136" s="442"/>
    </row>
    <row r="137" spans="1:15" hidden="1" x14ac:dyDescent="0.2">
      <c r="A137" s="439"/>
      <c r="B137" s="446"/>
      <c r="C137" s="442" t="s">
        <v>187</v>
      </c>
      <c r="D137" s="442"/>
      <c r="E137" s="442"/>
      <c r="F137" s="442"/>
      <c r="G137" s="442"/>
      <c r="H137" s="442"/>
      <c r="I137" s="442"/>
      <c r="J137" s="442"/>
      <c r="K137" s="442"/>
      <c r="L137" s="442"/>
      <c r="M137" s="442"/>
      <c r="N137" s="442"/>
      <c r="O137" s="442"/>
    </row>
    <row r="138" spans="1:15" hidden="1" x14ac:dyDescent="0.2">
      <c r="A138" s="439"/>
      <c r="B138" s="446"/>
      <c r="C138" s="442" t="s">
        <v>188</v>
      </c>
      <c r="D138" s="442"/>
      <c r="E138" s="442"/>
      <c r="F138" s="442"/>
      <c r="G138" s="442"/>
      <c r="H138" s="442"/>
      <c r="I138" s="442"/>
      <c r="J138" s="442"/>
      <c r="K138" s="442"/>
      <c r="L138" s="442"/>
      <c r="M138" s="442"/>
      <c r="N138" s="442"/>
      <c r="O138" s="442"/>
    </row>
    <row r="139" spans="1:15" hidden="1" x14ac:dyDescent="0.2">
      <c r="A139" s="439"/>
      <c r="B139" s="446"/>
      <c r="C139" s="442"/>
      <c r="D139" s="442"/>
      <c r="E139" s="442"/>
      <c r="F139" s="442"/>
      <c r="G139" s="442"/>
      <c r="H139" s="442"/>
      <c r="I139" s="442"/>
      <c r="J139" s="442"/>
      <c r="K139" s="442"/>
      <c r="L139" s="442"/>
      <c r="M139" s="442"/>
      <c r="N139" s="442"/>
      <c r="O139" s="442"/>
    </row>
    <row r="140" spans="1:15" hidden="1" x14ac:dyDescent="0.2">
      <c r="A140" s="439"/>
      <c r="B140" s="446"/>
      <c r="C140" s="445" t="s">
        <v>189</v>
      </c>
      <c r="D140" s="442"/>
      <c r="E140" s="442"/>
      <c r="F140" s="442"/>
      <c r="G140" s="442"/>
      <c r="H140" s="442"/>
      <c r="I140" s="442"/>
      <c r="J140" s="442"/>
      <c r="K140" s="442"/>
      <c r="L140" s="442"/>
      <c r="M140" s="442"/>
      <c r="N140" s="442"/>
      <c r="O140" s="442"/>
    </row>
    <row r="141" spans="1:15" hidden="1" x14ac:dyDescent="0.2">
      <c r="A141" s="439"/>
      <c r="B141" s="446"/>
      <c r="C141" s="442" t="s">
        <v>190</v>
      </c>
      <c r="D141" s="442"/>
      <c r="E141" s="442"/>
      <c r="F141" s="442"/>
      <c r="G141" s="442"/>
      <c r="H141" s="442"/>
      <c r="I141" s="442"/>
      <c r="J141" s="442"/>
      <c r="K141" s="442"/>
      <c r="L141" s="442"/>
      <c r="M141" s="442"/>
      <c r="N141" s="442"/>
      <c r="O141" s="442"/>
    </row>
    <row r="142" spans="1:15" hidden="1" x14ac:dyDescent="0.2">
      <c r="A142" s="439"/>
      <c r="B142" s="446"/>
      <c r="C142" s="442" t="s">
        <v>191</v>
      </c>
      <c r="D142" s="442"/>
      <c r="E142" s="442"/>
      <c r="F142" s="442"/>
      <c r="G142" s="442"/>
      <c r="H142" s="442"/>
      <c r="I142" s="442"/>
      <c r="J142" s="442"/>
      <c r="K142" s="442"/>
      <c r="L142" s="442"/>
      <c r="M142" s="442"/>
      <c r="N142" s="442"/>
      <c r="O142" s="442"/>
    </row>
    <row r="143" spans="1:15" hidden="1" x14ac:dyDescent="0.2">
      <c r="A143" s="439"/>
      <c r="B143" s="446"/>
      <c r="C143" s="442" t="s">
        <v>192</v>
      </c>
      <c r="D143" s="442"/>
      <c r="E143" s="442"/>
      <c r="F143" s="442"/>
      <c r="G143" s="442"/>
      <c r="H143" s="442"/>
      <c r="I143" s="442"/>
      <c r="J143" s="442"/>
      <c r="K143" s="442"/>
      <c r="L143" s="442"/>
      <c r="M143" s="442"/>
      <c r="N143" s="442"/>
      <c r="O143" s="442"/>
    </row>
    <row r="144" spans="1:15" hidden="1" x14ac:dyDescent="0.2">
      <c r="A144" s="439"/>
      <c r="B144" s="446"/>
      <c r="C144" s="442" t="s">
        <v>193</v>
      </c>
      <c r="D144" s="442"/>
      <c r="E144" s="442"/>
      <c r="F144" s="442"/>
      <c r="G144" s="442"/>
      <c r="H144" s="442"/>
      <c r="I144" s="442"/>
      <c r="J144" s="442"/>
      <c r="K144" s="442"/>
      <c r="L144" s="442"/>
      <c r="M144" s="442"/>
      <c r="N144" s="442"/>
      <c r="O144" s="442"/>
    </row>
    <row r="145" spans="1:15" hidden="1" x14ac:dyDescent="0.2">
      <c r="A145" s="439"/>
      <c r="B145" s="446"/>
      <c r="C145" s="442"/>
      <c r="D145" s="442"/>
      <c r="E145" s="442"/>
      <c r="F145" s="442"/>
      <c r="G145" s="442"/>
      <c r="H145" s="442"/>
      <c r="I145" s="442"/>
      <c r="J145" s="442"/>
      <c r="K145" s="442"/>
      <c r="L145" s="442"/>
      <c r="M145" s="442"/>
      <c r="N145" s="442"/>
      <c r="O145" s="442"/>
    </row>
    <row r="146" spans="1:15" hidden="1" x14ac:dyDescent="0.2">
      <c r="A146" s="439"/>
      <c r="B146" s="446"/>
      <c r="C146" s="442" t="s">
        <v>194</v>
      </c>
      <c r="D146" s="442"/>
      <c r="E146" s="442"/>
      <c r="F146" s="442"/>
      <c r="G146" s="442"/>
      <c r="H146" s="442"/>
      <c r="I146" s="442"/>
      <c r="J146" s="442"/>
      <c r="K146" s="442"/>
      <c r="L146" s="442"/>
      <c r="M146" s="442"/>
      <c r="N146" s="442"/>
      <c r="O146" s="442"/>
    </row>
    <row r="147" spans="1:15" hidden="1" x14ac:dyDescent="0.2">
      <c r="A147" s="439"/>
      <c r="B147" s="446"/>
      <c r="C147" s="442" t="s">
        <v>195</v>
      </c>
      <c r="D147" s="442"/>
      <c r="E147" s="442"/>
      <c r="F147" s="442"/>
      <c r="G147" s="442"/>
      <c r="H147" s="442"/>
      <c r="I147" s="442"/>
      <c r="J147" s="442"/>
      <c r="K147" s="442"/>
      <c r="L147" s="442"/>
      <c r="M147" s="442"/>
      <c r="N147" s="442"/>
      <c r="O147" s="442"/>
    </row>
    <row r="148" spans="1:15" hidden="1" x14ac:dyDescent="0.2">
      <c r="A148" s="439"/>
      <c r="B148" s="446"/>
      <c r="C148" s="442" t="s">
        <v>323</v>
      </c>
      <c r="D148" s="442"/>
      <c r="E148" s="442"/>
      <c r="F148" s="442"/>
      <c r="G148" s="442"/>
      <c r="H148" s="442"/>
      <c r="I148" s="442"/>
      <c r="J148" s="442"/>
      <c r="K148" s="442"/>
      <c r="L148" s="442"/>
      <c r="M148" s="442"/>
      <c r="N148" s="442"/>
      <c r="O148" s="442"/>
    </row>
    <row r="149" spans="1:15" hidden="1" x14ac:dyDescent="0.2">
      <c r="A149" s="439"/>
      <c r="B149" s="446"/>
      <c r="C149" s="442" t="s">
        <v>324</v>
      </c>
      <c r="D149" s="442"/>
      <c r="E149" s="442"/>
      <c r="F149" s="442"/>
      <c r="G149" s="442"/>
      <c r="H149" s="442"/>
      <c r="I149" s="442"/>
      <c r="J149" s="442"/>
      <c r="K149" s="442"/>
      <c r="L149" s="442"/>
      <c r="M149" s="442"/>
      <c r="N149" s="442"/>
      <c r="O149" s="442"/>
    </row>
    <row r="150" spans="1:15" hidden="1" x14ac:dyDescent="0.2">
      <c r="A150" s="439"/>
      <c r="B150" s="446"/>
      <c r="C150" s="442"/>
      <c r="D150" s="442"/>
      <c r="E150" s="442"/>
      <c r="F150" s="442"/>
      <c r="G150" s="442"/>
      <c r="H150" s="442"/>
      <c r="I150" s="442"/>
      <c r="J150" s="442"/>
      <c r="K150" s="442"/>
      <c r="L150" s="442"/>
      <c r="M150" s="442"/>
      <c r="N150" s="442"/>
      <c r="O150" s="442"/>
    </row>
    <row r="151" spans="1:15" hidden="1" x14ac:dyDescent="0.2">
      <c r="A151" s="439"/>
      <c r="B151" s="446"/>
      <c r="C151" s="442" t="s">
        <v>196</v>
      </c>
      <c r="D151" s="442"/>
      <c r="E151" s="442"/>
      <c r="F151" s="442"/>
      <c r="G151" s="442"/>
      <c r="H151" s="442"/>
      <c r="I151" s="442"/>
      <c r="J151" s="442"/>
      <c r="K151" s="442"/>
      <c r="L151" s="442"/>
      <c r="M151" s="442"/>
      <c r="N151" s="442"/>
      <c r="O151" s="442"/>
    </row>
    <row r="152" spans="1:15" hidden="1" x14ac:dyDescent="0.2">
      <c r="A152" s="439"/>
      <c r="B152" s="446"/>
      <c r="C152" s="442" t="s">
        <v>197</v>
      </c>
      <c r="D152" s="442"/>
      <c r="E152" s="442"/>
      <c r="F152" s="442"/>
      <c r="G152" s="442"/>
      <c r="H152" s="442"/>
      <c r="I152" s="442"/>
      <c r="J152" s="442"/>
      <c r="K152" s="442"/>
      <c r="L152" s="442"/>
      <c r="M152" s="442"/>
      <c r="N152" s="442"/>
      <c r="O152" s="442"/>
    </row>
    <row r="153" spans="1:15" hidden="1" x14ac:dyDescent="0.2">
      <c r="A153" s="439"/>
      <c r="B153" s="446"/>
      <c r="C153" s="442"/>
      <c r="D153" s="442"/>
      <c r="E153" s="442"/>
      <c r="F153" s="442"/>
      <c r="G153" s="442"/>
      <c r="H153" s="442"/>
      <c r="I153" s="442"/>
      <c r="J153" s="442"/>
      <c r="K153" s="442"/>
      <c r="L153" s="442"/>
      <c r="M153" s="442"/>
      <c r="N153" s="442"/>
      <c r="O153" s="442"/>
    </row>
    <row r="154" spans="1:15" hidden="1" x14ac:dyDescent="0.2">
      <c r="A154" s="439"/>
      <c r="B154" s="446"/>
      <c r="C154" s="442" t="s">
        <v>198</v>
      </c>
      <c r="D154" s="442"/>
      <c r="E154" s="442"/>
      <c r="F154" s="442"/>
      <c r="G154" s="442"/>
      <c r="H154" s="442"/>
      <c r="I154" s="442"/>
      <c r="J154" s="442"/>
      <c r="K154" s="442"/>
      <c r="L154" s="442"/>
      <c r="M154" s="442"/>
      <c r="N154" s="442"/>
      <c r="O154" s="442"/>
    </row>
    <row r="155" spans="1:15" hidden="1" x14ac:dyDescent="0.2">
      <c r="A155" s="439"/>
      <c r="B155" s="446"/>
      <c r="C155" s="442" t="s">
        <v>274</v>
      </c>
      <c r="D155" s="442"/>
      <c r="E155" s="442"/>
      <c r="F155" s="442"/>
      <c r="G155" s="442"/>
      <c r="H155" s="442"/>
      <c r="I155" s="442"/>
      <c r="J155" s="442"/>
      <c r="K155" s="442"/>
      <c r="L155" s="442"/>
      <c r="M155" s="442"/>
      <c r="N155" s="442"/>
      <c r="O155" s="442"/>
    </row>
    <row r="156" spans="1:15" hidden="1" x14ac:dyDescent="0.2">
      <c r="A156" s="439"/>
      <c r="B156" s="446"/>
      <c r="C156" s="442" t="s">
        <v>199</v>
      </c>
      <c r="D156" s="442"/>
      <c r="E156" s="442"/>
      <c r="F156" s="442"/>
      <c r="G156" s="442"/>
      <c r="H156" s="442"/>
      <c r="I156" s="442"/>
      <c r="J156" s="442"/>
      <c r="K156" s="442"/>
      <c r="L156" s="442"/>
      <c r="M156" s="442"/>
      <c r="N156" s="442"/>
      <c r="O156" s="442"/>
    </row>
    <row r="157" spans="1:15" hidden="1" x14ac:dyDescent="0.2">
      <c r="A157" s="439"/>
      <c r="B157" s="446"/>
      <c r="C157" s="442"/>
      <c r="D157" s="442"/>
      <c r="E157" s="442"/>
      <c r="F157" s="442"/>
      <c r="G157" s="442"/>
      <c r="H157" s="442"/>
      <c r="I157" s="442"/>
      <c r="J157" s="442"/>
      <c r="K157" s="442"/>
      <c r="L157" s="442"/>
      <c r="M157" s="442"/>
      <c r="N157" s="442"/>
      <c r="O157" s="442"/>
    </row>
    <row r="158" spans="1:15" hidden="1" x14ac:dyDescent="0.2">
      <c r="A158" s="439"/>
      <c r="B158" s="446"/>
      <c r="C158" s="449" t="s">
        <v>334</v>
      </c>
      <c r="D158" s="442"/>
      <c r="E158" s="442"/>
      <c r="F158" s="442"/>
      <c r="G158" s="442"/>
      <c r="H158" s="442"/>
      <c r="I158" s="442"/>
      <c r="J158" s="442"/>
      <c r="K158" s="442"/>
      <c r="L158" s="442"/>
      <c r="M158" s="442"/>
      <c r="N158" s="442"/>
      <c r="O158" s="442"/>
    </row>
    <row r="159" spans="1:15" hidden="1" x14ac:dyDescent="0.2">
      <c r="A159" s="439"/>
      <c r="B159" s="446"/>
      <c r="C159" s="442" t="s">
        <v>325</v>
      </c>
      <c r="D159" s="442"/>
      <c r="E159" s="442"/>
      <c r="F159" s="442"/>
      <c r="G159" s="442"/>
      <c r="H159" s="442"/>
      <c r="I159" s="442"/>
      <c r="J159" s="442"/>
      <c r="K159" s="442"/>
      <c r="L159" s="442"/>
      <c r="M159" s="442"/>
      <c r="N159" s="442"/>
      <c r="O159" s="442"/>
    </row>
    <row r="160" spans="1:15" hidden="1" x14ac:dyDescent="0.2">
      <c r="A160" s="439"/>
      <c r="B160" s="446"/>
      <c r="C160" s="442" t="s">
        <v>200</v>
      </c>
      <c r="D160" s="442"/>
      <c r="E160" s="442"/>
      <c r="F160" s="442"/>
      <c r="G160" s="442"/>
      <c r="H160" s="442"/>
      <c r="I160" s="442"/>
      <c r="J160" s="442"/>
      <c r="K160" s="442"/>
      <c r="L160" s="442"/>
      <c r="M160" s="442"/>
      <c r="N160" s="442"/>
      <c r="O160" s="442"/>
    </row>
    <row r="161" spans="1:15" hidden="1" x14ac:dyDescent="0.2">
      <c r="A161" s="439"/>
      <c r="B161" s="446"/>
      <c r="C161" s="442" t="s">
        <v>201</v>
      </c>
      <c r="D161" s="442"/>
      <c r="E161" s="442"/>
      <c r="F161" s="442"/>
      <c r="G161" s="442"/>
      <c r="H161" s="442"/>
      <c r="I161" s="442"/>
      <c r="J161" s="442"/>
      <c r="K161" s="442"/>
      <c r="L161" s="442"/>
      <c r="M161" s="442"/>
      <c r="N161" s="442"/>
      <c r="O161" s="442"/>
    </row>
    <row r="162" spans="1:15" hidden="1" x14ac:dyDescent="0.2">
      <c r="A162" s="439"/>
      <c r="B162" s="446"/>
      <c r="C162" s="442"/>
      <c r="D162" s="442"/>
      <c r="E162" s="442"/>
      <c r="F162" s="442"/>
      <c r="G162" s="442"/>
      <c r="H162" s="442"/>
      <c r="I162" s="442"/>
      <c r="J162" s="442"/>
      <c r="K162" s="442"/>
      <c r="L162" s="442"/>
      <c r="M162" s="442"/>
      <c r="N162" s="442"/>
      <c r="O162" s="442"/>
    </row>
    <row r="163" spans="1:15" hidden="1" x14ac:dyDescent="0.2">
      <c r="A163" s="439"/>
      <c r="B163" s="446"/>
      <c r="C163" s="445" t="s">
        <v>202</v>
      </c>
      <c r="D163" s="442"/>
      <c r="E163" s="442"/>
      <c r="F163" s="442"/>
      <c r="G163" s="442"/>
      <c r="H163" s="442"/>
      <c r="I163" s="442"/>
      <c r="J163" s="442"/>
      <c r="K163" s="442"/>
      <c r="L163" s="442"/>
      <c r="M163" s="442"/>
      <c r="N163" s="442"/>
      <c r="O163" s="442"/>
    </row>
    <row r="164" spans="1:15" hidden="1" x14ac:dyDescent="0.2">
      <c r="A164" s="439"/>
      <c r="B164" s="446"/>
      <c r="C164" s="442" t="s">
        <v>203</v>
      </c>
      <c r="D164" s="442"/>
      <c r="E164" s="442"/>
      <c r="F164" s="442"/>
      <c r="G164" s="442"/>
      <c r="H164" s="442"/>
      <c r="I164" s="442"/>
      <c r="J164" s="442"/>
      <c r="K164" s="442"/>
      <c r="L164" s="442"/>
      <c r="M164" s="442"/>
      <c r="N164" s="442"/>
      <c r="O164" s="442"/>
    </row>
    <row r="165" spans="1:15" hidden="1" x14ac:dyDescent="0.2">
      <c r="A165" s="439"/>
      <c r="B165" s="446"/>
      <c r="C165" s="442" t="s">
        <v>204</v>
      </c>
      <c r="D165" s="442"/>
      <c r="E165" s="442"/>
      <c r="F165" s="442"/>
      <c r="G165" s="442"/>
      <c r="H165" s="442"/>
      <c r="I165" s="442"/>
      <c r="J165" s="442"/>
      <c r="K165" s="442"/>
      <c r="L165" s="442"/>
      <c r="M165" s="442"/>
      <c r="N165" s="442"/>
      <c r="O165" s="442"/>
    </row>
    <row r="166" spans="1:15" hidden="1" x14ac:dyDescent="0.2">
      <c r="A166" s="439"/>
      <c r="B166" s="446"/>
      <c r="C166" s="442" t="s">
        <v>205</v>
      </c>
      <c r="D166" s="442"/>
      <c r="E166" s="442"/>
      <c r="F166" s="442"/>
      <c r="G166" s="442"/>
      <c r="H166" s="442"/>
      <c r="I166" s="442"/>
      <c r="J166" s="442"/>
      <c r="K166" s="442"/>
      <c r="L166" s="442"/>
      <c r="M166" s="442"/>
      <c r="N166" s="442"/>
      <c r="O166" s="442"/>
    </row>
    <row r="167" spans="1:15" hidden="1" x14ac:dyDescent="0.2">
      <c r="A167" s="439"/>
      <c r="B167" s="446"/>
      <c r="C167" s="442" t="s">
        <v>206</v>
      </c>
      <c r="D167" s="442"/>
      <c r="E167" s="442"/>
      <c r="F167" s="442"/>
      <c r="G167" s="442"/>
      <c r="H167" s="442"/>
      <c r="I167" s="442"/>
      <c r="J167" s="442"/>
      <c r="K167" s="442"/>
      <c r="L167" s="442"/>
      <c r="M167" s="442"/>
      <c r="N167" s="442"/>
      <c r="O167" s="442"/>
    </row>
    <row r="168" spans="1:15" hidden="1" x14ac:dyDescent="0.2">
      <c r="A168" s="439"/>
      <c r="B168" s="446"/>
      <c r="C168" s="442"/>
      <c r="D168" s="442"/>
      <c r="E168" s="442"/>
      <c r="F168" s="442"/>
      <c r="G168" s="442"/>
      <c r="H168" s="442"/>
      <c r="I168" s="442"/>
      <c r="J168" s="442"/>
      <c r="K168" s="442"/>
      <c r="L168" s="442"/>
      <c r="M168" s="442"/>
      <c r="N168" s="442"/>
      <c r="O168" s="442"/>
    </row>
    <row r="169" spans="1:15" hidden="1" x14ac:dyDescent="0.2">
      <c r="A169" s="439"/>
      <c r="B169" s="446"/>
      <c r="C169" s="449" t="s">
        <v>334</v>
      </c>
      <c r="D169" s="442"/>
      <c r="E169" s="442"/>
      <c r="F169" s="442"/>
      <c r="G169" s="442"/>
      <c r="H169" s="442"/>
      <c r="I169" s="442"/>
      <c r="J169" s="442"/>
      <c r="K169" s="442"/>
      <c r="L169" s="442"/>
      <c r="M169" s="442"/>
      <c r="N169" s="442"/>
      <c r="O169" s="442"/>
    </row>
    <row r="170" spans="1:15" hidden="1" x14ac:dyDescent="0.2">
      <c r="A170" s="439"/>
      <c r="B170" s="446"/>
      <c r="C170" s="442" t="s">
        <v>325</v>
      </c>
      <c r="D170" s="442"/>
      <c r="E170" s="442"/>
      <c r="F170" s="442"/>
      <c r="G170" s="442"/>
      <c r="H170" s="442"/>
      <c r="I170" s="442"/>
      <c r="J170" s="442"/>
      <c r="K170" s="442"/>
      <c r="L170" s="442"/>
      <c r="M170" s="442"/>
      <c r="N170" s="442"/>
      <c r="O170" s="442"/>
    </row>
    <row r="171" spans="1:15" hidden="1" x14ac:dyDescent="0.2">
      <c r="A171" s="439"/>
      <c r="B171" s="446"/>
      <c r="C171" s="442" t="s">
        <v>200</v>
      </c>
      <c r="D171" s="442"/>
      <c r="E171" s="442"/>
      <c r="F171" s="442"/>
      <c r="G171" s="442"/>
      <c r="H171" s="442"/>
      <c r="I171" s="442"/>
      <c r="J171" s="442"/>
      <c r="K171" s="442"/>
      <c r="L171" s="442"/>
      <c r="M171" s="442"/>
      <c r="N171" s="442"/>
      <c r="O171" s="442"/>
    </row>
    <row r="172" spans="1:15" hidden="1" x14ac:dyDescent="0.2">
      <c r="A172" s="439"/>
      <c r="B172" s="446"/>
      <c r="C172" s="442" t="s">
        <v>201</v>
      </c>
      <c r="D172" s="442"/>
      <c r="E172" s="442"/>
      <c r="F172" s="442"/>
      <c r="G172" s="442"/>
      <c r="H172" s="442"/>
      <c r="I172" s="442"/>
      <c r="J172" s="442"/>
      <c r="K172" s="442"/>
      <c r="L172" s="442"/>
      <c r="M172" s="442"/>
      <c r="N172" s="442"/>
      <c r="O172" s="442"/>
    </row>
    <row r="173" spans="1:15" hidden="1" x14ac:dyDescent="0.2">
      <c r="A173" s="439"/>
      <c r="B173" s="446"/>
      <c r="C173" s="442"/>
      <c r="D173" s="442"/>
      <c r="E173" s="442"/>
      <c r="F173" s="442"/>
      <c r="G173" s="442"/>
      <c r="H173" s="442"/>
      <c r="I173" s="442"/>
      <c r="J173" s="442"/>
      <c r="K173" s="442"/>
      <c r="L173" s="442"/>
      <c r="M173" s="442"/>
      <c r="N173" s="442"/>
      <c r="O173" s="442"/>
    </row>
    <row r="174" spans="1:15" hidden="1" x14ac:dyDescent="0.2">
      <c r="A174" s="439"/>
      <c r="B174" s="446"/>
      <c r="C174" s="453" t="s">
        <v>186</v>
      </c>
      <c r="D174" s="442"/>
      <c r="E174" s="442"/>
      <c r="F174" s="442"/>
      <c r="G174" s="442"/>
      <c r="H174" s="442"/>
      <c r="I174" s="442"/>
      <c r="J174" s="442"/>
      <c r="K174" s="442"/>
      <c r="L174" s="442"/>
      <c r="M174" s="442"/>
      <c r="N174" s="442"/>
      <c r="O174" s="442"/>
    </row>
    <row r="175" spans="1:15" hidden="1" x14ac:dyDescent="0.2">
      <c r="A175" s="439"/>
      <c r="B175" s="446"/>
      <c r="C175" s="442" t="s">
        <v>244</v>
      </c>
      <c r="D175" s="442"/>
      <c r="E175" s="442"/>
      <c r="F175" s="442"/>
      <c r="G175" s="442"/>
      <c r="H175" s="442"/>
      <c r="I175" s="442"/>
      <c r="J175" s="442"/>
      <c r="K175" s="442"/>
      <c r="L175" s="442"/>
      <c r="M175" s="442"/>
      <c r="N175" s="442"/>
      <c r="O175" s="442"/>
    </row>
    <row r="176" spans="1:15" hidden="1" x14ac:dyDescent="0.2">
      <c r="A176" s="439"/>
      <c r="B176" s="446"/>
      <c r="C176" s="442" t="s">
        <v>207</v>
      </c>
      <c r="D176" s="442"/>
      <c r="E176" s="442"/>
      <c r="F176" s="442"/>
      <c r="G176" s="442"/>
      <c r="H176" s="442"/>
      <c r="I176" s="442"/>
      <c r="J176" s="442"/>
      <c r="K176" s="442"/>
      <c r="L176" s="442"/>
      <c r="M176" s="442"/>
      <c r="N176" s="442"/>
      <c r="O176" s="442"/>
    </row>
    <row r="177" spans="1:15" hidden="1" x14ac:dyDescent="0.2">
      <c r="A177" s="439"/>
      <c r="B177" s="446"/>
      <c r="C177" s="442" t="s">
        <v>208</v>
      </c>
      <c r="D177" s="442"/>
      <c r="E177" s="442"/>
      <c r="F177" s="442"/>
      <c r="G177" s="442"/>
      <c r="H177" s="442"/>
      <c r="I177" s="442"/>
      <c r="J177" s="442"/>
      <c r="K177" s="442"/>
      <c r="L177" s="442"/>
      <c r="M177" s="442"/>
      <c r="N177" s="442"/>
      <c r="O177" s="442"/>
    </row>
    <row r="178" spans="1:15" hidden="1" x14ac:dyDescent="0.2">
      <c r="A178" s="439"/>
      <c r="B178" s="446"/>
      <c r="C178" s="442" t="s">
        <v>209</v>
      </c>
      <c r="D178" s="442"/>
      <c r="E178" s="442"/>
      <c r="F178" s="442"/>
      <c r="G178" s="442"/>
      <c r="H178" s="442"/>
      <c r="I178" s="442"/>
      <c r="J178" s="442"/>
      <c r="K178" s="442"/>
      <c r="L178" s="442"/>
      <c r="M178" s="442"/>
      <c r="N178" s="442"/>
      <c r="O178" s="442"/>
    </row>
    <row r="179" spans="1:15" hidden="1" x14ac:dyDescent="0.2">
      <c r="A179" s="439"/>
      <c r="B179" s="446"/>
      <c r="C179" s="442" t="s">
        <v>210</v>
      </c>
      <c r="D179" s="442"/>
      <c r="E179" s="442"/>
      <c r="F179" s="442"/>
      <c r="G179" s="442"/>
      <c r="H179" s="442"/>
      <c r="I179" s="442"/>
      <c r="J179" s="442"/>
      <c r="K179" s="442"/>
      <c r="L179" s="442"/>
      <c r="M179" s="442"/>
      <c r="N179" s="442"/>
      <c r="O179" s="442"/>
    </row>
    <row r="180" spans="1:15" hidden="1" x14ac:dyDescent="0.2">
      <c r="A180" s="439"/>
      <c r="B180" s="446"/>
      <c r="C180" s="442" t="s">
        <v>211</v>
      </c>
      <c r="D180" s="442"/>
      <c r="E180" s="442"/>
      <c r="F180" s="442"/>
      <c r="G180" s="442"/>
      <c r="H180" s="442"/>
      <c r="I180" s="442"/>
      <c r="J180" s="442"/>
      <c r="K180" s="442"/>
      <c r="L180" s="442"/>
      <c r="M180" s="442"/>
      <c r="N180" s="442"/>
      <c r="O180" s="442"/>
    </row>
    <row r="181" spans="1:15" x14ac:dyDescent="0.2">
      <c r="A181" s="439"/>
      <c r="B181" s="446"/>
      <c r="C181" s="442" t="s">
        <v>212</v>
      </c>
      <c r="D181" s="442"/>
      <c r="E181" s="442"/>
      <c r="F181" s="442"/>
      <c r="G181" s="442"/>
      <c r="H181" s="442"/>
      <c r="I181" s="442"/>
      <c r="J181" s="442"/>
      <c r="K181" s="442"/>
      <c r="L181" s="442"/>
      <c r="M181" s="442"/>
      <c r="N181" s="442"/>
      <c r="O181" s="442"/>
    </row>
    <row r="182" spans="1:15" x14ac:dyDescent="0.2">
      <c r="A182" s="439"/>
      <c r="B182" s="446"/>
      <c r="C182" s="442"/>
      <c r="D182" s="442"/>
      <c r="E182" s="442"/>
      <c r="F182" s="442"/>
      <c r="G182" s="442"/>
      <c r="H182" s="442"/>
      <c r="I182" s="442"/>
      <c r="J182" s="442"/>
      <c r="K182" s="442"/>
      <c r="L182" s="442"/>
      <c r="M182" s="442"/>
      <c r="N182" s="442"/>
      <c r="O182" s="442"/>
    </row>
    <row r="183" spans="1:15" x14ac:dyDescent="0.2">
      <c r="A183" s="439"/>
      <c r="B183" s="446"/>
      <c r="C183" s="445" t="s">
        <v>394</v>
      </c>
      <c r="D183" s="442"/>
      <c r="E183" s="442"/>
      <c r="F183" s="442"/>
      <c r="G183" s="442"/>
      <c r="H183" s="442"/>
      <c r="I183" s="442"/>
      <c r="J183" s="442"/>
      <c r="K183" s="442"/>
      <c r="L183" s="442"/>
      <c r="M183" s="442"/>
      <c r="N183" s="442"/>
      <c r="O183" s="442"/>
    </row>
    <row r="184" spans="1:15" x14ac:dyDescent="0.2">
      <c r="A184" s="439"/>
      <c r="B184" s="446"/>
      <c r="C184" s="449" t="s">
        <v>385</v>
      </c>
      <c r="D184" s="442"/>
      <c r="E184" s="442"/>
      <c r="F184" s="442"/>
      <c r="G184" s="442"/>
      <c r="H184" s="442"/>
      <c r="I184" s="442"/>
      <c r="J184" s="442"/>
      <c r="K184" s="442"/>
      <c r="L184" s="442"/>
      <c r="M184" s="442"/>
      <c r="N184" s="442"/>
      <c r="O184" s="442"/>
    </row>
    <row r="185" spans="1:15" x14ac:dyDescent="0.2">
      <c r="A185" s="439"/>
      <c r="B185" s="446"/>
      <c r="C185" s="442"/>
      <c r="D185" s="442"/>
      <c r="E185" s="442"/>
      <c r="F185" s="442"/>
      <c r="G185" s="442"/>
      <c r="H185" s="442"/>
      <c r="I185" s="442"/>
      <c r="J185" s="442"/>
      <c r="K185" s="442"/>
      <c r="L185" s="442"/>
      <c r="M185" s="442"/>
      <c r="N185" s="442"/>
      <c r="O185" s="442"/>
    </row>
    <row r="186" spans="1:15" x14ac:dyDescent="0.2">
      <c r="A186" s="439"/>
      <c r="B186" s="446"/>
      <c r="C186" s="445" t="s">
        <v>35</v>
      </c>
      <c r="D186" s="442"/>
      <c r="E186" s="442"/>
      <c r="F186" s="442"/>
      <c r="G186" s="442"/>
      <c r="H186" s="442"/>
      <c r="I186" s="442"/>
      <c r="J186" s="442"/>
      <c r="K186" s="442"/>
      <c r="L186" s="442"/>
      <c r="M186" s="442"/>
      <c r="N186" s="442"/>
      <c r="O186" s="442"/>
    </row>
    <row r="187" spans="1:15" x14ac:dyDescent="0.2">
      <c r="A187" s="439"/>
      <c r="B187" s="446"/>
      <c r="C187" s="449" t="s">
        <v>456</v>
      </c>
      <c r="D187" s="442"/>
      <c r="E187" s="442"/>
      <c r="F187" s="442"/>
      <c r="G187" s="442"/>
      <c r="H187" s="442"/>
      <c r="I187" s="442"/>
      <c r="J187" s="442"/>
      <c r="K187" s="442"/>
      <c r="L187" s="442"/>
      <c r="M187" s="442"/>
      <c r="N187" s="442"/>
      <c r="O187" s="442"/>
    </row>
    <row r="188" spans="1:15" x14ac:dyDescent="0.2">
      <c r="A188" s="439"/>
      <c r="B188" s="446"/>
      <c r="C188" s="442" t="s">
        <v>253</v>
      </c>
      <c r="D188" s="442"/>
      <c r="E188" s="442"/>
      <c r="F188" s="442"/>
      <c r="G188" s="442"/>
      <c r="H188" s="442"/>
      <c r="I188" s="442"/>
      <c r="J188" s="442"/>
      <c r="K188" s="442"/>
      <c r="L188" s="442"/>
      <c r="M188" s="442"/>
      <c r="N188" s="442"/>
      <c r="O188" s="442"/>
    </row>
    <row r="189" spans="1:15" x14ac:dyDescent="0.2">
      <c r="A189" s="439"/>
      <c r="B189" s="446"/>
      <c r="C189" s="442"/>
      <c r="D189" s="442"/>
      <c r="E189" s="442"/>
      <c r="F189" s="442"/>
      <c r="G189" s="442"/>
      <c r="H189" s="442"/>
      <c r="I189" s="442"/>
      <c r="J189" s="442"/>
      <c r="K189" s="442"/>
      <c r="L189" s="442"/>
      <c r="M189" s="442"/>
      <c r="N189" s="442"/>
      <c r="O189" s="442"/>
    </row>
    <row r="190" spans="1:15" s="440" customFormat="1" x14ac:dyDescent="0.2">
      <c r="B190" s="449"/>
      <c r="C190" s="445" t="s">
        <v>259</v>
      </c>
      <c r="D190" s="442"/>
      <c r="E190" s="442"/>
      <c r="F190" s="442"/>
      <c r="G190" s="442"/>
      <c r="H190" s="442"/>
      <c r="I190" s="442"/>
      <c r="J190" s="442"/>
      <c r="K190" s="449"/>
      <c r="L190" s="449"/>
      <c r="M190" s="449"/>
      <c r="N190" s="449"/>
      <c r="O190" s="449"/>
    </row>
    <row r="191" spans="1:15" s="440" customFormat="1" x14ac:dyDescent="0.2">
      <c r="B191" s="449"/>
      <c r="C191" s="459" t="s">
        <v>260</v>
      </c>
      <c r="D191" s="449"/>
      <c r="E191" s="449"/>
      <c r="F191" s="449"/>
      <c r="G191" s="449"/>
      <c r="H191" s="449"/>
      <c r="I191" s="449"/>
      <c r="J191" s="460" t="s">
        <v>261</v>
      </c>
      <c r="K191" s="449"/>
      <c r="L191" s="449"/>
      <c r="M191" s="449"/>
      <c r="N191" s="449"/>
      <c r="O191" s="449"/>
    </row>
    <row r="192" spans="1:15" ht="15.75" x14ac:dyDescent="0.25">
      <c r="B192" s="442"/>
      <c r="C192" s="442"/>
      <c r="D192" s="442"/>
      <c r="E192" s="442"/>
      <c r="F192" s="442"/>
      <c r="G192" s="442"/>
      <c r="H192" s="442"/>
      <c r="I192" s="442"/>
      <c r="J192" s="442"/>
      <c r="K192" s="442"/>
      <c r="L192" s="442"/>
      <c r="M192" s="442"/>
      <c r="N192" s="461" t="s">
        <v>266</v>
      </c>
      <c r="O192" s="442"/>
    </row>
    <row r="193" spans="3:10" s="588" customFormat="1" x14ac:dyDescent="0.2">
      <c r="C193" s="589"/>
      <c r="J193" s="589"/>
    </row>
  </sheetData>
  <sheetProtection password="DFB1" sheet="1" objects="1" scenarios="1"/>
  <phoneticPr fontId="6" type="noConversion"/>
  <hyperlinks>
    <hyperlink ref="J191" r:id="rId1"/>
  </hyperlinks>
  <printOptions gridLines="1"/>
  <pageMargins left="0.74803149606299213" right="0.74803149606299213" top="0.98425196850393704" bottom="0.98425196850393704" header="0.51181102362204722" footer="0.51181102362204722"/>
  <pageSetup paperSize="9" scale="64" orientation="portrait" r:id="rId2"/>
  <headerFooter alignWithMargins="0">
    <oddHeader>&amp;L&amp;"Arial,Vet"&amp;A&amp;C&amp;"Arial,Vet"&amp;D&amp;R&amp;"Arial,Vet"&amp;F</oddHeader>
    <oddFooter>&amp;L&amp;"Arial,Vet"&amp;8gemaakt door keizer en goedhart, PO-Raad&amp;R&amp;"Arial,Vet"&amp;P</oddFooter>
  </headerFooter>
  <rowBreaks count="1" manualBreakCount="1">
    <brk id="90" min="1" max="14" man="1"/>
  </rowBreaks>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X108"/>
  <sheetViews>
    <sheetView tabSelected="1" zoomScale="90" zoomScaleNormal="90" zoomScaleSheetLayoutView="85" workbookViewId="0">
      <selection activeCell="B2" sqref="B2"/>
    </sheetView>
  </sheetViews>
  <sheetFormatPr defaultColWidth="9.7109375" defaultRowHeight="13.5" customHeight="1" x14ac:dyDescent="0.25"/>
  <cols>
    <col min="1" max="1" width="3.5703125" style="304" customWidth="1"/>
    <col min="2" max="3" width="2.7109375" style="304" customWidth="1"/>
    <col min="4" max="4" width="2.5703125" style="304" customWidth="1"/>
    <col min="5" max="5" width="33.42578125" style="304" customWidth="1"/>
    <col min="6" max="6" width="12.7109375" style="308" customWidth="1"/>
    <col min="7" max="7" width="12.7109375" style="311" customWidth="1"/>
    <col min="8" max="8" width="1.7109375" style="311" customWidth="1"/>
    <col min="9" max="9" width="12.5703125" style="304" customWidth="1"/>
    <col min="10" max="10" width="12.85546875" style="304" customWidth="1"/>
    <col min="11" max="11" width="1.7109375" style="304" customWidth="1"/>
    <col min="12" max="12" width="1.5703125" style="304" customWidth="1"/>
    <col min="13" max="14" width="2.85546875" style="304" customWidth="1"/>
    <col min="15" max="15" width="33.85546875" style="304" customWidth="1"/>
    <col min="16" max="16" width="12.5703125" style="304" customWidth="1"/>
    <col min="17" max="17" width="11.5703125" style="304" customWidth="1"/>
    <col min="18" max="18" width="1.5703125" style="304" customWidth="1"/>
    <col min="19" max="20" width="12.85546875" style="304" customWidth="1"/>
    <col min="21" max="22" width="2.85546875" style="304" customWidth="1"/>
    <col min="23" max="16384" width="9.7109375" style="304"/>
  </cols>
  <sheetData>
    <row r="2" spans="2:22" ht="13.5" customHeight="1" x14ac:dyDescent="0.25">
      <c r="B2" s="312"/>
      <c r="C2" s="313"/>
      <c r="D2" s="313"/>
      <c r="E2" s="313"/>
      <c r="F2" s="314"/>
      <c r="G2" s="315"/>
      <c r="H2" s="315"/>
      <c r="I2" s="313"/>
      <c r="J2" s="313"/>
      <c r="K2" s="313"/>
      <c r="L2" s="313"/>
      <c r="M2" s="313"/>
      <c r="N2" s="313"/>
      <c r="O2" s="313"/>
      <c r="P2" s="313"/>
      <c r="Q2" s="313"/>
      <c r="R2" s="313"/>
      <c r="S2" s="313"/>
      <c r="T2" s="313"/>
      <c r="U2" s="313"/>
      <c r="V2" s="316"/>
    </row>
    <row r="3" spans="2:22" ht="13.5" customHeight="1" x14ac:dyDescent="0.25">
      <c r="B3" s="317"/>
      <c r="C3" s="318"/>
      <c r="D3" s="318"/>
      <c r="E3" s="318"/>
      <c r="F3" s="319"/>
      <c r="G3" s="320"/>
      <c r="H3" s="320"/>
      <c r="I3" s="318"/>
      <c r="J3" s="318"/>
      <c r="K3" s="318"/>
      <c r="L3" s="318"/>
      <c r="M3" s="318"/>
      <c r="N3" s="318"/>
      <c r="O3" s="318"/>
      <c r="P3" s="318"/>
      <c r="Q3" s="318"/>
      <c r="R3" s="318"/>
      <c r="S3" s="318"/>
      <c r="T3" s="318"/>
      <c r="U3" s="318"/>
      <c r="V3" s="321"/>
    </row>
    <row r="4" spans="2:22" s="470" customFormat="1" ht="18" customHeight="1" x14ac:dyDescent="0.3">
      <c r="B4" s="465"/>
      <c r="C4" s="466" t="str">
        <f>"WERKGEVERSLASTEN PO "&amp;tabellen!B1</f>
        <v>WERKGEVERSLASTEN PO 2013</v>
      </c>
      <c r="D4" s="466"/>
      <c r="E4" s="466"/>
      <c r="F4" s="467"/>
      <c r="G4" s="468"/>
      <c r="H4" s="467"/>
      <c r="I4" s="466"/>
      <c r="J4" s="466"/>
      <c r="K4" s="466"/>
      <c r="L4" s="466"/>
      <c r="M4" s="466"/>
      <c r="N4" s="466"/>
      <c r="O4" s="466"/>
      <c r="P4" s="466"/>
      <c r="Q4" s="466"/>
      <c r="R4" s="466"/>
      <c r="S4" s="466"/>
      <c r="T4" s="466"/>
      <c r="U4" s="466"/>
      <c r="V4" s="469"/>
    </row>
    <row r="5" spans="2:22" s="406" customFormat="1" ht="13.5" customHeight="1" x14ac:dyDescent="0.25">
      <c r="B5" s="400"/>
      <c r="C5" s="401" t="str">
        <f>+tabellen!C1</f>
        <v>vanaf 1 augustus</v>
      </c>
      <c r="D5" s="401"/>
      <c r="E5" s="53"/>
      <c r="F5" s="402"/>
      <c r="G5" s="403"/>
      <c r="H5" s="403"/>
      <c r="I5" s="404"/>
      <c r="J5" s="404"/>
      <c r="K5" s="401"/>
      <c r="L5" s="401"/>
      <c r="M5" s="401"/>
      <c r="N5" s="401"/>
      <c r="O5" s="401"/>
      <c r="P5" s="401"/>
      <c r="Q5" s="401"/>
      <c r="R5" s="401"/>
      <c r="S5" s="401"/>
      <c r="T5" s="401"/>
      <c r="U5" s="401"/>
      <c r="V5" s="405"/>
    </row>
    <row r="6" spans="2:22" ht="13.5" customHeight="1" x14ac:dyDescent="0.25">
      <c r="B6" s="317"/>
      <c r="C6" s="318"/>
      <c r="D6" s="318"/>
      <c r="E6" s="322"/>
      <c r="F6" s="319"/>
      <c r="G6" s="320"/>
      <c r="H6" s="320"/>
      <c r="I6" s="323"/>
      <c r="J6" s="323"/>
      <c r="K6" s="318"/>
      <c r="L6" s="318"/>
      <c r="M6" s="318"/>
      <c r="N6" s="318"/>
      <c r="O6" s="318"/>
      <c r="P6" s="318"/>
      <c r="Q6" s="318"/>
      <c r="R6" s="318"/>
      <c r="S6" s="318"/>
      <c r="T6" s="318"/>
      <c r="U6" s="318"/>
      <c r="V6" s="321"/>
    </row>
    <row r="7" spans="2:22" ht="13.5" customHeight="1" x14ac:dyDescent="0.25">
      <c r="B7" s="317"/>
      <c r="C7" s="318"/>
      <c r="D7" s="318"/>
      <c r="E7" s="322"/>
      <c r="F7" s="419"/>
      <c r="G7" s="420"/>
      <c r="H7" s="420"/>
      <c r="I7" s="421"/>
      <c r="J7" s="421"/>
      <c r="K7" s="318"/>
      <c r="L7" s="318"/>
      <c r="M7" s="318"/>
      <c r="N7" s="318"/>
      <c r="O7" s="318"/>
      <c r="P7" s="318"/>
      <c r="Q7" s="318"/>
      <c r="R7" s="318"/>
      <c r="S7" s="318"/>
      <c r="T7" s="318"/>
      <c r="U7" s="318"/>
      <c r="V7" s="321"/>
    </row>
    <row r="8" spans="2:22" ht="13.5" customHeight="1" x14ac:dyDescent="0.25">
      <c r="B8" s="317"/>
      <c r="C8" s="332"/>
      <c r="D8" s="332"/>
      <c r="E8" s="333"/>
      <c r="F8" s="422"/>
      <c r="G8" s="423"/>
      <c r="H8" s="423"/>
      <c r="I8" s="424"/>
      <c r="J8" s="424"/>
      <c r="K8" s="332"/>
      <c r="L8" s="318"/>
      <c r="M8" s="332"/>
      <c r="N8" s="332"/>
      <c r="O8" s="332"/>
      <c r="P8" s="334"/>
      <c r="Q8" s="335"/>
      <c r="R8" s="335"/>
      <c r="S8" s="341"/>
      <c r="T8" s="341"/>
      <c r="U8" s="332"/>
      <c r="V8" s="321"/>
    </row>
    <row r="9" spans="2:22" ht="13.5" customHeight="1" x14ac:dyDescent="0.25">
      <c r="B9" s="317"/>
      <c r="C9" s="332"/>
      <c r="D9" s="416" t="s">
        <v>275</v>
      </c>
      <c r="E9" s="418"/>
      <c r="F9" s="422"/>
      <c r="G9" s="392">
        <f ca="1">NOW()</f>
        <v>41609.617900347221</v>
      </c>
      <c r="H9" s="434"/>
      <c r="I9" s="393">
        <f ca="1">YEAR(G9)-YEAR(I11)</f>
        <v>60</v>
      </c>
      <c r="J9" s="394">
        <f ca="1">MONTH(G9)-MONTH(I11)</f>
        <v>6</v>
      </c>
      <c r="K9" s="332"/>
      <c r="L9" s="318"/>
      <c r="M9" s="332"/>
      <c r="N9" s="332"/>
      <c r="O9" s="332"/>
      <c r="P9" s="332"/>
      <c r="Q9" s="332"/>
      <c r="R9" s="332"/>
      <c r="S9" s="332"/>
      <c r="T9" s="332"/>
      <c r="U9" s="332"/>
      <c r="V9" s="321"/>
    </row>
    <row r="10" spans="2:22" ht="13.5" customHeight="1" x14ac:dyDescent="0.25">
      <c r="B10" s="23"/>
      <c r="C10" s="336"/>
      <c r="D10" s="332" t="s">
        <v>79</v>
      </c>
      <c r="E10" s="332"/>
      <c r="F10" s="424"/>
      <c r="G10" s="424"/>
      <c r="H10" s="424"/>
      <c r="I10" s="609" t="s">
        <v>32</v>
      </c>
      <c r="J10" s="610"/>
      <c r="K10" s="332"/>
      <c r="L10" s="318"/>
      <c r="M10" s="332"/>
      <c r="N10" s="350" t="s">
        <v>304</v>
      </c>
      <c r="O10" s="350"/>
      <c r="P10" s="351"/>
      <c r="Q10" s="352"/>
      <c r="R10" s="352"/>
      <c r="S10" s="674">
        <f ca="1">+I58/I18-1</f>
        <v>0.55299407247142662</v>
      </c>
      <c r="T10" s="674"/>
      <c r="U10" s="332"/>
      <c r="V10" s="321"/>
    </row>
    <row r="11" spans="2:22" ht="13.5" customHeight="1" x14ac:dyDescent="0.25">
      <c r="B11" s="317"/>
      <c r="C11" s="332"/>
      <c r="D11" s="332" t="s">
        <v>287</v>
      </c>
      <c r="E11" s="332"/>
      <c r="F11" s="422"/>
      <c r="G11" s="423"/>
      <c r="H11" s="423"/>
      <c r="I11" s="425">
        <v>19511</v>
      </c>
      <c r="J11" s="435"/>
      <c r="K11" s="332"/>
      <c r="L11" s="318"/>
      <c r="M11" s="336"/>
      <c r="N11" s="383"/>
      <c r="O11" s="388"/>
      <c r="P11" s="384"/>
      <c r="Q11" s="385"/>
      <c r="R11" s="385"/>
      <c r="S11" s="389"/>
      <c r="T11" s="383"/>
      <c r="U11" s="332"/>
      <c r="V11" s="321"/>
    </row>
    <row r="12" spans="2:22" ht="13.5" customHeight="1" x14ac:dyDescent="0.25">
      <c r="B12" s="317"/>
      <c r="C12" s="332"/>
      <c r="D12" s="336"/>
      <c r="E12" s="332"/>
      <c r="F12" s="422"/>
      <c r="G12" s="423"/>
      <c r="H12" s="423"/>
      <c r="I12" s="424"/>
      <c r="J12" s="426"/>
      <c r="K12" s="332"/>
      <c r="L12" s="318"/>
      <c r="M12" s="336"/>
      <c r="N12" s="380"/>
      <c r="O12" s="386"/>
      <c r="P12" s="381"/>
      <c r="Q12" s="382"/>
      <c r="R12" s="382"/>
      <c r="S12" s="387"/>
      <c r="T12" s="380"/>
      <c r="U12" s="332"/>
      <c r="V12" s="321"/>
    </row>
    <row r="13" spans="2:22" ht="13.5" customHeight="1" x14ac:dyDescent="0.25">
      <c r="B13" s="317"/>
      <c r="C13" s="332"/>
      <c r="D13" s="416" t="s">
        <v>23</v>
      </c>
      <c r="E13" s="332"/>
      <c r="F13" s="424"/>
      <c r="G13" s="424"/>
      <c r="H13" s="424"/>
      <c r="I13" s="427"/>
      <c r="J13" s="424"/>
      <c r="K13" s="332"/>
      <c r="L13" s="318"/>
      <c r="M13" s="333"/>
      <c r="N13" s="416" t="s">
        <v>450</v>
      </c>
      <c r="O13" s="410"/>
      <c r="P13" s="412"/>
      <c r="Q13" s="413"/>
      <c r="R13" s="413"/>
      <c r="S13" s="414" t="s">
        <v>66</v>
      </c>
      <c r="T13" s="415" t="s">
        <v>67</v>
      </c>
      <c r="U13" s="332"/>
      <c r="V13" s="321"/>
    </row>
    <row r="14" spans="2:22" ht="13.5" customHeight="1" x14ac:dyDescent="0.25">
      <c r="B14" s="317"/>
      <c r="C14" s="332"/>
      <c r="D14" s="334" t="s">
        <v>21</v>
      </c>
      <c r="E14" s="332"/>
      <c r="F14" s="424"/>
      <c r="G14" s="422"/>
      <c r="H14" s="423"/>
      <c r="I14" s="428" t="s">
        <v>0</v>
      </c>
      <c r="J14" s="395">
        <f>IF(AND(I14&gt;0,I14&lt;15),0,100)</f>
        <v>100</v>
      </c>
      <c r="K14" s="332"/>
      <c r="L14" s="318"/>
      <c r="M14" s="333"/>
      <c r="N14" s="336"/>
      <c r="O14" s="332"/>
      <c r="P14" s="334"/>
      <c r="Q14" s="335"/>
      <c r="R14" s="335"/>
      <c r="S14" s="353"/>
      <c r="T14" s="336"/>
      <c r="U14" s="332"/>
      <c r="V14" s="321"/>
    </row>
    <row r="15" spans="2:22" ht="13.5" customHeight="1" x14ac:dyDescent="0.25">
      <c r="B15" s="317"/>
      <c r="C15" s="332"/>
      <c r="D15" s="334" t="s">
        <v>22</v>
      </c>
      <c r="E15" s="332"/>
      <c r="F15" s="424"/>
      <c r="G15" s="423"/>
      <c r="H15" s="423"/>
      <c r="I15" s="428">
        <v>10</v>
      </c>
      <c r="J15" s="395">
        <f>VLOOKUP(I14,salaristabellen,22,FALSE)</f>
        <v>15</v>
      </c>
      <c r="K15" s="332"/>
      <c r="L15" s="318"/>
      <c r="M15" s="333"/>
      <c r="N15" s="354" t="s">
        <v>50</v>
      </c>
      <c r="O15" s="336" t="s">
        <v>65</v>
      </c>
      <c r="P15" s="344"/>
      <c r="Q15" s="340"/>
      <c r="R15" s="340"/>
      <c r="S15" s="375">
        <f>+I38/12</f>
        <v>3221.5</v>
      </c>
      <c r="T15" s="375">
        <f>+I38</f>
        <v>38658</v>
      </c>
      <c r="U15" s="336"/>
      <c r="V15" s="321"/>
    </row>
    <row r="16" spans="2:22" ht="13.5" customHeight="1" x14ac:dyDescent="0.25">
      <c r="B16" s="317"/>
      <c r="C16" s="332"/>
      <c r="D16" s="334" t="s">
        <v>24</v>
      </c>
      <c r="E16" s="332"/>
      <c r="F16" s="424"/>
      <c r="G16" s="423"/>
      <c r="H16" s="423"/>
      <c r="I16" s="429">
        <f>VLOOKUP(I14,salaristabellen,I15+1,FALSE)</f>
        <v>2829</v>
      </c>
      <c r="J16" s="424"/>
      <c r="K16" s="332"/>
      <c r="L16" s="318"/>
      <c r="M16" s="357"/>
      <c r="N16" s="354"/>
      <c r="O16" s="336"/>
      <c r="P16" s="344"/>
      <c r="Q16" s="340"/>
      <c r="R16" s="340"/>
      <c r="S16" s="345"/>
      <c r="T16" s="345"/>
      <c r="U16" s="336"/>
      <c r="V16" s="321"/>
    </row>
    <row r="17" spans="2:22" ht="13.5" customHeight="1" x14ac:dyDescent="0.25">
      <c r="B17" s="317"/>
      <c r="C17" s="332"/>
      <c r="D17" s="332" t="s">
        <v>25</v>
      </c>
      <c r="E17" s="332"/>
      <c r="F17" s="422"/>
      <c r="G17" s="423"/>
      <c r="H17" s="423"/>
      <c r="I17" s="430">
        <v>1</v>
      </c>
      <c r="J17" s="424"/>
      <c r="K17" s="332"/>
      <c r="L17" s="318"/>
      <c r="M17" s="357"/>
      <c r="N17" s="355" t="s">
        <v>51</v>
      </c>
      <c r="O17" s="333" t="s">
        <v>40</v>
      </c>
      <c r="P17" s="346"/>
      <c r="Q17" s="347"/>
      <c r="R17" s="356"/>
      <c r="S17" s="376">
        <f>IF($I$38/$I$17&lt;tabellen!E54,0,(+$I$38-tabellen!E54*I17)/12*tabellen!$D54)</f>
        <v>181.14105000000001</v>
      </c>
      <c r="T17" s="376">
        <f>IF($I$38/$I$17&lt;tabellen!E54,0,(+$I$38-tabellen!E54*I17)*tabellen!$D54)</f>
        <v>2173.6926000000003</v>
      </c>
      <c r="U17" s="333"/>
      <c r="V17" s="321"/>
    </row>
    <row r="18" spans="2:22" ht="13.5" customHeight="1" x14ac:dyDescent="0.25">
      <c r="B18" s="317"/>
      <c r="C18" s="332"/>
      <c r="D18" s="334" t="s">
        <v>26</v>
      </c>
      <c r="E18" s="332"/>
      <c r="F18" s="424"/>
      <c r="G18" s="423"/>
      <c r="H18" s="423"/>
      <c r="I18" s="379">
        <f>+I16*I17</f>
        <v>2829</v>
      </c>
      <c r="J18" s="424"/>
      <c r="K18" s="332"/>
      <c r="L18" s="318"/>
      <c r="M18" s="332"/>
      <c r="N18" s="355" t="s">
        <v>52</v>
      </c>
      <c r="O18" s="333" t="s">
        <v>229</v>
      </c>
      <c r="P18" s="346"/>
      <c r="Q18" s="347"/>
      <c r="R18" s="356"/>
      <c r="S18" s="376">
        <f>IF($I$38/$I$17&lt;tabellen!E55,0,(+$I$38-tabellen!E55*$I$17)/12*tabellen!$D55)</f>
        <v>1.6381666666666668</v>
      </c>
      <c r="T18" s="376">
        <f>IF($I$38/$I$17&lt;tabellen!E55,0,(+$I$38-tabellen!E55*$I$17)*tabellen!$D55)</f>
        <v>19.658000000000001</v>
      </c>
      <c r="U18" s="333"/>
      <c r="V18" s="321"/>
    </row>
    <row r="19" spans="2:22" ht="13.5" customHeight="1" x14ac:dyDescent="0.25">
      <c r="B19" s="317"/>
      <c r="C19" s="332"/>
      <c r="D19" s="383"/>
      <c r="E19" s="383"/>
      <c r="F19" s="384"/>
      <c r="G19" s="385"/>
      <c r="H19" s="385"/>
      <c r="I19" s="391"/>
      <c r="J19" s="383"/>
      <c r="K19" s="332"/>
      <c r="L19" s="318"/>
      <c r="M19" s="332"/>
      <c r="N19" s="355" t="s">
        <v>53</v>
      </c>
      <c r="O19" s="333" t="s">
        <v>43</v>
      </c>
      <c r="P19" s="346" t="s">
        <v>285</v>
      </c>
      <c r="Q19" s="347"/>
      <c r="R19" s="356"/>
      <c r="S19" s="376">
        <f>$I$38/12*tabellen!$D56</f>
        <v>77.316000000000003</v>
      </c>
      <c r="T19" s="376">
        <f>$I$38*tabellen!$D56</f>
        <v>927.79200000000003</v>
      </c>
      <c r="U19" s="333"/>
      <c r="V19" s="321"/>
    </row>
    <row r="20" spans="2:22" ht="13.5" customHeight="1" x14ac:dyDescent="0.25">
      <c r="B20" s="317"/>
      <c r="C20" s="332"/>
      <c r="D20" s="380"/>
      <c r="E20" s="380"/>
      <c r="F20" s="381"/>
      <c r="G20" s="382"/>
      <c r="H20" s="382"/>
      <c r="I20" s="390"/>
      <c r="J20" s="380"/>
      <c r="K20" s="332"/>
      <c r="L20" s="318"/>
      <c r="M20" s="336"/>
      <c r="N20" s="358" t="s">
        <v>54</v>
      </c>
      <c r="O20" s="357" t="s">
        <v>47</v>
      </c>
      <c r="P20" s="359"/>
      <c r="Q20" s="360"/>
      <c r="R20" s="361"/>
      <c r="S20" s="377">
        <f>SUM(S17:S19)</f>
        <v>260.09521666666672</v>
      </c>
      <c r="T20" s="377">
        <f>SUM(T17:T19)</f>
        <v>3121.1426000000001</v>
      </c>
      <c r="U20" s="357"/>
      <c r="V20" s="321"/>
    </row>
    <row r="21" spans="2:22" ht="13.5" customHeight="1" x14ac:dyDescent="0.25">
      <c r="B21" s="317"/>
      <c r="C21" s="332"/>
      <c r="D21" s="416" t="s">
        <v>37</v>
      </c>
      <c r="E21" s="332"/>
      <c r="F21" s="334"/>
      <c r="G21" s="335"/>
      <c r="H21" s="335"/>
      <c r="I21" s="332"/>
      <c r="J21" s="332"/>
      <c r="K21" s="332"/>
      <c r="L21" s="318"/>
      <c r="M21" s="336"/>
      <c r="N21" s="358"/>
      <c r="O21" s="357"/>
      <c r="P21" s="359"/>
      <c r="Q21" s="360"/>
      <c r="R21" s="361"/>
      <c r="S21" s="362"/>
      <c r="T21" s="362"/>
      <c r="U21" s="357"/>
      <c r="V21" s="321"/>
    </row>
    <row r="22" spans="2:22" ht="13.5" customHeight="1" x14ac:dyDescent="0.25">
      <c r="B22" s="317"/>
      <c r="C22" s="332"/>
      <c r="D22" s="334" t="s">
        <v>48</v>
      </c>
      <c r="E22" s="332"/>
      <c r="F22" s="371" t="s">
        <v>0</v>
      </c>
      <c r="G22" s="369" t="s">
        <v>458</v>
      </c>
      <c r="H22" s="335"/>
      <c r="I22" s="370">
        <f>ROUND(IF(G22="j",VLOOKUP(F22,uitlooptoeslag,2,FALSE))*IF(I17&gt;1,1,I17),2)</f>
        <v>0</v>
      </c>
      <c r="J22" s="332"/>
      <c r="K22" s="332"/>
      <c r="L22" s="318"/>
      <c r="M22" s="332"/>
      <c r="N22" s="354" t="s">
        <v>57</v>
      </c>
      <c r="O22" s="336" t="s">
        <v>99</v>
      </c>
      <c r="P22" s="344"/>
      <c r="Q22" s="340"/>
      <c r="R22" s="340"/>
      <c r="S22" s="375">
        <f>+(I34+I39)/12-S20</f>
        <v>3045.2034500000004</v>
      </c>
      <c r="T22" s="375">
        <f>+I34+I39-T20</f>
        <v>36542.441400000003</v>
      </c>
      <c r="U22" s="332"/>
      <c r="V22" s="321"/>
    </row>
    <row r="23" spans="2:22" ht="13.5" customHeight="1" x14ac:dyDescent="0.25">
      <c r="B23" s="317"/>
      <c r="C23" s="332"/>
      <c r="D23" s="334" t="s">
        <v>247</v>
      </c>
      <c r="E23" s="577"/>
      <c r="F23" s="471">
        <v>41487</v>
      </c>
      <c r="G23" s="369" t="s">
        <v>458</v>
      </c>
      <c r="H23" s="335"/>
      <c r="I23" s="370">
        <f>ROUND(IF(OR(I14="LA",I14="LB"),IF(G23="j",tabellen!C75*I17,0),0),2)</f>
        <v>0</v>
      </c>
      <c r="J23" s="332"/>
      <c r="K23" s="332"/>
      <c r="L23" s="318"/>
      <c r="M23" s="332"/>
      <c r="N23" s="354"/>
      <c r="O23" s="336"/>
      <c r="P23" s="344"/>
      <c r="Q23" s="340"/>
      <c r="R23" s="340"/>
      <c r="S23" s="345"/>
      <c r="T23" s="345"/>
      <c r="U23" s="332"/>
      <c r="V23" s="321"/>
    </row>
    <row r="24" spans="2:22" ht="13.5" customHeight="1" x14ac:dyDescent="0.25">
      <c r="B24" s="317"/>
      <c r="C24" s="332"/>
      <c r="D24" s="334" t="s">
        <v>38</v>
      </c>
      <c r="E24" s="332"/>
      <c r="F24" s="334"/>
      <c r="G24" s="398">
        <v>0.08</v>
      </c>
      <c r="H24" s="342"/>
      <c r="I24" s="370">
        <f>ROUND(IF((I$18+I$22+I23)*G24&lt;I17*tabellen!D87,I17*tabellen!D87,(I$18+I$22+I23)*G24),2)</f>
        <v>226.32</v>
      </c>
      <c r="J24" s="332"/>
      <c r="K24" s="332"/>
      <c r="L24" s="318"/>
      <c r="M24" s="332"/>
      <c r="N24" s="363" t="s">
        <v>58</v>
      </c>
      <c r="O24" s="332" t="s">
        <v>302</v>
      </c>
      <c r="P24" s="334"/>
      <c r="Q24" s="335"/>
      <c r="R24" s="335"/>
      <c r="S24" s="370">
        <f>+S36</f>
        <v>1197.1312823333333</v>
      </c>
      <c r="T24" s="370">
        <f>+T36</f>
        <v>14365.575388000001</v>
      </c>
      <c r="U24" s="336"/>
      <c r="V24" s="321"/>
    </row>
    <row r="25" spans="2:22" ht="13.5" customHeight="1" x14ac:dyDescent="0.25">
      <c r="B25" s="317"/>
      <c r="C25" s="332"/>
      <c r="D25" s="334" t="s">
        <v>83</v>
      </c>
      <c r="E25" s="332"/>
      <c r="F25" s="334"/>
      <c r="G25" s="397">
        <f>+tabellen!D88</f>
        <v>6.3E-2</v>
      </c>
      <c r="H25" s="343"/>
      <c r="I25" s="370">
        <f>ROUND(+(I$18+I$22+I23)*G25,2)</f>
        <v>178.23</v>
      </c>
      <c r="J25" s="332"/>
      <c r="K25" s="332"/>
      <c r="L25" s="318"/>
      <c r="M25" s="336"/>
      <c r="N25" s="363"/>
      <c r="O25" s="332"/>
      <c r="P25" s="334"/>
      <c r="Q25" s="335"/>
      <c r="R25" s="335"/>
      <c r="S25" s="341"/>
      <c r="T25" s="341"/>
      <c r="U25" s="336"/>
      <c r="V25" s="321"/>
    </row>
    <row r="26" spans="2:22" ht="13.5" customHeight="1" x14ac:dyDescent="0.25">
      <c r="B26" s="317"/>
      <c r="C26" s="332"/>
      <c r="D26" s="334" t="s">
        <v>119</v>
      </c>
      <c r="E26" s="332"/>
      <c r="F26" s="334"/>
      <c r="G26" s="343"/>
      <c r="H26" s="343"/>
      <c r="I26" s="370">
        <f>+tabellen!C83*I17</f>
        <v>32.409999999999997</v>
      </c>
      <c r="J26" s="332"/>
      <c r="K26" s="332"/>
      <c r="L26" s="318"/>
      <c r="M26" s="337"/>
      <c r="N26" s="354" t="s">
        <v>98</v>
      </c>
      <c r="O26" s="336" t="s">
        <v>100</v>
      </c>
      <c r="P26" s="344"/>
      <c r="Q26" s="340"/>
      <c r="R26" s="340"/>
      <c r="S26" s="379">
        <f>+S22-S24</f>
        <v>1848.0721676666672</v>
      </c>
      <c r="T26" s="379">
        <f>+T22-T24</f>
        <v>22176.866012000002</v>
      </c>
      <c r="U26" s="332"/>
      <c r="V26" s="321"/>
    </row>
    <row r="27" spans="2:22" ht="13.5" customHeight="1" x14ac:dyDescent="0.25">
      <c r="B27" s="317"/>
      <c r="C27" s="332"/>
      <c r="D27" s="334" t="s">
        <v>117</v>
      </c>
      <c r="E27" s="332"/>
      <c r="F27" s="338"/>
      <c r="G27" s="396">
        <f>IF(J14=100,0,I14)</f>
        <v>0</v>
      </c>
      <c r="H27" s="343"/>
      <c r="I27" s="370">
        <f>VLOOKUP(G27,eindejaarsuitkering_OOP,2,TRUE)*I17/12</f>
        <v>0</v>
      </c>
      <c r="J27" s="332"/>
      <c r="K27" s="332"/>
      <c r="L27" s="318"/>
      <c r="M27" s="337"/>
      <c r="N27" s="383"/>
      <c r="O27" s="388"/>
      <c r="P27" s="384"/>
      <c r="Q27" s="385"/>
      <c r="R27" s="385"/>
      <c r="S27" s="389"/>
      <c r="T27" s="383"/>
      <c r="U27" s="332"/>
      <c r="V27" s="321"/>
    </row>
    <row r="28" spans="2:22" ht="13.5" customHeight="1" x14ac:dyDescent="0.25">
      <c r="B28" s="317"/>
      <c r="C28" s="332"/>
      <c r="D28" s="334" t="s">
        <v>249</v>
      </c>
      <c r="E28" s="332"/>
      <c r="F28" s="338"/>
      <c r="G28" s="397" t="str">
        <f>IF(OR(I14="DA",I14="DB",I14="DBuit",I14="DC",I14="DCuit",MID(I14,1,5)="meerh"),"j","n")</f>
        <v>n</v>
      </c>
      <c r="H28" s="343"/>
      <c r="I28" s="370">
        <f>ROUND(IF(G28="j",tabellen!D96*IF(I17&gt;1,1,I17),0),2)</f>
        <v>0</v>
      </c>
      <c r="J28" s="332"/>
      <c r="K28" s="332"/>
      <c r="L28" s="318"/>
      <c r="M28" s="337"/>
      <c r="N28" s="380"/>
      <c r="O28" s="386"/>
      <c r="P28" s="381"/>
      <c r="Q28" s="382"/>
      <c r="R28" s="382"/>
      <c r="S28" s="387"/>
      <c r="T28" s="380"/>
      <c r="U28" s="332"/>
      <c r="V28" s="321"/>
    </row>
    <row r="29" spans="2:22" s="309" customFormat="1" ht="13.5" customHeight="1" x14ac:dyDescent="0.25">
      <c r="B29" s="23"/>
      <c r="C29" s="336"/>
      <c r="D29" s="336"/>
      <c r="E29" s="336"/>
      <c r="F29" s="344"/>
      <c r="G29" s="340"/>
      <c r="H29" s="340"/>
      <c r="I29" s="375">
        <f>+I18+SUM(I22:I28)</f>
        <v>3265.96</v>
      </c>
      <c r="J29" s="336"/>
      <c r="K29" s="336"/>
      <c r="L29" s="28"/>
      <c r="M29" s="332"/>
      <c r="N29" s="416" t="s">
        <v>303</v>
      </c>
      <c r="O29" s="410"/>
      <c r="P29" s="412"/>
      <c r="Q29" s="413"/>
      <c r="R29" s="413"/>
      <c r="S29" s="414" t="s">
        <v>66</v>
      </c>
      <c r="T29" s="415" t="s">
        <v>67</v>
      </c>
      <c r="U29" s="336"/>
      <c r="V29" s="324"/>
    </row>
    <row r="30" spans="2:22" ht="13.5" customHeight="1" x14ac:dyDescent="0.25">
      <c r="B30" s="317"/>
      <c r="C30" s="332"/>
      <c r="D30" s="336"/>
      <c r="E30" s="332"/>
      <c r="F30" s="334"/>
      <c r="G30" s="335"/>
      <c r="H30" s="335"/>
      <c r="I30" s="341"/>
      <c r="J30" s="332"/>
      <c r="K30" s="332"/>
      <c r="L30" s="318"/>
      <c r="M30" s="336"/>
      <c r="N30" s="336" t="s">
        <v>57</v>
      </c>
      <c r="O30" s="336" t="s">
        <v>301</v>
      </c>
      <c r="P30" s="334"/>
      <c r="Q30" s="335"/>
      <c r="R30" s="335"/>
      <c r="S30" s="379">
        <f>+S22</f>
        <v>3045.2034500000004</v>
      </c>
      <c r="T30" s="379">
        <f>+T22</f>
        <v>36542.441400000003</v>
      </c>
      <c r="U30" s="332"/>
      <c r="V30" s="321"/>
    </row>
    <row r="31" spans="2:22" ht="13.5" customHeight="1" x14ac:dyDescent="0.25">
      <c r="B31" s="317"/>
      <c r="C31" s="332"/>
      <c r="D31" s="332" t="s">
        <v>39</v>
      </c>
      <c r="E31" s="336"/>
      <c r="F31" s="334"/>
      <c r="G31" s="335"/>
      <c r="H31" s="335"/>
      <c r="I31" s="370">
        <f>+I29*12</f>
        <v>39191.520000000004</v>
      </c>
      <c r="J31" s="332"/>
      <c r="K31" s="332"/>
      <c r="L31" s="318"/>
      <c r="M31" s="332"/>
      <c r="N31" s="336"/>
      <c r="O31" s="336"/>
      <c r="P31" s="344"/>
      <c r="Q31" s="340"/>
      <c r="R31" s="340"/>
      <c r="S31" s="364"/>
      <c r="T31" s="364"/>
      <c r="U31" s="332"/>
      <c r="V31" s="321"/>
    </row>
    <row r="32" spans="2:22" ht="13.5" customHeight="1" x14ac:dyDescent="0.25">
      <c r="B32" s="317"/>
      <c r="C32" s="332"/>
      <c r="D32" s="332" t="s">
        <v>75</v>
      </c>
      <c r="E32" s="336"/>
      <c r="F32" s="371" t="s">
        <v>76</v>
      </c>
      <c r="G32" s="369" t="s">
        <v>458</v>
      </c>
      <c r="H32" s="335"/>
      <c r="I32" s="370">
        <f>ROUND(IF(G32="j",VLOOKUP(F32,bindingstoelage,2,FALSE))*IF(I17&gt;1,1,I17),2)</f>
        <v>0</v>
      </c>
      <c r="J32" s="332"/>
      <c r="K32" s="332"/>
      <c r="L32" s="318"/>
      <c r="M32" s="332"/>
      <c r="N32" s="332" t="s">
        <v>112</v>
      </c>
      <c r="O32" s="332"/>
      <c r="P32" s="373">
        <f>IF(T22&gt;tabellen!B104,tabellen!B104,T22)</f>
        <v>19645</v>
      </c>
      <c r="Q32" s="374">
        <f>+tabellen!C104</f>
        <v>0.37</v>
      </c>
      <c r="R32" s="343"/>
      <c r="S32" s="370">
        <f>+P32*Q32/12</f>
        <v>605.7208333333333</v>
      </c>
      <c r="T32" s="370">
        <f>+P32*Q32</f>
        <v>7268.65</v>
      </c>
      <c r="U32" s="332"/>
      <c r="V32" s="321"/>
    </row>
    <row r="33" spans="2:22" ht="13.5" customHeight="1" x14ac:dyDescent="0.25">
      <c r="B33" s="317"/>
      <c r="C33" s="332"/>
      <c r="D33" s="332" t="s">
        <v>233</v>
      </c>
      <c r="E33" s="336"/>
      <c r="F33" s="334"/>
      <c r="G33" s="335"/>
      <c r="H33" s="335"/>
      <c r="I33" s="370">
        <f>ROUND(I17*tabellen!D94,2)</f>
        <v>200</v>
      </c>
      <c r="J33" s="332"/>
      <c r="K33" s="332"/>
      <c r="L33" s="318"/>
      <c r="M33" s="332"/>
      <c r="N33" s="332" t="s">
        <v>113</v>
      </c>
      <c r="O33" s="332"/>
      <c r="P33" s="373">
        <f>IF((IF(T22&gt;tabellen!B105,tabellen!B105,T22)-tabellen!B104)&lt;0,0,IF(T22&gt;tabellen!B105,tabellen!B105,T22)-tabellen!B104)</f>
        <v>13718</v>
      </c>
      <c r="Q33" s="374">
        <f>+tabellen!C105</f>
        <v>0.42</v>
      </c>
      <c r="R33" s="343"/>
      <c r="S33" s="370">
        <f>+P33*Q33/12</f>
        <v>480.12999999999994</v>
      </c>
      <c r="T33" s="370">
        <f>+P33*Q33</f>
        <v>5761.5599999999995</v>
      </c>
      <c r="U33" s="332"/>
      <c r="V33" s="321"/>
    </row>
    <row r="34" spans="2:22" ht="13.5" customHeight="1" x14ac:dyDescent="0.25">
      <c r="B34" s="317"/>
      <c r="C34" s="332"/>
      <c r="D34" s="336"/>
      <c r="E34" s="332"/>
      <c r="F34" s="334"/>
      <c r="G34" s="335"/>
      <c r="H34" s="335"/>
      <c r="I34" s="379">
        <f>ROUND(SUM(I31:I33),0)</f>
        <v>39392</v>
      </c>
      <c r="J34" s="332"/>
      <c r="K34" s="332"/>
      <c r="L34" s="318"/>
      <c r="M34" s="332"/>
      <c r="N34" s="332" t="s">
        <v>114</v>
      </c>
      <c r="O34" s="332"/>
      <c r="P34" s="373">
        <f>IF((IF(T22&gt;tabellen!B106,tabellen!B106,T22)-tabellen!B105)&lt;0,0,IF(T22&gt;tabellen!B106,tabellen!B106,T22)-tabellen!B105)</f>
        <v>3179.4414000000033</v>
      </c>
      <c r="Q34" s="374">
        <f>+tabellen!C106</f>
        <v>0.42</v>
      </c>
      <c r="R34" s="342"/>
      <c r="S34" s="370">
        <f>+P34*Q34/12</f>
        <v>111.2804490000001</v>
      </c>
      <c r="T34" s="370">
        <f>+P34*Q34</f>
        <v>1335.3653880000013</v>
      </c>
      <c r="U34" s="336"/>
      <c r="V34" s="321"/>
    </row>
    <row r="35" spans="2:22" ht="13.5" customHeight="1" x14ac:dyDescent="0.25">
      <c r="B35" s="317"/>
      <c r="C35" s="332"/>
      <c r="D35" s="336"/>
      <c r="E35" s="332"/>
      <c r="F35" s="334"/>
      <c r="G35" s="335"/>
      <c r="H35" s="335"/>
      <c r="I35" s="341"/>
      <c r="J35" s="332"/>
      <c r="K35" s="332"/>
      <c r="L35" s="318"/>
      <c r="M35" s="336"/>
      <c r="N35" s="332" t="s">
        <v>115</v>
      </c>
      <c r="O35" s="332"/>
      <c r="P35" s="669">
        <f>IF((IF(T22&gt;tabellen!B107,tabellen!B107,T22)-tabellen!B106)&lt;0,0,IF(T22&gt;tabellen!B107,tabellen!B107,T22)-tabellen!B106)</f>
        <v>0</v>
      </c>
      <c r="Q35" s="670">
        <f>+tabellen!C107</f>
        <v>0.52</v>
      </c>
      <c r="R35" s="342"/>
      <c r="S35" s="370">
        <f>+P35*Q35/12</f>
        <v>0</v>
      </c>
      <c r="T35" s="370">
        <f>+P35*Q35</f>
        <v>0</v>
      </c>
      <c r="U35" s="332"/>
      <c r="V35" s="321"/>
    </row>
    <row r="36" spans="2:22" ht="13.5" customHeight="1" x14ac:dyDescent="0.25">
      <c r="B36" s="317"/>
      <c r="C36" s="332"/>
      <c r="D36" s="332" t="s">
        <v>64</v>
      </c>
      <c r="E36" s="332"/>
      <c r="F36" s="334"/>
      <c r="G36" s="397">
        <v>1.9E-2</v>
      </c>
      <c r="H36" s="343"/>
      <c r="I36" s="370">
        <f>+(I34/(1+1.9%))*G36</f>
        <v>734.49263984298329</v>
      </c>
      <c r="J36" s="332"/>
      <c r="K36" s="332"/>
      <c r="L36" s="318"/>
      <c r="M36" s="332"/>
      <c r="N36" s="344"/>
      <c r="O36" s="336"/>
      <c r="P36" s="399">
        <f>SUM(P32:P35)</f>
        <v>36542.441400000003</v>
      </c>
      <c r="Q36" s="365"/>
      <c r="R36" s="340"/>
      <c r="S36" s="379">
        <f>SUM(S32:S35)</f>
        <v>1197.1312823333333</v>
      </c>
      <c r="T36" s="379">
        <f>SUM(T32:T35)</f>
        <v>14365.575388000001</v>
      </c>
      <c r="U36" s="332"/>
      <c r="V36" s="321"/>
    </row>
    <row r="37" spans="2:22" ht="13.5" customHeight="1" x14ac:dyDescent="0.25">
      <c r="B37" s="317"/>
      <c r="C37" s="332"/>
      <c r="D37" s="332" t="s">
        <v>63</v>
      </c>
      <c r="E37" s="332"/>
      <c r="F37" s="334"/>
      <c r="G37" s="335"/>
      <c r="H37" s="335"/>
      <c r="I37" s="370">
        <v>791.85</v>
      </c>
      <c r="J37" s="407">
        <f>IF(I37&gt;I36,I36,I37)</f>
        <v>734.49263984298329</v>
      </c>
      <c r="K37" s="332"/>
      <c r="L37" s="318"/>
      <c r="M37" s="332"/>
      <c r="N37" s="332"/>
      <c r="O37" s="332"/>
      <c r="P37" s="366"/>
      <c r="Q37" s="335"/>
      <c r="R37" s="335"/>
      <c r="S37" s="341"/>
      <c r="T37" s="341"/>
      <c r="U37" s="332"/>
      <c r="V37" s="321"/>
    </row>
    <row r="38" spans="2:22" ht="13.5" customHeight="1" x14ac:dyDescent="0.25">
      <c r="B38" s="317"/>
      <c r="C38" s="332"/>
      <c r="D38" s="336" t="s">
        <v>65</v>
      </c>
      <c r="E38" s="332"/>
      <c r="F38" s="334"/>
      <c r="G38" s="335"/>
      <c r="H38" s="335"/>
      <c r="I38" s="379">
        <f>ROUND(I34-IF(I37&gt;I36,I36,I37),0)</f>
        <v>38658</v>
      </c>
      <c r="J38" s="332"/>
      <c r="K38" s="332"/>
      <c r="L38" s="318"/>
      <c r="M38" s="332"/>
      <c r="N38" s="600"/>
      <c r="O38" s="600"/>
      <c r="P38" s="600"/>
      <c r="Q38" s="600"/>
      <c r="R38" s="600"/>
      <c r="S38" s="600"/>
      <c r="T38" s="600"/>
      <c r="U38" s="332"/>
      <c r="V38" s="321"/>
    </row>
    <row r="39" spans="2:22" s="310" customFormat="1" ht="13.5" customHeight="1" x14ac:dyDescent="0.25">
      <c r="B39" s="325"/>
      <c r="C39" s="333"/>
      <c r="D39" s="346" t="s">
        <v>215</v>
      </c>
      <c r="E39" s="333"/>
      <c r="F39" s="346"/>
      <c r="G39" s="346"/>
      <c r="H39" s="347"/>
      <c r="I39" s="378">
        <f>IF(I11&lt;1950,0,+(I18+I22+I23)*tabellen!C85)*12</f>
        <v>271.584</v>
      </c>
      <c r="J39" s="333"/>
      <c r="K39" s="333"/>
      <c r="L39" s="322"/>
      <c r="M39" s="333"/>
      <c r="N39" s="600"/>
      <c r="O39" s="600"/>
      <c r="P39" s="600"/>
      <c r="Q39" s="600"/>
      <c r="R39" s="600"/>
      <c r="S39" s="600"/>
      <c r="T39" s="600"/>
      <c r="U39" s="336"/>
      <c r="V39" s="436"/>
    </row>
    <row r="40" spans="2:22" ht="13.5" customHeight="1" x14ac:dyDescent="0.25">
      <c r="B40" s="317"/>
      <c r="C40" s="332"/>
      <c r="D40" s="383"/>
      <c r="E40" s="388"/>
      <c r="F40" s="384"/>
      <c r="G40" s="385"/>
      <c r="H40" s="385"/>
      <c r="I40" s="389"/>
      <c r="J40" s="383"/>
      <c r="K40" s="339"/>
      <c r="L40" s="318"/>
      <c r="M40" s="332"/>
      <c r="N40" s="601"/>
      <c r="O40" s="601"/>
      <c r="P40" s="601"/>
      <c r="Q40" s="601"/>
      <c r="R40" s="601"/>
      <c r="S40" s="601"/>
      <c r="T40" s="601"/>
      <c r="U40" s="332"/>
      <c r="V40" s="321"/>
    </row>
    <row r="41" spans="2:22" ht="13.5" customHeight="1" x14ac:dyDescent="0.25">
      <c r="B41" s="317"/>
      <c r="C41" s="332"/>
      <c r="D41" s="380"/>
      <c r="E41" s="386"/>
      <c r="F41" s="381"/>
      <c r="G41" s="382"/>
      <c r="H41" s="382"/>
      <c r="I41" s="387"/>
      <c r="J41" s="380"/>
      <c r="K41" s="339"/>
      <c r="L41" s="318"/>
      <c r="M41" s="431"/>
      <c r="N41" s="326"/>
      <c r="O41" s="28"/>
      <c r="P41" s="319"/>
      <c r="Q41" s="320"/>
      <c r="R41" s="320"/>
      <c r="S41" s="433"/>
      <c r="T41" s="433"/>
      <c r="U41" s="318"/>
      <c r="V41" s="321"/>
    </row>
    <row r="42" spans="2:22" ht="13.5" customHeight="1" x14ac:dyDescent="0.25">
      <c r="B42" s="317"/>
      <c r="C42" s="332"/>
      <c r="D42" s="416" t="s">
        <v>68</v>
      </c>
      <c r="E42" s="410"/>
      <c r="F42" s="412"/>
      <c r="G42" s="413"/>
      <c r="H42" s="413"/>
      <c r="I42" s="417" t="s">
        <v>66</v>
      </c>
      <c r="J42" s="415" t="s">
        <v>67</v>
      </c>
      <c r="K42" s="332"/>
      <c r="L42" s="318"/>
      <c r="M42" s="318"/>
      <c r="N42" s="318"/>
      <c r="O42" s="318"/>
      <c r="P42" s="318"/>
      <c r="Q42" s="318"/>
      <c r="R42" s="318"/>
      <c r="S42" s="318"/>
      <c r="T42" s="318"/>
      <c r="U42" s="318"/>
      <c r="V42" s="321"/>
    </row>
    <row r="43" spans="2:22" ht="13.5" customHeight="1" x14ac:dyDescent="0.25">
      <c r="B43" s="317"/>
      <c r="C43" s="332"/>
      <c r="D43" s="336"/>
      <c r="E43" s="332"/>
      <c r="F43" s="334"/>
      <c r="G43" s="335"/>
      <c r="H43" s="335"/>
      <c r="I43" s="349"/>
      <c r="J43" s="348"/>
      <c r="K43" s="332"/>
      <c r="L43" s="318"/>
      <c r="M43" s="318"/>
      <c r="N43" s="318"/>
      <c r="O43" s="318"/>
      <c r="P43" s="319"/>
      <c r="Q43" s="320"/>
      <c r="R43" s="320"/>
      <c r="S43" s="318"/>
      <c r="T43" s="318"/>
      <c r="U43" s="322"/>
      <c r="V43" s="321"/>
    </row>
    <row r="44" spans="2:22" ht="13.5" customHeight="1" x14ac:dyDescent="0.25">
      <c r="B44" s="317"/>
      <c r="C44" s="332"/>
      <c r="D44" s="334" t="s">
        <v>50</v>
      </c>
      <c r="E44" s="332" t="s">
        <v>332</v>
      </c>
      <c r="F44" s="334"/>
      <c r="G44" s="335"/>
      <c r="H44" s="335"/>
      <c r="I44" s="370">
        <f>+I34/12</f>
        <v>3282.6666666666665</v>
      </c>
      <c r="J44" s="408">
        <f>I44*12</f>
        <v>39392</v>
      </c>
      <c r="K44" s="332"/>
      <c r="L44" s="318"/>
      <c r="M44" s="318"/>
      <c r="N44" s="318"/>
      <c r="O44" s="318"/>
      <c r="P44" s="318"/>
      <c r="Q44" s="318"/>
      <c r="R44" s="318"/>
      <c r="S44" s="318"/>
      <c r="T44" s="318"/>
      <c r="U44" s="318"/>
      <c r="V44" s="321"/>
    </row>
    <row r="45" spans="2:22" ht="13.5" customHeight="1" x14ac:dyDescent="0.25">
      <c r="B45" s="317"/>
      <c r="C45" s="332"/>
      <c r="D45" s="334" t="s">
        <v>51</v>
      </c>
      <c r="E45" s="332" t="s">
        <v>40</v>
      </c>
      <c r="F45" s="334"/>
      <c r="G45" s="335"/>
      <c r="H45" s="335"/>
      <c r="I45" s="370">
        <f>IF($I$38/$I$17&lt;tabellen!E54,0,($I$38-tabellen!E54*$I$17)/12)*tabellen!$C54</f>
        <v>412.27194999999995</v>
      </c>
      <c r="J45" s="408">
        <f>I45*12</f>
        <v>4947.2633999999998</v>
      </c>
      <c r="K45" s="332"/>
      <c r="L45" s="318"/>
      <c r="M45" s="318"/>
      <c r="N45" s="318"/>
      <c r="O45" s="318"/>
      <c r="P45" s="318"/>
      <c r="Q45" s="318"/>
      <c r="R45" s="318"/>
      <c r="S45" s="318"/>
      <c r="T45" s="318"/>
      <c r="U45" s="431"/>
      <c r="V45" s="321"/>
    </row>
    <row r="46" spans="2:22" ht="13.5" customHeight="1" x14ac:dyDescent="0.25">
      <c r="B46" s="317"/>
      <c r="C46" s="332"/>
      <c r="D46" s="334" t="s">
        <v>52</v>
      </c>
      <c r="E46" s="332" t="s">
        <v>229</v>
      </c>
      <c r="F46" s="334"/>
      <c r="G46" s="335"/>
      <c r="H46" s="335"/>
      <c r="I46" s="370">
        <f>IF($I$38/$I$17&lt;tabellen!E55,0,(+$I$38-tabellen!E55*$I$17)/12)*tabellen!$C55</f>
        <v>4.9145000000000003</v>
      </c>
      <c r="J46" s="408">
        <f>I46*12</f>
        <v>58.974000000000004</v>
      </c>
      <c r="K46" s="332"/>
      <c r="L46" s="318"/>
      <c r="M46" s="318"/>
      <c r="N46" s="318"/>
      <c r="O46" s="318"/>
      <c r="P46" s="318"/>
      <c r="Q46" s="318"/>
      <c r="R46" s="318"/>
      <c r="S46" s="318"/>
      <c r="T46" s="318"/>
      <c r="U46" s="318"/>
      <c r="V46" s="321"/>
    </row>
    <row r="47" spans="2:22" ht="13.5" customHeight="1" x14ac:dyDescent="0.25">
      <c r="B47" s="317"/>
      <c r="C47" s="332"/>
      <c r="D47" s="334" t="s">
        <v>53</v>
      </c>
      <c r="E47" s="332" t="s">
        <v>43</v>
      </c>
      <c r="F47" s="334" t="s">
        <v>45</v>
      </c>
      <c r="G47" s="334"/>
      <c r="H47" s="335"/>
      <c r="I47" s="370">
        <f>$I$38/12*tabellen!$C56</f>
        <v>51.544000000000004</v>
      </c>
      <c r="J47" s="408">
        <f>I47*12</f>
        <v>618.52800000000002</v>
      </c>
      <c r="K47" s="332"/>
      <c r="L47" s="318"/>
      <c r="M47" s="318"/>
      <c r="N47" s="318"/>
      <c r="O47" s="318"/>
      <c r="P47" s="318"/>
      <c r="Q47" s="318"/>
      <c r="R47" s="318"/>
      <c r="S47" s="318"/>
      <c r="T47" s="318"/>
      <c r="U47" s="318"/>
      <c r="V47" s="321"/>
    </row>
    <row r="48" spans="2:22" ht="13.5" customHeight="1" x14ac:dyDescent="0.25">
      <c r="B48" s="317"/>
      <c r="C48" s="332"/>
      <c r="D48" s="334"/>
      <c r="E48" s="334" t="s">
        <v>288</v>
      </c>
      <c r="F48" s="338"/>
      <c r="G48" s="369" t="s">
        <v>73</v>
      </c>
      <c r="H48" s="335"/>
      <c r="I48" s="341"/>
      <c r="J48" s="348"/>
      <c r="K48" s="332"/>
      <c r="L48" s="318"/>
      <c r="M48" s="318"/>
      <c r="N48" s="318"/>
      <c r="O48" s="318"/>
      <c r="P48" s="318"/>
      <c r="Q48" s="318"/>
      <c r="R48" s="318"/>
      <c r="S48" s="318"/>
      <c r="T48" s="318"/>
      <c r="U48" s="318"/>
      <c r="V48" s="321"/>
    </row>
    <row r="49" spans="2:22" ht="13.5" customHeight="1" x14ac:dyDescent="0.25">
      <c r="B49" s="317"/>
      <c r="C49" s="332"/>
      <c r="D49" s="334" t="s">
        <v>54</v>
      </c>
      <c r="E49" s="332" t="s">
        <v>222</v>
      </c>
      <c r="F49" s="334"/>
      <c r="G49" s="335"/>
      <c r="H49" s="335"/>
      <c r="I49" s="370">
        <f ca="1">IF(tabellen!D129=1,IF(S22&gt;tabellen!$G$57/12,tabellen!$G$57/12,S22)*(tabellen!$C57+tabellen!$C58+tabellen!C59),IF(AND(G48="j",tabellen!D128=1),IF(S22&gt;tabellen!$G$57/12,tabellen!$G$57/12,S22)*(tabellen!$C58+tabellen!$C59),IF(S22&gt;tabellen!$G$57/12,tabellen!$G$57/12,S22)*(tabellen!$C57+tabellen!$C58+tabellen!C59)))</f>
        <v>16.444098630000003</v>
      </c>
      <c r="J49" s="408">
        <f t="shared" ref="J49:J54" ca="1" si="0">I49*12</f>
        <v>197.32918356000005</v>
      </c>
      <c r="K49" s="332"/>
      <c r="L49" s="318"/>
      <c r="M49" s="318"/>
      <c r="N49" s="318"/>
      <c r="O49" s="318"/>
      <c r="P49" s="318"/>
      <c r="Q49" s="318"/>
      <c r="R49" s="318"/>
      <c r="S49" s="318"/>
      <c r="T49" s="318"/>
      <c r="U49" s="318"/>
      <c r="V49" s="321"/>
    </row>
    <row r="50" spans="2:22" ht="13.5" customHeight="1" x14ac:dyDescent="0.25">
      <c r="B50" s="317"/>
      <c r="C50" s="332"/>
      <c r="D50" s="334" t="s">
        <v>55</v>
      </c>
      <c r="E50" s="332" t="s">
        <v>415</v>
      </c>
      <c r="F50" s="334"/>
      <c r="G50" s="335"/>
      <c r="H50" s="335"/>
      <c r="I50" s="370">
        <f>ROUND(IF(S22&gt;tabellen!H61,tabellen!H61,S22)*tabellen!C61,2)</f>
        <v>236</v>
      </c>
      <c r="J50" s="408">
        <f t="shared" si="0"/>
        <v>2832</v>
      </c>
      <c r="K50" s="332"/>
      <c r="L50" s="318"/>
      <c r="M50" s="318"/>
      <c r="N50" s="318"/>
      <c r="O50" s="318"/>
      <c r="P50" s="318"/>
      <c r="Q50" s="318"/>
      <c r="R50" s="318"/>
      <c r="S50" s="318"/>
      <c r="T50" s="318"/>
      <c r="U50" s="318"/>
      <c r="V50" s="321"/>
    </row>
    <row r="51" spans="2:22" ht="13.5" customHeight="1" x14ac:dyDescent="0.25">
      <c r="B51" s="317"/>
      <c r="C51" s="332"/>
      <c r="D51" s="334" t="s">
        <v>56</v>
      </c>
      <c r="E51" s="332" t="s">
        <v>59</v>
      </c>
      <c r="F51" s="334"/>
      <c r="G51" s="335"/>
      <c r="H51" s="335"/>
      <c r="I51" s="370">
        <f>IF(S22&gt;tabellen!$G$62*$I$17/12,tabellen!$G$62*$I$17/12,S22)*tabellen!$C62</f>
        <v>38.97860416000001</v>
      </c>
      <c r="J51" s="408">
        <f t="shared" si="0"/>
        <v>467.74324992000015</v>
      </c>
      <c r="K51" s="332"/>
      <c r="L51" s="318"/>
      <c r="M51" s="318"/>
      <c r="N51" s="318"/>
      <c r="O51" s="318"/>
      <c r="P51" s="318"/>
      <c r="Q51" s="318"/>
      <c r="R51" s="318"/>
      <c r="S51" s="318"/>
      <c r="T51" s="318"/>
      <c r="U51" s="318"/>
      <c r="V51" s="321"/>
    </row>
    <row r="52" spans="2:22" ht="13.5" customHeight="1" x14ac:dyDescent="0.25">
      <c r="B52" s="317"/>
      <c r="C52" s="332"/>
      <c r="D52" s="334" t="s">
        <v>57</v>
      </c>
      <c r="E52" s="332" t="s">
        <v>60</v>
      </c>
      <c r="F52" s="334"/>
      <c r="G52" s="372">
        <v>1</v>
      </c>
      <c r="H52" s="335"/>
      <c r="I52" s="370">
        <f>+S22*IF(G52=1,tabellen!$C63,IF(G52=2,tabellen!C64,IF(G52=3,tabellen!C65,tabellen!C66)))</f>
        <v>236.61230806500004</v>
      </c>
      <c r="J52" s="408">
        <f t="shared" si="0"/>
        <v>2839.3476967800007</v>
      </c>
      <c r="K52" s="332"/>
      <c r="L52" s="318"/>
      <c r="M52" s="318"/>
      <c r="N52" s="318"/>
      <c r="O52" s="318"/>
      <c r="P52" s="318"/>
      <c r="Q52" s="318"/>
      <c r="R52" s="318"/>
      <c r="S52" s="318"/>
      <c r="T52" s="318"/>
      <c r="U52" s="318"/>
      <c r="V52" s="321"/>
    </row>
    <row r="53" spans="2:22" ht="13.5" customHeight="1" x14ac:dyDescent="0.25">
      <c r="B53" s="317"/>
      <c r="C53" s="332"/>
      <c r="D53" s="334" t="s">
        <v>58</v>
      </c>
      <c r="E53" s="332" t="s">
        <v>61</v>
      </c>
      <c r="F53" s="334"/>
      <c r="G53" s="335"/>
      <c r="H53" s="335"/>
      <c r="I53" s="370">
        <f>+S22*tabellen!$C67</f>
        <v>91.356103500000003</v>
      </c>
      <c r="J53" s="408">
        <f t="shared" si="0"/>
        <v>1096.273242</v>
      </c>
      <c r="K53" s="332"/>
      <c r="L53" s="318"/>
      <c r="M53" s="318"/>
      <c r="N53" s="318"/>
      <c r="O53" s="318"/>
      <c r="P53" s="318"/>
      <c r="Q53" s="318"/>
      <c r="R53" s="318"/>
      <c r="S53" s="318"/>
      <c r="T53" s="318"/>
      <c r="U53" s="318"/>
      <c r="V53" s="321"/>
    </row>
    <row r="54" spans="2:22" ht="13.5" customHeight="1" x14ac:dyDescent="0.25">
      <c r="B54" s="317"/>
      <c r="C54" s="332"/>
      <c r="D54" s="334" t="s">
        <v>73</v>
      </c>
      <c r="E54" s="332" t="s">
        <v>217</v>
      </c>
      <c r="F54" s="334"/>
      <c r="G54" s="335"/>
      <c r="H54" s="335"/>
      <c r="I54" s="370">
        <f>+I39/12</f>
        <v>22.632000000000001</v>
      </c>
      <c r="J54" s="408">
        <f t="shared" si="0"/>
        <v>271.584</v>
      </c>
      <c r="K54" s="332"/>
      <c r="L54" s="318"/>
      <c r="M54" s="318"/>
      <c r="N54" s="318"/>
      <c r="O54" s="318"/>
      <c r="P54" s="318"/>
      <c r="Q54" s="318"/>
      <c r="R54" s="318"/>
      <c r="S54" s="318"/>
      <c r="T54" s="318"/>
      <c r="U54" s="318"/>
      <c r="V54" s="321"/>
    </row>
    <row r="55" spans="2:22" ht="13.5" customHeight="1" x14ac:dyDescent="0.25">
      <c r="B55" s="317"/>
      <c r="C55" s="332"/>
      <c r="D55" s="334" t="s">
        <v>98</v>
      </c>
      <c r="E55" s="332" t="s">
        <v>406</v>
      </c>
      <c r="F55" s="334"/>
      <c r="G55" s="335"/>
      <c r="H55" s="335"/>
      <c r="I55" s="590">
        <v>0</v>
      </c>
      <c r="J55" s="590">
        <f>+I55*12</f>
        <v>0</v>
      </c>
      <c r="K55" s="332"/>
      <c r="L55" s="318"/>
      <c r="M55" s="318"/>
      <c r="N55" s="318"/>
      <c r="O55" s="318"/>
      <c r="P55" s="318"/>
      <c r="Q55" s="318"/>
      <c r="R55" s="318"/>
      <c r="S55" s="318"/>
      <c r="T55" s="318"/>
      <c r="U55" s="318"/>
      <c r="V55" s="321"/>
    </row>
    <row r="56" spans="2:22" ht="13.5" customHeight="1" x14ac:dyDescent="0.25">
      <c r="B56" s="317"/>
      <c r="C56" s="332"/>
      <c r="D56" s="338"/>
      <c r="E56" s="332"/>
      <c r="F56" s="334"/>
      <c r="G56" s="335"/>
      <c r="H56" s="335"/>
      <c r="I56" s="341"/>
      <c r="J56" s="348"/>
      <c r="K56" s="332"/>
      <c r="L56" s="318"/>
      <c r="M56" s="318"/>
      <c r="N56" s="318"/>
      <c r="O56" s="318"/>
      <c r="P56" s="318"/>
      <c r="Q56" s="318"/>
      <c r="R56" s="318"/>
      <c r="S56" s="318"/>
      <c r="T56" s="318"/>
      <c r="U56" s="318"/>
      <c r="V56" s="321"/>
    </row>
    <row r="57" spans="2:22" ht="13.5" hidden="1" customHeight="1" x14ac:dyDescent="0.25">
      <c r="B57" s="317"/>
      <c r="C57" s="332"/>
      <c r="D57" s="338"/>
      <c r="E57" s="332"/>
      <c r="F57" s="334"/>
      <c r="G57" s="335"/>
      <c r="H57" s="335"/>
      <c r="I57" s="341">
        <f ca="1">SUM(I44:I54)</f>
        <v>4393.420231021666</v>
      </c>
      <c r="J57" s="341">
        <f ca="1">SUM(J44:J54)</f>
        <v>52721.042772260007</v>
      </c>
      <c r="K57" s="332"/>
      <c r="L57" s="318"/>
      <c r="M57" s="318"/>
      <c r="N57" s="318"/>
      <c r="O57" s="318"/>
      <c r="P57" s="318"/>
      <c r="Q57" s="318"/>
      <c r="R57" s="318"/>
      <c r="S57" s="318"/>
      <c r="T57" s="318"/>
      <c r="U57" s="318"/>
      <c r="V57" s="321"/>
    </row>
    <row r="58" spans="2:22" s="309" customFormat="1" ht="13.5" customHeight="1" x14ac:dyDescent="0.25">
      <c r="B58" s="23"/>
      <c r="C58" s="336"/>
      <c r="D58" s="336" t="s">
        <v>62</v>
      </c>
      <c r="E58" s="336"/>
      <c r="F58" s="344"/>
      <c r="G58" s="340"/>
      <c r="H58" s="340"/>
      <c r="I58" s="379">
        <f ca="1">SUM(I44:I55)</f>
        <v>4393.420231021666</v>
      </c>
      <c r="J58" s="409">
        <f ca="1">I58*12</f>
        <v>52721.042772259992</v>
      </c>
      <c r="K58" s="336"/>
      <c r="L58" s="28"/>
      <c r="M58" s="432"/>
      <c r="N58" s="28"/>
      <c r="O58" s="28"/>
      <c r="P58" s="28"/>
      <c r="Q58" s="28"/>
      <c r="R58" s="28"/>
      <c r="S58" s="28"/>
      <c r="T58" s="28"/>
      <c r="U58" s="28"/>
      <c r="V58" s="324"/>
    </row>
    <row r="59" spans="2:22" ht="13.5" customHeight="1" x14ac:dyDescent="0.25">
      <c r="B59" s="317"/>
      <c r="C59" s="305"/>
      <c r="D59" s="305"/>
      <c r="E59" s="305"/>
      <c r="F59" s="306"/>
      <c r="G59" s="307"/>
      <c r="H59" s="307"/>
      <c r="I59" s="305"/>
      <c r="J59" s="305"/>
      <c r="K59" s="305"/>
      <c r="L59" s="318"/>
      <c r="M59" s="318"/>
      <c r="N59" s="318"/>
      <c r="O59" s="318"/>
      <c r="P59" s="318"/>
      <c r="Q59" s="318"/>
      <c r="R59" s="318"/>
      <c r="S59" s="318"/>
      <c r="T59" s="318"/>
      <c r="U59" s="318"/>
      <c r="V59" s="321"/>
    </row>
    <row r="60" spans="2:22" ht="13.5" customHeight="1" x14ac:dyDescent="0.25">
      <c r="B60" s="317"/>
      <c r="C60" s="318"/>
      <c r="D60" s="318"/>
      <c r="E60" s="318"/>
      <c r="F60" s="319"/>
      <c r="G60" s="320"/>
      <c r="H60" s="320"/>
      <c r="I60" s="326"/>
      <c r="J60" s="326"/>
      <c r="K60" s="318"/>
      <c r="L60" s="318"/>
      <c r="M60" s="318"/>
      <c r="N60" s="318"/>
      <c r="O60" s="318"/>
      <c r="P60" s="318"/>
      <c r="Q60" s="318"/>
      <c r="R60" s="318"/>
      <c r="S60" s="318"/>
      <c r="T60" s="318"/>
      <c r="U60" s="318"/>
      <c r="V60" s="321"/>
    </row>
    <row r="61" spans="2:22" ht="13.5" customHeight="1" x14ac:dyDescent="0.25">
      <c r="B61" s="327"/>
      <c r="C61" s="328"/>
      <c r="D61" s="329"/>
      <c r="E61" s="328"/>
      <c r="F61" s="330"/>
      <c r="G61" s="328"/>
      <c r="H61" s="328"/>
      <c r="I61" s="328"/>
      <c r="J61" s="328"/>
      <c r="K61" s="368" t="s">
        <v>266</v>
      </c>
      <c r="L61" s="367"/>
      <c r="M61" s="328"/>
      <c r="N61" s="328"/>
      <c r="O61" s="328"/>
      <c r="P61" s="328"/>
      <c r="Q61" s="328"/>
      <c r="R61" s="328"/>
      <c r="S61" s="328"/>
      <c r="T61" s="328"/>
      <c r="U61" s="328"/>
      <c r="V61" s="331"/>
    </row>
    <row r="65" spans="24:24" ht="13.5" customHeight="1" x14ac:dyDescent="0.25">
      <c r="X65" s="283" t="s">
        <v>92</v>
      </c>
    </row>
    <row r="66" spans="24:24" ht="13.5" customHeight="1" x14ac:dyDescent="0.25">
      <c r="X66" s="283" t="s">
        <v>85</v>
      </c>
    </row>
    <row r="67" spans="24:24" ht="13.5" customHeight="1" x14ac:dyDescent="0.25">
      <c r="X67" s="283" t="s">
        <v>86</v>
      </c>
    </row>
    <row r="68" spans="24:24" ht="13.5" customHeight="1" x14ac:dyDescent="0.25">
      <c r="X68" s="283" t="s">
        <v>87</v>
      </c>
    </row>
    <row r="69" spans="24:24" ht="13.5" customHeight="1" x14ac:dyDescent="0.25">
      <c r="X69" s="283" t="s">
        <v>88</v>
      </c>
    </row>
    <row r="70" spans="24:24" ht="13.5" customHeight="1" x14ac:dyDescent="0.25">
      <c r="X70" s="283" t="s">
        <v>89</v>
      </c>
    </row>
    <row r="71" spans="24:24" ht="13.5" customHeight="1" x14ac:dyDescent="0.25">
      <c r="X71" s="283" t="s">
        <v>90</v>
      </c>
    </row>
    <row r="72" spans="24:24" ht="13.5" customHeight="1" x14ac:dyDescent="0.25">
      <c r="X72" s="283" t="s">
        <v>91</v>
      </c>
    </row>
    <row r="73" spans="24:24" ht="13.5" customHeight="1" x14ac:dyDescent="0.25">
      <c r="X73" s="284" t="s">
        <v>3</v>
      </c>
    </row>
    <row r="74" spans="24:24" ht="13.5" customHeight="1" x14ac:dyDescent="0.25">
      <c r="X74" s="284" t="s">
        <v>4</v>
      </c>
    </row>
    <row r="75" spans="24:24" ht="13.5" customHeight="1" x14ac:dyDescent="0.25">
      <c r="X75" s="284" t="s">
        <v>5</v>
      </c>
    </row>
    <row r="76" spans="24:24" ht="13.5" customHeight="1" x14ac:dyDescent="0.25">
      <c r="X76" s="284" t="s">
        <v>6</v>
      </c>
    </row>
    <row r="77" spans="24:24" ht="13.5" customHeight="1" x14ac:dyDescent="0.25">
      <c r="X77" s="284" t="s">
        <v>7</v>
      </c>
    </row>
    <row r="78" spans="24:24" ht="13.5" customHeight="1" x14ac:dyDescent="0.25">
      <c r="X78" s="284" t="s">
        <v>8</v>
      </c>
    </row>
    <row r="79" spans="24:24" ht="13.5" customHeight="1" x14ac:dyDescent="0.25">
      <c r="X79" s="284" t="s">
        <v>9</v>
      </c>
    </row>
    <row r="80" spans="24:24" ht="13.5" customHeight="1" x14ac:dyDescent="0.25">
      <c r="X80" s="284" t="s">
        <v>10</v>
      </c>
    </row>
    <row r="81" spans="24:24" ht="13.5" customHeight="1" x14ac:dyDescent="0.25">
      <c r="X81" s="284" t="s">
        <v>11</v>
      </c>
    </row>
    <row r="82" spans="24:24" ht="13.5" customHeight="1" x14ac:dyDescent="0.25">
      <c r="X82" s="284" t="s">
        <v>12</v>
      </c>
    </row>
    <row r="83" spans="24:24" ht="13.5" customHeight="1" x14ac:dyDescent="0.25">
      <c r="X83" s="284" t="s">
        <v>13</v>
      </c>
    </row>
    <row r="84" spans="24:24" ht="13.5" customHeight="1" x14ac:dyDescent="0.25">
      <c r="X84" s="284" t="s">
        <v>14</v>
      </c>
    </row>
    <row r="85" spans="24:24" ht="13.5" customHeight="1" x14ac:dyDescent="0.25">
      <c r="X85" s="284" t="s">
        <v>0</v>
      </c>
    </row>
    <row r="86" spans="24:24" ht="13.5" customHeight="1" x14ac:dyDescent="0.25">
      <c r="X86" s="284" t="s">
        <v>15</v>
      </c>
    </row>
    <row r="87" spans="24:24" ht="13.5" customHeight="1" x14ac:dyDescent="0.25">
      <c r="X87" s="284" t="s">
        <v>16</v>
      </c>
    </row>
    <row r="88" spans="24:24" ht="13.5" customHeight="1" x14ac:dyDescent="0.25">
      <c r="X88" s="284" t="s">
        <v>17</v>
      </c>
    </row>
    <row r="89" spans="24:24" ht="13.5" customHeight="1" x14ac:dyDescent="0.25">
      <c r="X89" s="284" t="s">
        <v>18</v>
      </c>
    </row>
    <row r="90" spans="24:24" ht="13.5" customHeight="1" x14ac:dyDescent="0.25">
      <c r="X90" s="283">
        <v>1</v>
      </c>
    </row>
    <row r="91" spans="24:24" ht="13.5" customHeight="1" x14ac:dyDescent="0.25">
      <c r="X91" s="283">
        <v>2</v>
      </c>
    </row>
    <row r="92" spans="24:24" ht="13.5" customHeight="1" x14ac:dyDescent="0.25">
      <c r="X92" s="283">
        <v>3</v>
      </c>
    </row>
    <row r="93" spans="24:24" ht="13.5" customHeight="1" x14ac:dyDescent="0.25">
      <c r="X93" s="283">
        <v>4</v>
      </c>
    </row>
    <row r="94" spans="24:24" ht="13.5" customHeight="1" x14ac:dyDescent="0.25">
      <c r="X94" s="283">
        <v>5</v>
      </c>
    </row>
    <row r="95" spans="24:24" ht="13.5" customHeight="1" x14ac:dyDescent="0.25">
      <c r="X95" s="283">
        <v>6</v>
      </c>
    </row>
    <row r="96" spans="24:24" ht="13.5" customHeight="1" x14ac:dyDescent="0.25">
      <c r="X96" s="283">
        <v>7</v>
      </c>
    </row>
    <row r="97" spans="24:24" ht="13.5" customHeight="1" x14ac:dyDescent="0.25">
      <c r="X97" s="283">
        <v>8</v>
      </c>
    </row>
    <row r="98" spans="24:24" ht="13.5" customHeight="1" x14ac:dyDescent="0.25">
      <c r="X98" s="283">
        <v>9</v>
      </c>
    </row>
    <row r="99" spans="24:24" ht="13.5" customHeight="1" x14ac:dyDescent="0.25">
      <c r="X99" s="283">
        <v>10</v>
      </c>
    </row>
    <row r="100" spans="24:24" ht="13.5" customHeight="1" x14ac:dyDescent="0.25">
      <c r="X100" s="283">
        <v>11</v>
      </c>
    </row>
    <row r="101" spans="24:24" ht="13.5" customHeight="1" x14ac:dyDescent="0.25">
      <c r="X101" s="283">
        <v>12</v>
      </c>
    </row>
    <row r="102" spans="24:24" ht="13.5" customHeight="1" x14ac:dyDescent="0.25">
      <c r="X102" s="283">
        <v>13</v>
      </c>
    </row>
    <row r="103" spans="24:24" ht="13.5" customHeight="1" x14ac:dyDescent="0.25">
      <c r="X103" s="283">
        <v>14</v>
      </c>
    </row>
    <row r="104" spans="24:24" ht="13.5" customHeight="1" x14ac:dyDescent="0.25">
      <c r="X104" s="283" t="s">
        <v>19</v>
      </c>
    </row>
    <row r="105" spans="24:24" ht="13.5" customHeight="1" x14ac:dyDescent="0.25">
      <c r="X105" s="283" t="s">
        <v>20</v>
      </c>
    </row>
    <row r="106" spans="24:24" ht="13.5" customHeight="1" x14ac:dyDescent="0.25">
      <c r="X106" s="283" t="s">
        <v>93</v>
      </c>
    </row>
    <row r="107" spans="24:24" ht="13.5" customHeight="1" x14ac:dyDescent="0.25">
      <c r="X107" s="283" t="s">
        <v>94</v>
      </c>
    </row>
    <row r="108" spans="24:24" ht="13.5" customHeight="1" x14ac:dyDescent="0.25">
      <c r="X108" s="283" t="s">
        <v>95</v>
      </c>
    </row>
  </sheetData>
  <sheetProtection password="DFB1" sheet="1" objects="1" scenarios="1"/>
  <mergeCells count="1">
    <mergeCell ref="S10:T10"/>
  </mergeCells>
  <phoneticPr fontId="0" type="noConversion"/>
  <dataValidations count="7">
    <dataValidation type="list" allowBlank="1" showInputMessage="1" showErrorMessage="1" sqref="H52">
      <formula1>"1,2,3"</formula1>
    </dataValidation>
    <dataValidation type="list" allowBlank="1" showInputMessage="1" showErrorMessage="1" sqref="G48 G22:G23 G32">
      <formula1>"j,n"</formula1>
    </dataValidation>
    <dataValidation type="list" allowBlank="1" showInputMessage="1" showErrorMessage="1" sqref="F32">
      <formula1>"leraar,directie,OOP S9"</formula1>
    </dataValidation>
    <dataValidation type="list" allowBlank="1" showInputMessage="1" showErrorMessage="1" sqref="F22">
      <formula1>"LA,LB,LC,LD"</formula1>
    </dataValidation>
    <dataValidation type="list" allowBlank="1" showInputMessage="1" showErrorMessage="1" sqref="H22:H23 H32">
      <formula1>#REF!</formula1>
    </dataValidation>
    <dataValidation type="list" allowBlank="1" showInputMessage="1" showErrorMessage="1" sqref="I14">
      <formula1>$X$65:$X$108</formula1>
    </dataValidation>
    <dataValidation type="list" allowBlank="1" showInputMessage="1" showErrorMessage="1" sqref="G52">
      <formula1>"1,2,3,4"</formula1>
    </dataValidation>
  </dataValidations>
  <printOptions gridLines="1"/>
  <pageMargins left="0.74803149606299213" right="0.74803149606299213" top="0.98425196850393704" bottom="0.98425196850393704" header="0.51181102362204722" footer="0.51181102362204722"/>
  <pageSetup paperSize="9" scale="56" orientation="landscape" r:id="rId1"/>
  <headerFooter alignWithMargins="0">
    <oddHeader>&amp;L&amp;"Arial,Vet"&amp;A&amp;C&amp;"Arial,Vet"&amp;D&amp;R&amp;"Arial,Vet"&amp;F</oddHeader>
    <oddFooter>&amp;L&amp;"Arial,Vet"&amp;8gemaakt door keizer, PO-Raad&amp;R&amp;"Arial,Vet"&amp;P</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N114"/>
  <sheetViews>
    <sheetView zoomScale="85" zoomScaleNormal="85" workbookViewId="0">
      <selection activeCell="B2" sqref="B2"/>
    </sheetView>
  </sheetViews>
  <sheetFormatPr defaultColWidth="9.140625" defaultRowHeight="13.5" customHeight="1" x14ac:dyDescent="0.25"/>
  <cols>
    <col min="1" max="1" width="3.7109375" style="3" customWidth="1"/>
    <col min="2" max="3" width="2.7109375" style="3" customWidth="1"/>
    <col min="4" max="4" width="35.7109375" style="3" customWidth="1"/>
    <col min="5" max="6" width="12.85546875" style="3" customWidth="1"/>
    <col min="7" max="7" width="14.85546875" style="3" customWidth="1"/>
    <col min="8" max="10" width="12.85546875" style="3" customWidth="1"/>
    <col min="11" max="11" width="2.5703125" style="100" customWidth="1"/>
    <col min="12" max="12" width="2.28515625" style="3" customWidth="1"/>
    <col min="13" max="16384" width="9.140625" style="3"/>
  </cols>
  <sheetData>
    <row r="2" spans="2:13" ht="13.5" customHeight="1" x14ac:dyDescent="0.25">
      <c r="B2" s="38"/>
      <c r="C2" s="39"/>
      <c r="D2" s="39"/>
      <c r="E2" s="39"/>
      <c r="F2" s="39"/>
      <c r="G2" s="39"/>
      <c r="H2" s="39"/>
      <c r="I2" s="39"/>
      <c r="J2" s="39"/>
      <c r="K2" s="96"/>
      <c r="L2" s="40"/>
    </row>
    <row r="3" spans="2:13" ht="13.5" customHeight="1" x14ac:dyDescent="0.25">
      <c r="B3" s="41"/>
      <c r="C3" s="20"/>
      <c r="D3" s="20"/>
      <c r="E3" s="20"/>
      <c r="F3" s="20"/>
      <c r="G3" s="20"/>
      <c r="H3" s="20"/>
      <c r="I3" s="20"/>
      <c r="J3" s="20"/>
      <c r="K3" s="97"/>
      <c r="L3" s="27"/>
    </row>
    <row r="4" spans="2:13" s="66" customFormat="1" ht="18" customHeight="1" x14ac:dyDescent="0.3">
      <c r="B4" s="63"/>
      <c r="C4" s="64" t="s">
        <v>269</v>
      </c>
      <c r="D4" s="64"/>
      <c r="E4" s="64"/>
      <c r="F4" s="64"/>
      <c r="G4" s="260" t="str">
        <f>tabellen!B2</f>
        <v>2013/2014</v>
      </c>
      <c r="H4" s="254"/>
      <c r="I4" s="64"/>
      <c r="J4" s="64"/>
      <c r="K4" s="98"/>
      <c r="L4" s="65"/>
    </row>
    <row r="5" spans="2:13" ht="13.5" customHeight="1" x14ac:dyDescent="0.25">
      <c r="B5" s="41"/>
      <c r="C5" s="20"/>
      <c r="D5" s="20"/>
      <c r="E5" s="20"/>
      <c r="F5" s="20"/>
      <c r="G5" s="20"/>
      <c r="H5" s="20"/>
      <c r="I5" s="20"/>
      <c r="J5" s="20"/>
      <c r="K5" s="97"/>
      <c r="L5" s="27"/>
    </row>
    <row r="6" spans="2:13" ht="13.5" customHeight="1" x14ac:dyDescent="0.25">
      <c r="B6" s="41"/>
      <c r="C6" s="20"/>
      <c r="D6" s="20"/>
      <c r="E6" s="20"/>
      <c r="F6" s="20"/>
      <c r="G6" s="20"/>
      <c r="H6" s="20"/>
      <c r="I6" s="20"/>
      <c r="J6" s="20"/>
      <c r="K6" s="97"/>
      <c r="L6" s="27"/>
    </row>
    <row r="7" spans="2:13" ht="13.5" customHeight="1" x14ac:dyDescent="0.25">
      <c r="B7" s="41"/>
      <c r="C7" s="133"/>
      <c r="D7" s="109"/>
      <c r="E7" s="109"/>
      <c r="F7" s="109"/>
      <c r="G7" s="109"/>
      <c r="H7" s="109"/>
      <c r="I7" s="109"/>
      <c r="J7" s="109"/>
      <c r="K7" s="134"/>
      <c r="L7" s="27"/>
    </row>
    <row r="8" spans="2:13" ht="13.5" customHeight="1" x14ac:dyDescent="0.25">
      <c r="B8" s="41"/>
      <c r="C8" s="135"/>
      <c r="D8" s="136" t="s">
        <v>275</v>
      </c>
      <c r="E8" s="115"/>
      <c r="F8" s="115"/>
      <c r="G8" s="115"/>
      <c r="H8" s="115"/>
      <c r="I8" s="115"/>
      <c r="J8" s="115"/>
      <c r="K8" s="137"/>
      <c r="L8" s="27"/>
    </row>
    <row r="9" spans="2:13" ht="13.5" customHeight="1" x14ac:dyDescent="0.25">
      <c r="B9" s="41"/>
      <c r="C9" s="135"/>
      <c r="D9" s="115"/>
      <c r="E9" s="115"/>
      <c r="F9" s="115"/>
      <c r="G9" s="115"/>
      <c r="H9" s="115"/>
      <c r="I9" s="115"/>
      <c r="J9" s="115"/>
      <c r="K9" s="137"/>
      <c r="L9" s="27"/>
    </row>
    <row r="10" spans="2:13" ht="13.5" customHeight="1" x14ac:dyDescent="0.25">
      <c r="B10" s="41"/>
      <c r="C10" s="135"/>
      <c r="D10" s="115" t="s">
        <v>125</v>
      </c>
      <c r="E10" s="115"/>
      <c r="F10" s="115"/>
      <c r="G10" s="115"/>
      <c r="H10" s="123" t="s">
        <v>126</v>
      </c>
      <c r="I10" s="138"/>
      <c r="J10" s="139"/>
      <c r="K10" s="137"/>
      <c r="L10" s="27"/>
    </row>
    <row r="11" spans="2:13" ht="13.5" customHeight="1" x14ac:dyDescent="0.25">
      <c r="B11" s="41"/>
      <c r="C11" s="135"/>
      <c r="D11" s="115"/>
      <c r="E11" s="115"/>
      <c r="F11" s="115"/>
      <c r="G11" s="140"/>
      <c r="H11" s="140"/>
      <c r="I11" s="139"/>
      <c r="J11" s="139"/>
      <c r="K11" s="137"/>
      <c r="L11" s="27"/>
    </row>
    <row r="12" spans="2:13" s="34" customFormat="1" ht="13.5" customHeight="1" x14ac:dyDescent="0.25">
      <c r="B12" s="43"/>
      <c r="C12" s="141"/>
      <c r="D12" s="142" t="s">
        <v>23</v>
      </c>
      <c r="E12" s="142"/>
      <c r="F12" s="142"/>
      <c r="G12" s="142"/>
      <c r="H12" s="142"/>
      <c r="I12" s="142"/>
      <c r="J12" s="142"/>
      <c r="K12" s="143"/>
      <c r="L12" s="30"/>
    </row>
    <row r="13" spans="2:13" ht="13.5" customHeight="1" x14ac:dyDescent="0.25">
      <c r="B13" s="41"/>
      <c r="C13" s="135"/>
      <c r="D13" s="114" t="s">
        <v>21</v>
      </c>
      <c r="E13" s="115"/>
      <c r="F13" s="115"/>
      <c r="G13" s="124"/>
      <c r="H13" s="118" t="s">
        <v>0</v>
      </c>
      <c r="I13" s="144"/>
      <c r="J13" s="115"/>
      <c r="K13" s="137"/>
      <c r="L13" s="27"/>
    </row>
    <row r="14" spans="2:13" ht="13.5" customHeight="1" x14ac:dyDescent="0.25">
      <c r="B14" s="41"/>
      <c r="C14" s="135"/>
      <c r="D14" s="115" t="s">
        <v>22</v>
      </c>
      <c r="E14" s="115"/>
      <c r="F14" s="115"/>
      <c r="G14" s="124"/>
      <c r="H14" s="118">
        <v>8</v>
      </c>
      <c r="I14" s="115"/>
      <c r="J14" s="115"/>
      <c r="K14" s="137"/>
      <c r="L14" s="27"/>
      <c r="M14" s="31"/>
    </row>
    <row r="15" spans="2:13" ht="13.5" customHeight="1" x14ac:dyDescent="0.25">
      <c r="B15" s="41"/>
      <c r="C15" s="135"/>
      <c r="D15" s="115" t="s">
        <v>24</v>
      </c>
      <c r="E15" s="115"/>
      <c r="F15" s="115"/>
      <c r="G15" s="145"/>
      <c r="H15" s="146">
        <f>VLOOKUP(H13,salaristabellen,H14+1,FALSE)</f>
        <v>2677</v>
      </c>
      <c r="I15" s="115"/>
      <c r="J15" s="115"/>
      <c r="K15" s="137"/>
      <c r="L15" s="27"/>
      <c r="M15" s="31"/>
    </row>
    <row r="16" spans="2:13" ht="13.5" customHeight="1" x14ac:dyDescent="0.25">
      <c r="B16" s="41"/>
      <c r="C16" s="135"/>
      <c r="D16" s="115" t="s">
        <v>25</v>
      </c>
      <c r="E16" s="115"/>
      <c r="F16" s="115"/>
      <c r="G16" s="122"/>
      <c r="H16" s="121">
        <v>1</v>
      </c>
      <c r="I16" s="115"/>
      <c r="J16" s="115"/>
      <c r="K16" s="137"/>
      <c r="L16" s="27"/>
      <c r="M16" s="31"/>
    </row>
    <row r="17" spans="2:13" ht="13.5" customHeight="1" x14ac:dyDescent="0.25">
      <c r="B17" s="41"/>
      <c r="C17" s="135"/>
      <c r="D17" s="115" t="s">
        <v>26</v>
      </c>
      <c r="E17" s="115"/>
      <c r="F17" s="115"/>
      <c r="G17" s="147"/>
      <c r="H17" s="148">
        <f>+H15*H16</f>
        <v>2677</v>
      </c>
      <c r="I17" s="115"/>
      <c r="J17" s="115"/>
      <c r="K17" s="137"/>
      <c r="L17" s="27"/>
      <c r="M17" s="31"/>
    </row>
    <row r="18" spans="2:13" ht="13.5" customHeight="1" x14ac:dyDescent="0.25">
      <c r="B18" s="41"/>
      <c r="C18" s="149"/>
      <c r="D18" s="150"/>
      <c r="E18" s="150"/>
      <c r="F18" s="150"/>
      <c r="G18" s="151"/>
      <c r="H18" s="151"/>
      <c r="I18" s="150"/>
      <c r="J18" s="150"/>
      <c r="K18" s="152"/>
      <c r="L18" s="27"/>
      <c r="M18" s="31"/>
    </row>
    <row r="19" spans="2:13" ht="13.5" customHeight="1" x14ac:dyDescent="0.25">
      <c r="B19" s="41"/>
      <c r="C19" s="20"/>
      <c r="D19" s="20"/>
      <c r="E19" s="20"/>
      <c r="F19" s="20"/>
      <c r="G19" s="20"/>
      <c r="H19" s="20"/>
      <c r="I19" s="20"/>
      <c r="J19" s="20"/>
      <c r="K19" s="97"/>
      <c r="L19" s="27"/>
      <c r="M19" s="31"/>
    </row>
    <row r="20" spans="2:13" ht="13.5" customHeight="1" x14ac:dyDescent="0.25">
      <c r="B20" s="41"/>
      <c r="C20" s="133"/>
      <c r="D20" s="109"/>
      <c r="E20" s="109"/>
      <c r="F20" s="109"/>
      <c r="G20" s="109"/>
      <c r="H20" s="109"/>
      <c r="I20" s="109"/>
      <c r="J20" s="109"/>
      <c r="K20" s="134"/>
      <c r="L20" s="27"/>
      <c r="M20" s="31"/>
    </row>
    <row r="21" spans="2:13" s="34" customFormat="1" ht="13.5" customHeight="1" x14ac:dyDescent="0.25">
      <c r="B21" s="43"/>
      <c r="C21" s="141"/>
      <c r="D21" s="136" t="s">
        <v>129</v>
      </c>
      <c r="E21" s="136"/>
      <c r="F21" s="136"/>
      <c r="G21" s="153"/>
      <c r="H21" s="153" t="s">
        <v>130</v>
      </c>
      <c r="I21" s="153" t="s">
        <v>131</v>
      </c>
      <c r="J21" s="154"/>
      <c r="K21" s="155"/>
      <c r="L21" s="30"/>
      <c r="M21" s="36"/>
    </row>
    <row r="22" spans="2:13" ht="13.5" customHeight="1" x14ac:dyDescent="0.25">
      <c r="B22" s="41"/>
      <c r="C22" s="135"/>
      <c r="D22" s="156"/>
      <c r="E22" s="156"/>
      <c r="F22" s="156"/>
      <c r="G22" s="157"/>
      <c r="H22" s="157"/>
      <c r="I22" s="157"/>
      <c r="J22" s="127"/>
      <c r="K22" s="158"/>
      <c r="L22" s="27"/>
      <c r="M22" s="31"/>
    </row>
    <row r="23" spans="2:13" ht="13.5" customHeight="1" x14ac:dyDescent="0.25">
      <c r="B23" s="41"/>
      <c r="C23" s="135"/>
      <c r="D23" s="115" t="s">
        <v>128</v>
      </c>
      <c r="E23" s="115"/>
      <c r="F23" s="115"/>
      <c r="G23" s="124"/>
      <c r="H23" s="118" t="s">
        <v>127</v>
      </c>
      <c r="I23" s="157"/>
      <c r="J23" s="127"/>
      <c r="K23" s="158"/>
      <c r="L23" s="27"/>
      <c r="M23" s="31"/>
    </row>
    <row r="24" spans="2:13" ht="13.5" customHeight="1" x14ac:dyDescent="0.25">
      <c r="B24" s="41"/>
      <c r="C24" s="135"/>
      <c r="D24" s="156"/>
      <c r="E24" s="156"/>
      <c r="F24" s="156"/>
      <c r="G24" s="157"/>
      <c r="H24" s="157"/>
      <c r="I24" s="157"/>
      <c r="J24" s="127"/>
      <c r="K24" s="158"/>
      <c r="L24" s="27"/>
      <c r="M24" s="31"/>
    </row>
    <row r="25" spans="2:13" ht="13.5" customHeight="1" x14ac:dyDescent="0.25">
      <c r="B25" s="41"/>
      <c r="C25" s="135"/>
      <c r="D25" s="115" t="s">
        <v>132</v>
      </c>
      <c r="E25" s="115"/>
      <c r="F25" s="115"/>
      <c r="G25" s="127"/>
      <c r="H25" s="159">
        <f>ROUND(415*H16,0)</f>
        <v>415</v>
      </c>
      <c r="I25" s="160">
        <f>ROUND(233*H16,0)</f>
        <v>233</v>
      </c>
      <c r="J25" s="113"/>
      <c r="K25" s="158"/>
      <c r="L25" s="19"/>
      <c r="M25" s="31"/>
    </row>
    <row r="26" spans="2:13" ht="13.5" customHeight="1" x14ac:dyDescent="0.25">
      <c r="B26" s="41"/>
      <c r="C26" s="135"/>
      <c r="D26" s="115" t="s">
        <v>133</v>
      </c>
      <c r="E26" s="115"/>
      <c r="F26" s="115"/>
      <c r="G26" s="124"/>
      <c r="H26" s="118">
        <v>415</v>
      </c>
      <c r="I26" s="161">
        <v>233</v>
      </c>
      <c r="J26" s="113"/>
      <c r="K26" s="158"/>
      <c r="L26" s="19"/>
      <c r="M26" s="31"/>
    </row>
    <row r="27" spans="2:13" ht="13.5" customHeight="1" x14ac:dyDescent="0.25">
      <c r="B27" s="41"/>
      <c r="C27" s="135"/>
      <c r="D27" s="115" t="s">
        <v>134</v>
      </c>
      <c r="E27" s="115"/>
      <c r="F27" s="115"/>
      <c r="G27" s="162"/>
      <c r="H27" s="163">
        <f>+H26/H25</f>
        <v>1</v>
      </c>
      <c r="I27" s="163">
        <f>+I26/I25</f>
        <v>1</v>
      </c>
      <c r="J27" s="113"/>
      <c r="K27" s="158"/>
      <c r="L27" s="19"/>
      <c r="M27" s="31"/>
    </row>
    <row r="28" spans="2:13" ht="13.5" customHeight="1" x14ac:dyDescent="0.25">
      <c r="B28" s="41"/>
      <c r="C28" s="135"/>
      <c r="D28" s="115" t="s">
        <v>135</v>
      </c>
      <c r="E28" s="115"/>
      <c r="F28" s="115"/>
      <c r="G28" s="124"/>
      <c r="H28" s="118">
        <v>6</v>
      </c>
      <c r="I28" s="164" t="str">
        <f>IF(H28&lt;2.999,"moet minimaal 3 gehele maanden zijn"," ")</f>
        <v xml:space="preserve"> </v>
      </c>
      <c r="J28" s="113"/>
      <c r="K28" s="158"/>
      <c r="L28" s="19"/>
      <c r="M28" s="31"/>
    </row>
    <row r="29" spans="2:13" ht="13.5" customHeight="1" x14ac:dyDescent="0.25">
      <c r="B29" s="41"/>
      <c r="C29" s="135"/>
      <c r="D29" s="115"/>
      <c r="E29" s="115"/>
      <c r="F29" s="115"/>
      <c r="G29" s="127"/>
      <c r="H29" s="127"/>
      <c r="I29" s="127"/>
      <c r="J29" s="113"/>
      <c r="K29" s="165"/>
      <c r="L29" s="19"/>
      <c r="M29" s="31"/>
    </row>
    <row r="30" spans="2:13" ht="13.5" customHeight="1" x14ac:dyDescent="0.25">
      <c r="B30" s="41"/>
      <c r="C30" s="135"/>
      <c r="D30" s="115" t="s">
        <v>226</v>
      </c>
      <c r="E30" s="115"/>
      <c r="F30" s="115"/>
      <c r="G30" s="166"/>
      <c r="H30" s="166">
        <f>ROUND(IF(H23="ja",+(I26/I25),H26/H25)*(3/H28)*H16,4)</f>
        <v>0.5</v>
      </c>
      <c r="I30" s="127"/>
      <c r="J30" s="167"/>
      <c r="K30" s="168"/>
      <c r="L30" s="19"/>
      <c r="M30" s="31"/>
    </row>
    <row r="31" spans="2:13" ht="13.5" customHeight="1" x14ac:dyDescent="0.25">
      <c r="B31" s="41"/>
      <c r="C31" s="135"/>
      <c r="D31" s="115" t="s">
        <v>136</v>
      </c>
      <c r="E31" s="115"/>
      <c r="F31" s="115"/>
      <c r="G31" s="162"/>
      <c r="H31" s="162">
        <f>ROUND(+IF(H23="ja",I26,H26)/ROUND((IF(H23="ja",233,415)*H16),0)*1.35/H28,4)</f>
        <v>0.22500000000000001</v>
      </c>
      <c r="I31" s="127"/>
      <c r="J31" s="169">
        <f>+H31*H17</f>
        <v>602.32500000000005</v>
      </c>
      <c r="K31" s="170">
        <f>+H30*0.45*H15</f>
        <v>602.32500000000005</v>
      </c>
      <c r="L31" s="27"/>
    </row>
    <row r="32" spans="2:13" ht="13.5" customHeight="1" x14ac:dyDescent="0.25">
      <c r="B32" s="41"/>
      <c r="C32" s="135"/>
      <c r="D32" s="115"/>
      <c r="E32" s="115"/>
      <c r="F32" s="115"/>
      <c r="G32" s="162"/>
      <c r="H32" s="162"/>
      <c r="I32" s="127"/>
      <c r="J32" s="167"/>
      <c r="K32" s="170"/>
      <c r="L32" s="27"/>
    </row>
    <row r="33" spans="2:12" ht="13.5" customHeight="1" x14ac:dyDescent="0.25">
      <c r="B33" s="41"/>
      <c r="C33" s="135"/>
      <c r="D33" s="115" t="s">
        <v>227</v>
      </c>
      <c r="E33" s="115"/>
      <c r="F33" s="115"/>
      <c r="G33" s="162"/>
      <c r="H33" s="162">
        <f>ROUND((3*I27/H28),4)-H31</f>
        <v>0.27500000000000002</v>
      </c>
      <c r="I33" s="127"/>
      <c r="J33" s="146">
        <f>+H33*H17</f>
        <v>736.17500000000007</v>
      </c>
      <c r="K33" s="171">
        <f>+H30*0.55*H15</f>
        <v>736.17500000000007</v>
      </c>
      <c r="L33" s="27"/>
    </row>
    <row r="34" spans="2:12" ht="13.5" customHeight="1" x14ac:dyDescent="0.25">
      <c r="B34" s="41"/>
      <c r="C34" s="135"/>
      <c r="D34" s="115" t="s">
        <v>137</v>
      </c>
      <c r="E34" s="115"/>
      <c r="F34" s="115"/>
      <c r="G34" s="162"/>
      <c r="H34" s="162">
        <f>1-ROUND(1/0.45*H31,4)</f>
        <v>0.5</v>
      </c>
      <c r="I34" s="127"/>
      <c r="J34" s="146">
        <f>+H34*H17</f>
        <v>1338.5</v>
      </c>
      <c r="K34" s="172"/>
      <c r="L34" s="27"/>
    </row>
    <row r="35" spans="2:12" s="34" customFormat="1" ht="13.5" customHeight="1" x14ac:dyDescent="0.25">
      <c r="B35" s="43"/>
      <c r="C35" s="141"/>
      <c r="D35" s="142" t="s">
        <v>138</v>
      </c>
      <c r="E35" s="142"/>
      <c r="F35" s="142"/>
      <c r="G35" s="173"/>
      <c r="H35" s="173">
        <f>+H33+H34</f>
        <v>0.77500000000000002</v>
      </c>
      <c r="I35" s="154"/>
      <c r="J35" s="174">
        <f>SUM(J33:J34)</f>
        <v>2074.6750000000002</v>
      </c>
      <c r="K35" s="175"/>
      <c r="L35" s="30"/>
    </row>
    <row r="36" spans="2:12" ht="13.5" customHeight="1" x14ac:dyDescent="0.25">
      <c r="B36" s="41"/>
      <c r="C36" s="135"/>
      <c r="D36" s="176" t="s">
        <v>139</v>
      </c>
      <c r="E36" s="176"/>
      <c r="F36" s="176"/>
      <c r="G36" s="177"/>
      <c r="H36" s="177"/>
      <c r="I36" s="177"/>
      <c r="J36" s="178">
        <f>+J33*H28</f>
        <v>4417.05</v>
      </c>
      <c r="K36" s="172"/>
      <c r="L36" s="27"/>
    </row>
    <row r="37" spans="2:12" ht="13.5" customHeight="1" x14ac:dyDescent="0.25">
      <c r="B37" s="41"/>
      <c r="C37" s="135"/>
      <c r="D37" s="115"/>
      <c r="E37" s="115"/>
      <c r="F37" s="115"/>
      <c r="G37" s="127"/>
      <c r="H37" s="127"/>
      <c r="I37" s="127"/>
      <c r="J37" s="145"/>
      <c r="K37" s="172"/>
      <c r="L37" s="27"/>
    </row>
    <row r="38" spans="2:12" s="34" customFormat="1" ht="13.5" customHeight="1" x14ac:dyDescent="0.25">
      <c r="B38" s="43"/>
      <c r="C38" s="141"/>
      <c r="D38" s="142" t="s">
        <v>267</v>
      </c>
      <c r="E38" s="142"/>
      <c r="F38" s="142"/>
      <c r="G38" s="179"/>
      <c r="H38" s="275">
        <v>0.59</v>
      </c>
      <c r="I38" s="154"/>
      <c r="J38" s="174">
        <f>+J36*(1+H38)</f>
        <v>7023.1094999999996</v>
      </c>
      <c r="K38" s="143"/>
      <c r="L38" s="30"/>
    </row>
    <row r="39" spans="2:12" ht="13.5" customHeight="1" x14ac:dyDescent="0.25">
      <c r="B39" s="41"/>
      <c r="C39" s="135"/>
      <c r="D39" s="180" t="s">
        <v>66</v>
      </c>
      <c r="E39" s="180"/>
      <c r="F39" s="180"/>
      <c r="G39" s="180"/>
      <c r="H39" s="180"/>
      <c r="I39" s="180"/>
      <c r="J39" s="181">
        <f>+J38/H$28</f>
        <v>1170.5182499999999</v>
      </c>
      <c r="K39" s="182"/>
      <c r="L39" s="27"/>
    </row>
    <row r="40" spans="2:12" ht="13.5" customHeight="1" x14ac:dyDescent="0.25">
      <c r="B40" s="41"/>
      <c r="C40" s="149"/>
      <c r="D40" s="150"/>
      <c r="E40" s="150"/>
      <c r="F40" s="150"/>
      <c r="G40" s="150"/>
      <c r="H40" s="150"/>
      <c r="I40" s="150"/>
      <c r="J40" s="183"/>
      <c r="K40" s="184"/>
      <c r="L40" s="27"/>
    </row>
    <row r="41" spans="2:12" ht="13.5" customHeight="1" x14ac:dyDescent="0.25">
      <c r="B41" s="41"/>
      <c r="C41" s="20"/>
      <c r="D41" s="20"/>
      <c r="E41" s="20"/>
      <c r="F41" s="20"/>
      <c r="G41" s="20"/>
      <c r="H41" s="20"/>
      <c r="I41" s="20"/>
      <c r="J41" s="44"/>
      <c r="K41" s="99"/>
      <c r="L41" s="27"/>
    </row>
    <row r="42" spans="2:12" ht="13.5" customHeight="1" x14ac:dyDescent="0.25">
      <c r="B42" s="41"/>
      <c r="C42" s="133"/>
      <c r="D42" s="185"/>
      <c r="E42" s="185"/>
      <c r="F42" s="185"/>
      <c r="G42" s="185"/>
      <c r="H42" s="185"/>
      <c r="I42" s="185"/>
      <c r="J42" s="186"/>
      <c r="K42" s="187"/>
      <c r="L42" s="27"/>
    </row>
    <row r="43" spans="2:12" ht="13.5" customHeight="1" x14ac:dyDescent="0.25">
      <c r="B43" s="41"/>
      <c r="C43" s="135"/>
      <c r="D43" s="126" t="s">
        <v>250</v>
      </c>
      <c r="E43" s="126"/>
      <c r="F43" s="126"/>
      <c r="G43" s="126"/>
      <c r="H43" s="126"/>
      <c r="I43" s="126"/>
      <c r="J43" s="188">
        <v>4.18</v>
      </c>
      <c r="K43" s="137"/>
      <c r="L43" s="27"/>
    </row>
    <row r="44" spans="2:12" ht="13.5" customHeight="1" x14ac:dyDescent="0.25">
      <c r="B44" s="41"/>
      <c r="C44" s="135"/>
      <c r="D44" s="126" t="s">
        <v>278</v>
      </c>
      <c r="E44" s="126"/>
      <c r="F44" s="126"/>
      <c r="G44" s="126"/>
      <c r="H44" s="126"/>
      <c r="I44" s="126"/>
      <c r="J44" s="126"/>
      <c r="K44" s="189"/>
      <c r="L44" s="27"/>
    </row>
    <row r="45" spans="2:12" ht="13.5" customHeight="1" x14ac:dyDescent="0.25">
      <c r="B45" s="41"/>
      <c r="C45" s="135"/>
      <c r="D45" s="126" t="s">
        <v>279</v>
      </c>
      <c r="E45" s="126"/>
      <c r="F45" s="126"/>
      <c r="G45" s="190"/>
      <c r="H45" s="191">
        <v>205</v>
      </c>
      <c r="I45" s="192" t="s">
        <v>223</v>
      </c>
      <c r="J45" s="192"/>
      <c r="K45" s="189"/>
      <c r="L45" s="27"/>
    </row>
    <row r="46" spans="2:12" ht="13.5" customHeight="1" x14ac:dyDescent="0.25">
      <c r="B46" s="41"/>
      <c r="C46" s="149"/>
      <c r="D46" s="193"/>
      <c r="E46" s="193"/>
      <c r="F46" s="193"/>
      <c r="G46" s="193"/>
      <c r="H46" s="193"/>
      <c r="I46" s="194"/>
      <c r="J46" s="194"/>
      <c r="K46" s="195"/>
      <c r="L46" s="27"/>
    </row>
    <row r="47" spans="2:12" ht="13.5" customHeight="1" x14ac:dyDescent="0.25">
      <c r="B47" s="41"/>
      <c r="C47" s="20"/>
      <c r="D47" s="20"/>
      <c r="E47" s="20"/>
      <c r="F47" s="20"/>
      <c r="G47" s="20"/>
      <c r="H47" s="20"/>
      <c r="I47" s="44"/>
      <c r="J47" s="20"/>
      <c r="K47" s="97"/>
      <c r="L47" s="27"/>
    </row>
    <row r="48" spans="2:12" ht="13.5" customHeight="1" x14ac:dyDescent="0.25">
      <c r="B48" s="41"/>
      <c r="C48" s="20"/>
      <c r="D48" s="20"/>
      <c r="E48" s="20"/>
      <c r="F48" s="20"/>
      <c r="G48" s="20"/>
      <c r="H48" s="20"/>
      <c r="I48" s="44"/>
      <c r="J48" s="20"/>
      <c r="K48" s="97"/>
      <c r="L48" s="27"/>
    </row>
    <row r="49" spans="1:12" ht="13.5" customHeight="1" x14ac:dyDescent="0.25">
      <c r="B49" s="41"/>
      <c r="C49" s="133"/>
      <c r="D49" s="109"/>
      <c r="E49" s="109"/>
      <c r="F49" s="109"/>
      <c r="G49" s="109"/>
      <c r="H49" s="109"/>
      <c r="I49" s="196"/>
      <c r="J49" s="109"/>
      <c r="K49" s="134"/>
      <c r="L49" s="27"/>
    </row>
    <row r="50" spans="1:12" s="34" customFormat="1" ht="13.5" customHeight="1" x14ac:dyDescent="0.25">
      <c r="A50" s="37"/>
      <c r="B50" s="45"/>
      <c r="C50" s="197"/>
      <c r="D50" s="136" t="s">
        <v>268</v>
      </c>
      <c r="E50" s="142"/>
      <c r="F50" s="142"/>
      <c r="G50" s="142"/>
      <c r="H50" s="142"/>
      <c r="I50" s="675"/>
      <c r="J50" s="676"/>
      <c r="K50" s="143"/>
      <c r="L50" s="30"/>
    </row>
    <row r="51" spans="1:12" ht="13.5" customHeight="1" x14ac:dyDescent="0.25">
      <c r="A51" s="35"/>
      <c r="B51" s="46"/>
      <c r="C51" s="198"/>
      <c r="D51" s="115"/>
      <c r="E51" s="115"/>
      <c r="F51" s="115"/>
      <c r="G51" s="115"/>
      <c r="H51" s="115"/>
      <c r="I51" s="200"/>
      <c r="J51" s="139"/>
      <c r="K51" s="137"/>
      <c r="L51" s="27"/>
    </row>
    <row r="52" spans="1:12" ht="13.5" customHeight="1" x14ac:dyDescent="0.25">
      <c r="B52" s="41"/>
      <c r="C52" s="135"/>
      <c r="D52" s="115" t="s">
        <v>140</v>
      </c>
      <c r="E52" s="115"/>
      <c r="F52" s="115"/>
      <c r="G52" s="115"/>
      <c r="H52" s="115"/>
      <c r="I52" s="199"/>
      <c r="J52" s="115"/>
      <c r="K52" s="137"/>
      <c r="L52" s="27"/>
    </row>
    <row r="53" spans="1:12" ht="13.5" customHeight="1" x14ac:dyDescent="0.25">
      <c r="B53" s="41"/>
      <c r="C53" s="135"/>
      <c r="D53" s="115" t="s">
        <v>141</v>
      </c>
      <c r="E53" s="115"/>
      <c r="F53" s="115"/>
      <c r="G53" s="201"/>
      <c r="H53" s="202">
        <v>600</v>
      </c>
      <c r="I53" s="203" t="s">
        <v>142</v>
      </c>
      <c r="J53" s="204"/>
      <c r="K53" s="137"/>
      <c r="L53" s="27"/>
    </row>
    <row r="54" spans="1:12" ht="13.5" customHeight="1" x14ac:dyDescent="0.25">
      <c r="B54" s="41"/>
      <c r="C54" s="135"/>
      <c r="D54" s="115" t="s">
        <v>143</v>
      </c>
      <c r="E54" s="115"/>
      <c r="F54" s="115"/>
      <c r="G54" s="205"/>
      <c r="H54" s="206">
        <v>0.73899999999999999</v>
      </c>
      <c r="I54" s="203" t="s">
        <v>142</v>
      </c>
      <c r="J54" s="204"/>
      <c r="K54" s="137"/>
      <c r="L54" s="27"/>
    </row>
    <row r="55" spans="1:12" ht="13.5" customHeight="1" x14ac:dyDescent="0.25">
      <c r="B55" s="41"/>
      <c r="C55" s="135"/>
      <c r="D55" s="115"/>
      <c r="E55" s="127"/>
      <c r="F55" s="127" t="s">
        <v>144</v>
      </c>
      <c r="G55" s="115"/>
      <c r="H55" s="127"/>
      <c r="I55" s="203"/>
      <c r="J55" s="204"/>
      <c r="K55" s="137"/>
      <c r="L55" s="27"/>
    </row>
    <row r="56" spans="1:12" ht="13.5" customHeight="1" x14ac:dyDescent="0.25">
      <c r="B56" s="41"/>
      <c r="C56" s="135"/>
      <c r="D56" s="115" t="s">
        <v>145</v>
      </c>
      <c r="E56" s="118">
        <v>20</v>
      </c>
      <c r="F56" s="118">
        <v>40</v>
      </c>
      <c r="G56" s="205"/>
      <c r="H56" s="207">
        <v>0.375</v>
      </c>
      <c r="I56" s="203" t="s">
        <v>146</v>
      </c>
      <c r="J56" s="204"/>
      <c r="K56" s="137"/>
      <c r="L56" s="27"/>
    </row>
    <row r="57" spans="1:12" ht="13.5" customHeight="1" x14ac:dyDescent="0.25">
      <c r="B57" s="41"/>
      <c r="C57" s="135"/>
      <c r="D57" s="115" t="s">
        <v>147</v>
      </c>
      <c r="E57" s="115"/>
      <c r="F57" s="115"/>
      <c r="G57" s="119"/>
      <c r="H57" s="208">
        <v>1.8</v>
      </c>
      <c r="I57" s="203" t="s">
        <v>277</v>
      </c>
      <c r="J57" s="204"/>
      <c r="K57" s="137"/>
      <c r="L57" s="27"/>
    </row>
    <row r="58" spans="1:12" ht="13.5" customHeight="1" x14ac:dyDescent="0.25">
      <c r="B58" s="41"/>
      <c r="C58" s="135"/>
      <c r="D58" s="115" t="s">
        <v>148</v>
      </c>
      <c r="E58" s="115"/>
      <c r="F58" s="115"/>
      <c r="G58" s="209"/>
      <c r="H58" s="210">
        <f>ROUND(H53*H54*H56*H57,0)</f>
        <v>299</v>
      </c>
      <c r="I58" s="203"/>
      <c r="J58" s="204"/>
      <c r="K58" s="137"/>
      <c r="L58" s="27"/>
    </row>
    <row r="59" spans="1:12" ht="13.5" customHeight="1" x14ac:dyDescent="0.25">
      <c r="B59" s="41"/>
      <c r="C59" s="135"/>
      <c r="D59" s="115" t="s">
        <v>149</v>
      </c>
      <c r="E59" s="115"/>
      <c r="F59" s="115"/>
      <c r="G59" s="205"/>
      <c r="H59" s="206">
        <v>1</v>
      </c>
      <c r="I59" s="203" t="s">
        <v>150</v>
      </c>
      <c r="J59" s="204"/>
      <c r="K59" s="137"/>
      <c r="L59" s="27"/>
    </row>
    <row r="60" spans="1:12" ht="13.5" customHeight="1" x14ac:dyDescent="0.25">
      <c r="B60" s="41"/>
      <c r="C60" s="135"/>
      <c r="D60" s="115" t="s">
        <v>151</v>
      </c>
      <c r="E60" s="115"/>
      <c r="F60" s="115"/>
      <c r="G60" s="209"/>
      <c r="H60" s="210">
        <f>ROUND(H58*H59/(F56-E56),0)</f>
        <v>15</v>
      </c>
      <c r="I60" s="203"/>
      <c r="J60" s="204"/>
      <c r="K60" s="137"/>
      <c r="L60" s="27"/>
    </row>
    <row r="61" spans="1:12" ht="13.5" customHeight="1" x14ac:dyDescent="0.25">
      <c r="B61" s="41"/>
      <c r="C61" s="135"/>
      <c r="D61" s="115" t="s">
        <v>152</v>
      </c>
      <c r="E61" s="115"/>
      <c r="F61" s="115"/>
      <c r="G61" s="211"/>
      <c r="H61" s="212">
        <v>7025</v>
      </c>
      <c r="I61" s="203" t="s">
        <v>150</v>
      </c>
      <c r="J61" s="204"/>
      <c r="K61" s="137"/>
      <c r="L61" s="27"/>
    </row>
    <row r="62" spans="1:12" s="34" customFormat="1" ht="13.5" customHeight="1" x14ac:dyDescent="0.25">
      <c r="B62" s="43"/>
      <c r="C62" s="141"/>
      <c r="D62" s="142" t="s">
        <v>153</v>
      </c>
      <c r="E62" s="142"/>
      <c r="F62" s="142"/>
      <c r="G62" s="213"/>
      <c r="H62" s="214">
        <f>+H60*H61</f>
        <v>105375</v>
      </c>
      <c r="I62" s="215" t="s">
        <v>276</v>
      </c>
      <c r="J62" s="216"/>
      <c r="K62" s="143"/>
      <c r="L62" s="30"/>
    </row>
    <row r="63" spans="1:12" ht="13.5" customHeight="1" x14ac:dyDescent="0.25">
      <c r="B63" s="41"/>
      <c r="C63" s="149"/>
      <c r="D63" s="150"/>
      <c r="E63" s="150"/>
      <c r="F63" s="150"/>
      <c r="G63" s="150"/>
      <c r="H63" s="150"/>
      <c r="I63" s="217"/>
      <c r="J63" s="150"/>
      <c r="K63" s="152"/>
      <c r="L63" s="27"/>
    </row>
    <row r="64" spans="1:12" ht="13.5" customHeight="1" x14ac:dyDescent="0.25">
      <c r="B64" s="41"/>
      <c r="C64" s="20"/>
      <c r="D64" s="20"/>
      <c r="E64" s="20"/>
      <c r="F64" s="20"/>
      <c r="G64" s="20"/>
      <c r="H64" s="20"/>
      <c r="I64" s="44"/>
      <c r="J64" s="20"/>
      <c r="K64" s="97"/>
      <c r="L64" s="27"/>
    </row>
    <row r="65" spans="2:14" ht="13.5" customHeight="1" x14ac:dyDescent="0.25">
      <c r="B65" s="41"/>
      <c r="C65" s="20"/>
      <c r="D65" s="20"/>
      <c r="E65" s="20"/>
      <c r="F65" s="20"/>
      <c r="G65" s="20"/>
      <c r="H65" s="20"/>
      <c r="I65" s="44"/>
      <c r="J65" s="20"/>
      <c r="K65" s="97"/>
      <c r="L65" s="27"/>
    </row>
    <row r="66" spans="2:14" ht="13.5" customHeight="1" x14ac:dyDescent="0.25">
      <c r="B66" s="47"/>
      <c r="C66" s="48"/>
      <c r="D66" s="48"/>
      <c r="E66" s="48"/>
      <c r="F66" s="48"/>
      <c r="G66" s="48"/>
      <c r="H66" s="48"/>
      <c r="I66" s="84"/>
      <c r="J66" s="48"/>
      <c r="K66" s="11" t="s">
        <v>266</v>
      </c>
      <c r="L66" s="49"/>
    </row>
    <row r="67" spans="2:14" ht="13.5" customHeight="1" x14ac:dyDescent="0.25">
      <c r="I67" s="85"/>
    </row>
    <row r="68" spans="2:14" ht="13.5" customHeight="1" x14ac:dyDescent="0.25">
      <c r="I68" s="85"/>
    </row>
    <row r="69" spans="2:14" ht="13.5" customHeight="1" x14ac:dyDescent="0.25">
      <c r="I69" s="85"/>
    </row>
    <row r="70" spans="2:14" ht="13.5" customHeight="1" x14ac:dyDescent="0.25">
      <c r="I70" s="85"/>
    </row>
    <row r="71" spans="2:14" ht="13.5" customHeight="1" x14ac:dyDescent="0.25">
      <c r="I71" s="85"/>
      <c r="N71" s="94" t="s">
        <v>92</v>
      </c>
    </row>
    <row r="72" spans="2:14" ht="13.5" customHeight="1" x14ac:dyDescent="0.25">
      <c r="I72" s="85"/>
      <c r="N72" s="94" t="s">
        <v>85</v>
      </c>
    </row>
    <row r="73" spans="2:14" ht="13.5" customHeight="1" x14ac:dyDescent="0.25">
      <c r="I73" s="85"/>
      <c r="N73" s="94" t="s">
        <v>86</v>
      </c>
    </row>
    <row r="74" spans="2:14" ht="13.5" customHeight="1" x14ac:dyDescent="0.25">
      <c r="I74" s="85"/>
      <c r="N74" s="94" t="s">
        <v>87</v>
      </c>
    </row>
    <row r="75" spans="2:14" ht="13.5" customHeight="1" x14ac:dyDescent="0.25">
      <c r="I75" s="85"/>
      <c r="N75" s="94" t="s">
        <v>88</v>
      </c>
    </row>
    <row r="76" spans="2:14" ht="13.5" customHeight="1" x14ac:dyDescent="0.25">
      <c r="I76" s="85"/>
      <c r="N76" s="94" t="s">
        <v>89</v>
      </c>
    </row>
    <row r="77" spans="2:14" ht="13.5" customHeight="1" x14ac:dyDescent="0.25">
      <c r="I77" s="85"/>
      <c r="N77" s="94" t="s">
        <v>90</v>
      </c>
    </row>
    <row r="78" spans="2:14" ht="13.5" customHeight="1" x14ac:dyDescent="0.25">
      <c r="I78" s="85"/>
      <c r="N78" s="94" t="s">
        <v>91</v>
      </c>
    </row>
    <row r="79" spans="2:14" ht="13.5" customHeight="1" x14ac:dyDescent="0.25">
      <c r="I79" s="85"/>
      <c r="N79" s="95" t="s">
        <v>3</v>
      </c>
    </row>
    <row r="80" spans="2:14" ht="13.5" customHeight="1" x14ac:dyDescent="0.25">
      <c r="I80" s="85"/>
      <c r="N80" s="95" t="s">
        <v>4</v>
      </c>
    </row>
    <row r="81" spans="6:14" ht="13.5" customHeight="1" x14ac:dyDescent="0.25">
      <c r="I81" s="85"/>
      <c r="N81" s="95" t="s">
        <v>5</v>
      </c>
    </row>
    <row r="82" spans="6:14" ht="13.5" customHeight="1" x14ac:dyDescent="0.25">
      <c r="I82" s="85"/>
      <c r="N82" s="95" t="s">
        <v>6</v>
      </c>
    </row>
    <row r="83" spans="6:14" ht="13.5" customHeight="1" x14ac:dyDescent="0.25">
      <c r="I83" s="85"/>
      <c r="N83" s="95" t="s">
        <v>7</v>
      </c>
    </row>
    <row r="84" spans="6:14" ht="13.5" customHeight="1" x14ac:dyDescent="0.25">
      <c r="I84" s="85"/>
      <c r="N84" s="95" t="s">
        <v>8</v>
      </c>
    </row>
    <row r="85" spans="6:14" ht="13.5" customHeight="1" x14ac:dyDescent="0.25">
      <c r="I85" s="85"/>
      <c r="N85" s="95" t="s">
        <v>9</v>
      </c>
    </row>
    <row r="86" spans="6:14" ht="13.5" customHeight="1" x14ac:dyDescent="0.25">
      <c r="I86" s="85"/>
      <c r="N86" s="95" t="s">
        <v>10</v>
      </c>
    </row>
    <row r="87" spans="6:14" ht="13.5" customHeight="1" x14ac:dyDescent="0.25">
      <c r="I87" s="85"/>
      <c r="N87" s="95" t="s">
        <v>11</v>
      </c>
    </row>
    <row r="88" spans="6:14" ht="13.5" customHeight="1" x14ac:dyDescent="0.25">
      <c r="I88" s="85"/>
      <c r="N88" s="95" t="s">
        <v>12</v>
      </c>
    </row>
    <row r="89" spans="6:14" ht="13.5" customHeight="1" x14ac:dyDescent="0.25">
      <c r="I89" s="85"/>
      <c r="N89" s="95" t="s">
        <v>13</v>
      </c>
    </row>
    <row r="90" spans="6:14" ht="13.5" customHeight="1" x14ac:dyDescent="0.25">
      <c r="I90" s="85"/>
      <c r="N90" s="95" t="s">
        <v>14</v>
      </c>
    </row>
    <row r="91" spans="6:14" ht="13.5" customHeight="1" x14ac:dyDescent="0.25">
      <c r="I91" s="85"/>
      <c r="N91" s="95" t="s">
        <v>0</v>
      </c>
    </row>
    <row r="92" spans="6:14" ht="13.5" customHeight="1" x14ac:dyDescent="0.25">
      <c r="I92" s="85"/>
      <c r="N92" s="95" t="s">
        <v>15</v>
      </c>
    </row>
    <row r="93" spans="6:14" ht="13.5" customHeight="1" x14ac:dyDescent="0.25">
      <c r="I93" s="85"/>
      <c r="N93" s="95" t="s">
        <v>16</v>
      </c>
    </row>
    <row r="94" spans="6:14" ht="13.5" customHeight="1" x14ac:dyDescent="0.25">
      <c r="I94" s="85"/>
      <c r="N94" s="95" t="s">
        <v>17</v>
      </c>
    </row>
    <row r="95" spans="6:14" ht="13.5" customHeight="1" x14ac:dyDescent="0.25">
      <c r="I95" s="85"/>
      <c r="N95" s="95" t="s">
        <v>18</v>
      </c>
    </row>
    <row r="96" spans="6:14" ht="13.5" customHeight="1" x14ac:dyDescent="0.25">
      <c r="F96" s="91"/>
      <c r="G96" s="92"/>
      <c r="I96" s="85"/>
      <c r="N96" s="94">
        <v>1</v>
      </c>
    </row>
    <row r="97" spans="6:14" ht="13.5" customHeight="1" x14ac:dyDescent="0.25">
      <c r="F97" s="91"/>
      <c r="G97" s="92"/>
      <c r="I97" s="85"/>
      <c r="N97" s="94">
        <v>2</v>
      </c>
    </row>
    <row r="98" spans="6:14" ht="13.5" customHeight="1" x14ac:dyDescent="0.25">
      <c r="F98" s="91"/>
      <c r="G98" s="92"/>
      <c r="I98" s="85"/>
      <c r="N98" s="94">
        <v>3</v>
      </c>
    </row>
    <row r="99" spans="6:14" ht="13.5" customHeight="1" x14ac:dyDescent="0.25">
      <c r="F99" s="91"/>
      <c r="G99" s="92"/>
      <c r="I99" s="85"/>
      <c r="N99" s="94">
        <v>4</v>
      </c>
    </row>
    <row r="100" spans="6:14" ht="13.5" customHeight="1" x14ac:dyDescent="0.25">
      <c r="F100" s="90"/>
      <c r="G100" s="85"/>
      <c r="I100" s="85"/>
      <c r="N100" s="94">
        <v>5</v>
      </c>
    </row>
    <row r="101" spans="6:14" ht="13.5" customHeight="1" x14ac:dyDescent="0.25">
      <c r="F101" s="91"/>
      <c r="G101" s="85"/>
      <c r="I101" s="85"/>
      <c r="N101" s="94">
        <v>6</v>
      </c>
    </row>
    <row r="102" spans="6:14" ht="13.5" customHeight="1" x14ac:dyDescent="0.25">
      <c r="F102" s="76"/>
      <c r="I102" s="85"/>
      <c r="N102" s="94">
        <v>7</v>
      </c>
    </row>
    <row r="103" spans="6:14" ht="13.5" customHeight="1" x14ac:dyDescent="0.25">
      <c r="I103" s="85"/>
      <c r="N103" s="94">
        <v>8</v>
      </c>
    </row>
    <row r="104" spans="6:14" ht="13.5" customHeight="1" x14ac:dyDescent="0.25">
      <c r="I104" s="85"/>
      <c r="N104" s="94">
        <v>9</v>
      </c>
    </row>
    <row r="105" spans="6:14" ht="13.5" customHeight="1" x14ac:dyDescent="0.25">
      <c r="N105" s="94">
        <v>10</v>
      </c>
    </row>
    <row r="106" spans="6:14" ht="13.5" customHeight="1" x14ac:dyDescent="0.25">
      <c r="N106" s="94">
        <v>11</v>
      </c>
    </row>
    <row r="107" spans="6:14" ht="13.5" customHeight="1" x14ac:dyDescent="0.25">
      <c r="N107" s="94">
        <v>12</v>
      </c>
    </row>
    <row r="108" spans="6:14" ht="13.5" customHeight="1" x14ac:dyDescent="0.25">
      <c r="N108" s="94">
        <v>13</v>
      </c>
    </row>
    <row r="109" spans="6:14" ht="13.5" customHeight="1" x14ac:dyDescent="0.25">
      <c r="N109" s="94">
        <v>14</v>
      </c>
    </row>
    <row r="110" spans="6:14" ht="13.5" customHeight="1" x14ac:dyDescent="0.25">
      <c r="N110" s="94" t="s">
        <v>19</v>
      </c>
    </row>
    <row r="111" spans="6:14" ht="13.5" customHeight="1" x14ac:dyDescent="0.25">
      <c r="N111" s="94" t="s">
        <v>20</v>
      </c>
    </row>
    <row r="112" spans="6:14" ht="13.5" customHeight="1" x14ac:dyDescent="0.25">
      <c r="N112" s="94" t="s">
        <v>93</v>
      </c>
    </row>
    <row r="113" spans="14:14" ht="13.5" customHeight="1" x14ac:dyDescent="0.25">
      <c r="N113" s="94" t="s">
        <v>94</v>
      </c>
    </row>
    <row r="114" spans="14:14" ht="13.5" customHeight="1" x14ac:dyDescent="0.25">
      <c r="N114" s="94" t="s">
        <v>95</v>
      </c>
    </row>
  </sheetData>
  <sheetProtection password="DFB1" sheet="1"/>
  <mergeCells count="1">
    <mergeCell ref="I50:J50"/>
  </mergeCells>
  <phoneticPr fontId="0" type="noConversion"/>
  <dataValidations count="3">
    <dataValidation type="list" allowBlank="1" showInputMessage="1" showErrorMessage="1" sqref="G13 G23">
      <formula1>#REF!</formula1>
    </dataValidation>
    <dataValidation type="list" allowBlank="1" showInputMessage="1" showErrorMessage="1" sqref="H23">
      <formula1>"ja, nee"</formula1>
    </dataValidation>
    <dataValidation type="list" allowBlank="1" showInputMessage="1" showErrorMessage="1" sqref="H13">
      <formula1>$N$71:$N$114</formula1>
    </dataValidation>
  </dataValidations>
  <printOptions gridLines="1"/>
  <pageMargins left="0.74803149606299213" right="0.74803149606299213" top="0.98425196850393704" bottom="0.98425196850393704" header="0.51181102362204722" footer="0.51181102362204722"/>
  <pageSetup paperSize="9" scale="65" orientation="portrait" r:id="rId1"/>
  <headerFooter alignWithMargins="0">
    <oddHeader>&amp;L&amp;"Arial,Vet"&amp;A&amp;C&amp;"Arial,Vet"&amp;D&amp;R&amp;"Arial,Vet"&amp;F</oddHeader>
    <oddFooter>&amp;L&amp;"Arial,Vet"&amp;8gemaakt door keizer, PO-Raad&amp;R&amp;"Arial,Vet"&amp;P</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O105"/>
  <sheetViews>
    <sheetView zoomScale="85" zoomScaleNormal="85" workbookViewId="0">
      <selection activeCell="B2" sqref="B2"/>
    </sheetView>
  </sheetViews>
  <sheetFormatPr defaultColWidth="9.7109375" defaultRowHeight="13.5" customHeight="1" x14ac:dyDescent="0.25"/>
  <cols>
    <col min="1" max="1" width="3.7109375" style="1" customWidth="1"/>
    <col min="2" max="3" width="2.7109375" style="1" customWidth="1"/>
    <col min="4" max="4" width="45.7109375" style="1" customWidth="1"/>
    <col min="5" max="5" width="2.7109375" style="1" customWidth="1"/>
    <col min="6" max="6" width="14.7109375" style="7" customWidth="1"/>
    <col min="7" max="8" width="14.7109375" style="1" customWidth="1"/>
    <col min="9" max="10" width="2.7109375" style="1" customWidth="1"/>
    <col min="11" max="11" width="10.7109375" style="1" customWidth="1"/>
    <col min="12" max="12" width="6.140625" style="1" customWidth="1"/>
    <col min="13" max="13" width="8.140625" style="1" customWidth="1"/>
    <col min="14" max="14" width="2.42578125" style="1" customWidth="1"/>
    <col min="15" max="15" width="6.7109375" style="1" customWidth="1"/>
    <col min="16" max="16" width="10.7109375" style="1" customWidth="1"/>
    <col min="17" max="17" width="2.7109375" style="1" customWidth="1"/>
    <col min="18" max="19" width="10.7109375" style="1" customWidth="1"/>
    <col min="20" max="20" width="2.140625" style="1" customWidth="1"/>
    <col min="21" max="21" width="10.7109375" style="1" customWidth="1"/>
    <col min="22" max="22" width="1.85546875" style="1" customWidth="1"/>
    <col min="23" max="23" width="2.85546875" style="1" customWidth="1"/>
    <col min="24" max="25" width="10.7109375" style="1" customWidth="1"/>
    <col min="26" max="16384" width="9.7109375" style="1"/>
  </cols>
  <sheetData>
    <row r="2" spans="2:41" ht="13.5" customHeight="1" x14ac:dyDescent="0.25">
      <c r="B2" s="12"/>
      <c r="C2" s="13"/>
      <c r="D2" s="13"/>
      <c r="E2" s="13"/>
      <c r="F2" s="14"/>
      <c r="G2" s="13"/>
      <c r="H2" s="13"/>
      <c r="I2" s="13"/>
      <c r="J2" s="15"/>
      <c r="K2" s="31"/>
      <c r="L2" s="261" t="s">
        <v>286</v>
      </c>
      <c r="M2" s="262"/>
      <c r="N2" s="262"/>
      <c r="O2" s="262"/>
      <c r="P2" s="262"/>
      <c r="Q2" s="262"/>
      <c r="R2" s="262"/>
      <c r="S2" s="262"/>
      <c r="T2" s="262"/>
      <c r="U2" s="262"/>
      <c r="V2" s="262"/>
      <c r="W2" s="263"/>
      <c r="X2" s="31"/>
      <c r="Y2" s="272" t="s">
        <v>92</v>
      </c>
    </row>
    <row r="3" spans="2:41" ht="13.5" customHeight="1" x14ac:dyDescent="0.25">
      <c r="B3" s="16"/>
      <c r="C3" s="17"/>
      <c r="D3" s="17"/>
      <c r="E3" s="17"/>
      <c r="F3" s="18"/>
      <c r="G3" s="17"/>
      <c r="H3" s="17"/>
      <c r="I3" s="17"/>
      <c r="J3" s="19"/>
      <c r="K3" s="31"/>
      <c r="L3" s="264" t="s">
        <v>166</v>
      </c>
      <c r="M3" s="265"/>
      <c r="N3" s="265"/>
      <c r="O3" s="265" t="s">
        <v>167</v>
      </c>
      <c r="P3" s="265"/>
      <c r="Q3" s="265"/>
      <c r="R3" s="265"/>
      <c r="S3" s="265"/>
      <c r="T3" s="265"/>
      <c r="U3" s="265" t="s">
        <v>30</v>
      </c>
      <c r="V3" s="265"/>
      <c r="W3" s="266"/>
      <c r="X3" s="31"/>
      <c r="Y3" s="272" t="s">
        <v>85</v>
      </c>
    </row>
    <row r="4" spans="2:41" s="70" customFormat="1" ht="18" customHeight="1" x14ac:dyDescent="0.3">
      <c r="B4" s="67"/>
      <c r="C4" s="60" t="s">
        <v>282</v>
      </c>
      <c r="D4" s="68"/>
      <c r="E4" s="68"/>
      <c r="F4" s="62" t="str">
        <f>tabellen!B2</f>
        <v>2013/2014</v>
      </c>
      <c r="G4" s="61"/>
      <c r="H4" s="68"/>
      <c r="I4" s="68"/>
      <c r="J4" s="69"/>
      <c r="K4" s="255"/>
      <c r="L4" s="264" t="str">
        <f t="shared" ref="L4:L49" si="0">+$F$30</f>
        <v>LB</v>
      </c>
      <c r="M4" s="265">
        <f>+$F$31+W4</f>
        <v>12</v>
      </c>
      <c r="N4" s="265"/>
      <c r="O4" s="265" t="str">
        <f t="shared" ref="O4:O49" si="1">+$F$16</f>
        <v>LA</v>
      </c>
      <c r="P4" s="265">
        <f>+$F$17+W4</f>
        <v>14</v>
      </c>
      <c r="Q4" s="265"/>
      <c r="R4" s="267">
        <f t="shared" ref="R4:R49" si="2">IF(W4+1&gt;$F$45,0,IF(M4&gt;$H$31,VLOOKUP($L4,salaristabellen,$H$31+1,FALSE),VLOOKUP($L4,salaristabellen,M4+1,FALSE))*12*(1+F$43))</f>
        <v>62372.52</v>
      </c>
      <c r="S4" s="267">
        <f t="shared" ref="S4:S49" si="3">IF(W4+1&gt;$F$45,0,IF(P4&gt;$H$17,VLOOKUP($O4,salaristabellen,$H$17+1,FALSE),VLOOKUP($O4,salaristabellen,P4+1,FALSE))*12*(1+F$43))</f>
        <v>61017.84</v>
      </c>
      <c r="T4" s="265"/>
      <c r="U4" s="267">
        <f t="shared" ref="U4:U49" si="4">+R4-S4</f>
        <v>1354.6800000000003</v>
      </c>
      <c r="V4" s="265"/>
      <c r="W4" s="266">
        <v>0</v>
      </c>
      <c r="X4" s="255"/>
      <c r="Y4" s="272" t="s">
        <v>86</v>
      </c>
      <c r="AF4" s="71"/>
      <c r="AG4" s="71"/>
      <c r="AH4" s="71"/>
      <c r="AI4" s="71"/>
      <c r="AJ4" s="71"/>
      <c r="AK4" s="71"/>
      <c r="AL4" s="71"/>
      <c r="AM4" s="71"/>
      <c r="AN4" s="71"/>
      <c r="AO4" s="71"/>
    </row>
    <row r="5" spans="2:41" s="50" customFormat="1" ht="13.5" customHeight="1" x14ac:dyDescent="0.25">
      <c r="B5" s="52"/>
      <c r="C5" s="53" t="s">
        <v>154</v>
      </c>
      <c r="D5" s="53"/>
      <c r="E5" s="53"/>
      <c r="F5" s="55"/>
      <c r="G5" s="53"/>
      <c r="H5" s="53"/>
      <c r="I5" s="53"/>
      <c r="J5" s="54"/>
      <c r="K5" s="256"/>
      <c r="L5" s="264" t="str">
        <f t="shared" si="0"/>
        <v>LB</v>
      </c>
      <c r="M5" s="265">
        <f t="shared" ref="M5:M49" si="5">+$F$31+W5</f>
        <v>13</v>
      </c>
      <c r="N5" s="265"/>
      <c r="O5" s="265" t="str">
        <f t="shared" si="1"/>
        <v>LA</v>
      </c>
      <c r="P5" s="265">
        <f t="shared" ref="P5:P49" si="6">+$F$17+W5</f>
        <v>15</v>
      </c>
      <c r="Q5" s="265"/>
      <c r="R5" s="267">
        <f t="shared" si="2"/>
        <v>64566.719999999994</v>
      </c>
      <c r="S5" s="267">
        <f t="shared" si="3"/>
        <v>62467.919999999991</v>
      </c>
      <c r="T5" s="265"/>
      <c r="U5" s="267">
        <f t="shared" si="4"/>
        <v>2098.8000000000029</v>
      </c>
      <c r="V5" s="265"/>
      <c r="W5" s="266">
        <v>1</v>
      </c>
      <c r="X5" s="256"/>
      <c r="Y5" s="272" t="s">
        <v>87</v>
      </c>
      <c r="AF5" s="51"/>
      <c r="AG5" s="51"/>
      <c r="AH5" s="51"/>
      <c r="AI5" s="51"/>
      <c r="AJ5" s="51"/>
      <c r="AK5" s="51"/>
      <c r="AL5" s="51"/>
      <c r="AM5" s="51"/>
      <c r="AN5" s="51"/>
      <c r="AO5" s="51"/>
    </row>
    <row r="6" spans="2:41" ht="13.5" customHeight="1" x14ac:dyDescent="0.25">
      <c r="B6" s="16"/>
      <c r="C6" s="276" t="s">
        <v>316</v>
      </c>
      <c r="D6" s="28"/>
      <c r="E6" s="17"/>
      <c r="F6" s="18"/>
      <c r="G6" s="17"/>
      <c r="H6" s="17"/>
      <c r="I6" s="17"/>
      <c r="J6" s="19"/>
      <c r="K6" s="31"/>
      <c r="L6" s="264" t="str">
        <f t="shared" si="0"/>
        <v>LB</v>
      </c>
      <c r="M6" s="265">
        <f t="shared" si="5"/>
        <v>14</v>
      </c>
      <c r="N6" s="265"/>
      <c r="O6" s="265" t="str">
        <f t="shared" si="1"/>
        <v>LA</v>
      </c>
      <c r="P6" s="265">
        <f t="shared" si="6"/>
        <v>16</v>
      </c>
      <c r="Q6" s="265"/>
      <c r="R6" s="267">
        <f t="shared" si="2"/>
        <v>66856.319999999992</v>
      </c>
      <c r="S6" s="267">
        <f t="shared" si="3"/>
        <v>62467.919999999991</v>
      </c>
      <c r="T6" s="265"/>
      <c r="U6" s="267">
        <f t="shared" si="4"/>
        <v>4388.4000000000015</v>
      </c>
      <c r="V6" s="265"/>
      <c r="W6" s="266">
        <v>2</v>
      </c>
      <c r="X6" s="31"/>
      <c r="Y6" s="272" t="s">
        <v>88</v>
      </c>
      <c r="AF6" s="3"/>
      <c r="AG6" s="3"/>
      <c r="AH6" s="3"/>
      <c r="AI6" s="3"/>
      <c r="AJ6" s="3"/>
      <c r="AK6" s="3"/>
      <c r="AL6" s="3"/>
      <c r="AM6" s="3"/>
      <c r="AN6" s="3"/>
      <c r="AO6" s="3"/>
    </row>
    <row r="7" spans="2:41" ht="13.5" customHeight="1" x14ac:dyDescent="0.25">
      <c r="B7" s="16"/>
      <c r="C7" s="17"/>
      <c r="D7" s="28"/>
      <c r="E7" s="17"/>
      <c r="F7" s="18"/>
      <c r="G7" s="17"/>
      <c r="H7" s="17"/>
      <c r="I7" s="17"/>
      <c r="J7" s="19"/>
      <c r="K7" s="31"/>
      <c r="L7" s="264" t="str">
        <f t="shared" si="0"/>
        <v>LB</v>
      </c>
      <c r="M7" s="265">
        <f t="shared" si="5"/>
        <v>15</v>
      </c>
      <c r="N7" s="265"/>
      <c r="O7" s="265" t="str">
        <f t="shared" si="1"/>
        <v>LA</v>
      </c>
      <c r="P7" s="265">
        <f t="shared" si="6"/>
        <v>17</v>
      </c>
      <c r="Q7" s="265"/>
      <c r="R7" s="267">
        <f t="shared" si="2"/>
        <v>68630.759999999995</v>
      </c>
      <c r="S7" s="267">
        <f t="shared" si="3"/>
        <v>62467.919999999991</v>
      </c>
      <c r="T7" s="265"/>
      <c r="U7" s="267">
        <f t="shared" si="4"/>
        <v>6162.8400000000038</v>
      </c>
      <c r="V7" s="265"/>
      <c r="W7" s="266">
        <v>3</v>
      </c>
      <c r="X7" s="31"/>
      <c r="Y7" s="272" t="s">
        <v>89</v>
      </c>
      <c r="AF7" s="3"/>
      <c r="AG7" s="3"/>
      <c r="AH7" s="3"/>
      <c r="AI7" s="3"/>
      <c r="AJ7" s="3"/>
      <c r="AK7" s="3"/>
      <c r="AL7" s="3"/>
      <c r="AM7" s="3"/>
      <c r="AN7" s="3"/>
      <c r="AO7" s="3"/>
    </row>
    <row r="8" spans="2:41" ht="13.5" customHeight="1" x14ac:dyDescent="0.25">
      <c r="B8" s="16"/>
      <c r="C8" s="21"/>
      <c r="D8" s="24"/>
      <c r="E8" s="21"/>
      <c r="F8" s="22"/>
      <c r="G8" s="21"/>
      <c r="H8" s="21"/>
      <c r="I8" s="21"/>
      <c r="J8" s="19"/>
      <c r="K8" s="31"/>
      <c r="L8" s="264" t="str">
        <f t="shared" si="0"/>
        <v>LB</v>
      </c>
      <c r="M8" s="265">
        <f t="shared" si="5"/>
        <v>16</v>
      </c>
      <c r="N8" s="265"/>
      <c r="O8" s="265" t="str">
        <f t="shared" si="1"/>
        <v>LA</v>
      </c>
      <c r="P8" s="265">
        <f t="shared" si="6"/>
        <v>18</v>
      </c>
      <c r="Q8" s="265"/>
      <c r="R8" s="267">
        <f t="shared" si="2"/>
        <v>68630.759999999995</v>
      </c>
      <c r="S8" s="267">
        <f t="shared" si="3"/>
        <v>62467.919999999991</v>
      </c>
      <c r="T8" s="265"/>
      <c r="U8" s="267">
        <f t="shared" si="4"/>
        <v>6162.8400000000038</v>
      </c>
      <c r="V8" s="265"/>
      <c r="W8" s="266">
        <v>4</v>
      </c>
      <c r="X8" s="31"/>
      <c r="Y8" s="272" t="s">
        <v>90</v>
      </c>
      <c r="AF8" s="3"/>
      <c r="AG8" s="3"/>
      <c r="AH8" s="3"/>
      <c r="AI8" s="3"/>
      <c r="AJ8" s="3"/>
      <c r="AK8" s="3"/>
      <c r="AL8" s="3"/>
      <c r="AM8" s="3"/>
      <c r="AN8" s="3"/>
      <c r="AO8" s="3"/>
    </row>
    <row r="9" spans="2:41" ht="13.5" customHeight="1" x14ac:dyDescent="0.25">
      <c r="B9" s="16"/>
      <c r="C9" s="21"/>
      <c r="D9" s="21" t="s">
        <v>125</v>
      </c>
      <c r="E9" s="21"/>
      <c r="F9" s="677" t="s">
        <v>32</v>
      </c>
      <c r="G9" s="677"/>
      <c r="H9" s="21"/>
      <c r="I9" s="21"/>
      <c r="J9" s="19"/>
      <c r="K9" s="31"/>
      <c r="L9" s="264" t="str">
        <f t="shared" si="0"/>
        <v>LB</v>
      </c>
      <c r="M9" s="265">
        <f t="shared" si="5"/>
        <v>17</v>
      </c>
      <c r="N9" s="265"/>
      <c r="O9" s="265" t="str">
        <f t="shared" si="1"/>
        <v>LA</v>
      </c>
      <c r="P9" s="265">
        <f t="shared" si="6"/>
        <v>19</v>
      </c>
      <c r="Q9" s="265"/>
      <c r="R9" s="267">
        <f t="shared" si="2"/>
        <v>68630.759999999995</v>
      </c>
      <c r="S9" s="267">
        <f t="shared" si="3"/>
        <v>62467.919999999991</v>
      </c>
      <c r="T9" s="265"/>
      <c r="U9" s="267">
        <f t="shared" si="4"/>
        <v>6162.8400000000038</v>
      </c>
      <c r="V9" s="265"/>
      <c r="W9" s="266">
        <v>5</v>
      </c>
      <c r="X9" s="31"/>
      <c r="Y9" s="272" t="s">
        <v>91</v>
      </c>
      <c r="AF9" s="3"/>
      <c r="AG9" s="3"/>
      <c r="AH9" s="3"/>
      <c r="AI9" s="3"/>
      <c r="AJ9" s="3"/>
      <c r="AK9" s="3"/>
      <c r="AL9" s="3"/>
      <c r="AM9" s="3"/>
      <c r="AN9" s="3"/>
      <c r="AO9" s="3"/>
    </row>
    <row r="10" spans="2:41" ht="13.5" customHeight="1" x14ac:dyDescent="0.25">
      <c r="B10" s="16"/>
      <c r="C10" s="21"/>
      <c r="D10" s="21" t="s">
        <v>318</v>
      </c>
      <c r="E10" s="21"/>
      <c r="F10" s="277" t="s">
        <v>76</v>
      </c>
      <c r="G10" s="278"/>
      <c r="H10" s="21"/>
      <c r="I10" s="21"/>
      <c r="J10" s="19"/>
      <c r="K10" s="31"/>
      <c r="L10" s="264" t="str">
        <f t="shared" si="0"/>
        <v>LB</v>
      </c>
      <c r="M10" s="265">
        <f t="shared" si="5"/>
        <v>18</v>
      </c>
      <c r="N10" s="265"/>
      <c r="O10" s="265" t="str">
        <f t="shared" si="1"/>
        <v>LA</v>
      </c>
      <c r="P10" s="265">
        <f t="shared" si="6"/>
        <v>20</v>
      </c>
      <c r="Q10" s="265"/>
      <c r="R10" s="267">
        <f t="shared" si="2"/>
        <v>68630.759999999995</v>
      </c>
      <c r="S10" s="267">
        <f t="shared" si="3"/>
        <v>62467.919999999991</v>
      </c>
      <c r="T10" s="265"/>
      <c r="U10" s="267">
        <f t="shared" si="4"/>
        <v>6162.8400000000038</v>
      </c>
      <c r="V10" s="265"/>
      <c r="W10" s="266">
        <v>6</v>
      </c>
      <c r="X10" s="31"/>
      <c r="Y10" s="272" t="s">
        <v>3</v>
      </c>
      <c r="AF10" s="3"/>
      <c r="AG10" s="3"/>
      <c r="AH10" s="3"/>
      <c r="AI10" s="3"/>
      <c r="AJ10" s="3"/>
      <c r="AK10" s="3"/>
      <c r="AL10" s="3"/>
      <c r="AM10" s="3"/>
      <c r="AN10" s="3"/>
      <c r="AO10" s="3"/>
    </row>
    <row r="11" spans="2:41" ht="13.5" customHeight="1" x14ac:dyDescent="0.25">
      <c r="B11" s="16"/>
      <c r="C11" s="21"/>
      <c r="D11" s="24"/>
      <c r="E11" s="21"/>
      <c r="F11" s="26"/>
      <c r="G11" s="42"/>
      <c r="H11" s="21"/>
      <c r="I11" s="21"/>
      <c r="J11" s="19"/>
      <c r="K11" s="31"/>
      <c r="L11" s="264" t="str">
        <f t="shared" si="0"/>
        <v>LB</v>
      </c>
      <c r="M11" s="265">
        <f t="shared" si="5"/>
        <v>19</v>
      </c>
      <c r="N11" s="265"/>
      <c r="O11" s="265" t="str">
        <f t="shared" si="1"/>
        <v>LA</v>
      </c>
      <c r="P11" s="265">
        <f t="shared" si="6"/>
        <v>21</v>
      </c>
      <c r="Q11" s="265"/>
      <c r="R11" s="267">
        <f t="shared" si="2"/>
        <v>68630.759999999995</v>
      </c>
      <c r="S11" s="267">
        <f t="shared" si="3"/>
        <v>62467.919999999991</v>
      </c>
      <c r="T11" s="265"/>
      <c r="U11" s="267">
        <f t="shared" si="4"/>
        <v>6162.8400000000038</v>
      </c>
      <c r="V11" s="265"/>
      <c r="W11" s="266">
        <v>7</v>
      </c>
      <c r="X11" s="31"/>
      <c r="Y11" s="272" t="s">
        <v>4</v>
      </c>
      <c r="AF11" s="3"/>
      <c r="AG11" s="3"/>
      <c r="AH11" s="3"/>
      <c r="AI11" s="3"/>
      <c r="AJ11" s="3"/>
      <c r="AK11" s="3"/>
      <c r="AL11" s="3"/>
      <c r="AM11" s="3"/>
      <c r="AN11" s="3"/>
      <c r="AO11" s="3"/>
    </row>
    <row r="12" spans="2:41" ht="13.5" customHeight="1" x14ac:dyDescent="0.25">
      <c r="B12" s="16"/>
      <c r="C12" s="17"/>
      <c r="D12" s="28"/>
      <c r="E12" s="17"/>
      <c r="F12" s="25"/>
      <c r="G12" s="57"/>
      <c r="H12" s="17"/>
      <c r="I12" s="17"/>
      <c r="J12" s="19"/>
      <c r="K12" s="31"/>
      <c r="L12" s="264" t="str">
        <f t="shared" si="0"/>
        <v>LB</v>
      </c>
      <c r="M12" s="265">
        <f t="shared" si="5"/>
        <v>20</v>
      </c>
      <c r="N12" s="265"/>
      <c r="O12" s="265" t="str">
        <f t="shared" si="1"/>
        <v>LA</v>
      </c>
      <c r="P12" s="265">
        <f t="shared" si="6"/>
        <v>22</v>
      </c>
      <c r="Q12" s="265"/>
      <c r="R12" s="267">
        <f t="shared" si="2"/>
        <v>68630.759999999995</v>
      </c>
      <c r="S12" s="267">
        <f t="shared" si="3"/>
        <v>62467.919999999991</v>
      </c>
      <c r="T12" s="265"/>
      <c r="U12" s="267">
        <f t="shared" si="4"/>
        <v>6162.8400000000038</v>
      </c>
      <c r="V12" s="265"/>
      <c r="W12" s="266">
        <v>8</v>
      </c>
      <c r="X12" s="31"/>
      <c r="Y12" s="272" t="s">
        <v>5</v>
      </c>
      <c r="AF12" s="3"/>
      <c r="AG12" s="3"/>
      <c r="AH12" s="3"/>
      <c r="AI12" s="3"/>
      <c r="AJ12" s="3"/>
      <c r="AK12" s="3"/>
      <c r="AL12" s="3"/>
      <c r="AM12" s="3"/>
      <c r="AN12" s="3"/>
      <c r="AO12" s="3"/>
    </row>
    <row r="13" spans="2:41" ht="13.5" customHeight="1" x14ac:dyDescent="0.25">
      <c r="B13" s="16"/>
      <c r="C13" s="106"/>
      <c r="D13" s="132"/>
      <c r="E13" s="107"/>
      <c r="F13" s="237"/>
      <c r="G13" s="238"/>
      <c r="H13" s="107"/>
      <c r="I13" s="110"/>
      <c r="J13" s="19"/>
      <c r="K13" s="31"/>
      <c r="L13" s="264" t="str">
        <f t="shared" si="0"/>
        <v>LB</v>
      </c>
      <c r="M13" s="265">
        <f t="shared" si="5"/>
        <v>21</v>
      </c>
      <c r="N13" s="265"/>
      <c r="O13" s="265" t="str">
        <f t="shared" si="1"/>
        <v>LA</v>
      </c>
      <c r="P13" s="265">
        <f t="shared" si="6"/>
        <v>23</v>
      </c>
      <c r="Q13" s="265"/>
      <c r="R13" s="267">
        <f t="shared" si="2"/>
        <v>68630.759999999995</v>
      </c>
      <c r="S13" s="267">
        <f t="shared" si="3"/>
        <v>62467.919999999991</v>
      </c>
      <c r="T13" s="265"/>
      <c r="U13" s="267">
        <f t="shared" si="4"/>
        <v>6162.8400000000038</v>
      </c>
      <c r="V13" s="265"/>
      <c r="W13" s="266">
        <v>9</v>
      </c>
      <c r="X13" s="31"/>
      <c r="Y13" s="272" t="s">
        <v>6</v>
      </c>
      <c r="AF13" s="3"/>
      <c r="AG13" s="3"/>
      <c r="AH13" s="3"/>
      <c r="AI13" s="3"/>
      <c r="AJ13" s="3"/>
      <c r="AK13" s="3"/>
      <c r="AL13" s="3"/>
      <c r="AM13" s="3"/>
      <c r="AN13" s="3"/>
      <c r="AO13" s="3"/>
    </row>
    <row r="14" spans="2:41" ht="13.5" customHeight="1" x14ac:dyDescent="0.25">
      <c r="B14" s="16"/>
      <c r="C14" s="111"/>
      <c r="D14" s="112" t="s">
        <v>155</v>
      </c>
      <c r="E14" s="114"/>
      <c r="F14" s="127"/>
      <c r="G14" s="115"/>
      <c r="H14" s="114"/>
      <c r="I14" s="116"/>
      <c r="J14" s="19"/>
      <c r="K14" s="31"/>
      <c r="L14" s="264" t="str">
        <f t="shared" si="0"/>
        <v>LB</v>
      </c>
      <c r="M14" s="265">
        <f t="shared" si="5"/>
        <v>22</v>
      </c>
      <c r="N14" s="265"/>
      <c r="O14" s="265" t="str">
        <f t="shared" si="1"/>
        <v>LA</v>
      </c>
      <c r="P14" s="265">
        <f t="shared" si="6"/>
        <v>24</v>
      </c>
      <c r="Q14" s="265"/>
      <c r="R14" s="267">
        <f t="shared" si="2"/>
        <v>68630.759999999995</v>
      </c>
      <c r="S14" s="267">
        <f t="shared" si="3"/>
        <v>62467.919999999991</v>
      </c>
      <c r="T14" s="265"/>
      <c r="U14" s="267">
        <f t="shared" si="4"/>
        <v>6162.8400000000038</v>
      </c>
      <c r="V14" s="265"/>
      <c r="W14" s="266">
        <v>10</v>
      </c>
      <c r="X14" s="31"/>
      <c r="Y14" s="272" t="s">
        <v>7</v>
      </c>
      <c r="AF14" s="3"/>
      <c r="AG14" s="3"/>
      <c r="AH14" s="3"/>
      <c r="AI14" s="3"/>
      <c r="AJ14" s="3"/>
      <c r="AK14" s="3"/>
      <c r="AL14" s="3"/>
      <c r="AM14" s="3"/>
      <c r="AN14" s="3"/>
      <c r="AO14" s="3"/>
    </row>
    <row r="15" spans="2:41" ht="13.5" customHeight="1" x14ac:dyDescent="0.25">
      <c r="B15" s="16"/>
      <c r="C15" s="111"/>
      <c r="D15" s="112"/>
      <c r="E15" s="114"/>
      <c r="F15" s="127"/>
      <c r="G15" s="115"/>
      <c r="H15" s="114"/>
      <c r="I15" s="116"/>
      <c r="J15" s="19"/>
      <c r="K15" s="31"/>
      <c r="L15" s="264" t="str">
        <f t="shared" si="0"/>
        <v>LB</v>
      </c>
      <c r="M15" s="265">
        <f t="shared" si="5"/>
        <v>23</v>
      </c>
      <c r="N15" s="265"/>
      <c r="O15" s="265" t="str">
        <f t="shared" si="1"/>
        <v>LA</v>
      </c>
      <c r="P15" s="265">
        <f t="shared" si="6"/>
        <v>25</v>
      </c>
      <c r="Q15" s="265"/>
      <c r="R15" s="267">
        <f t="shared" si="2"/>
        <v>68630.759999999995</v>
      </c>
      <c r="S15" s="267">
        <f t="shared" si="3"/>
        <v>62467.919999999991</v>
      </c>
      <c r="T15" s="265"/>
      <c r="U15" s="267">
        <f t="shared" si="4"/>
        <v>6162.8400000000038</v>
      </c>
      <c r="V15" s="265"/>
      <c r="W15" s="266">
        <v>11</v>
      </c>
      <c r="X15" s="31"/>
      <c r="Y15" s="272" t="s">
        <v>8</v>
      </c>
      <c r="AF15" s="3"/>
      <c r="AG15" s="3"/>
      <c r="AH15" s="3"/>
      <c r="AI15" s="3"/>
      <c r="AJ15" s="3"/>
      <c r="AK15" s="3"/>
      <c r="AL15" s="3"/>
      <c r="AM15" s="3"/>
      <c r="AN15" s="3"/>
      <c r="AO15" s="3"/>
    </row>
    <row r="16" spans="2:41" ht="13.5" customHeight="1" x14ac:dyDescent="0.25">
      <c r="B16" s="16"/>
      <c r="C16" s="111"/>
      <c r="D16" s="114" t="s">
        <v>21</v>
      </c>
      <c r="E16" s="114"/>
      <c r="F16" s="239" t="s">
        <v>0</v>
      </c>
      <c r="G16" s="114"/>
      <c r="H16" s="114"/>
      <c r="I16" s="116"/>
      <c r="J16" s="19"/>
      <c r="K16" s="31"/>
      <c r="L16" s="264" t="str">
        <f t="shared" si="0"/>
        <v>LB</v>
      </c>
      <c r="M16" s="265">
        <f t="shared" si="5"/>
        <v>24</v>
      </c>
      <c r="N16" s="265"/>
      <c r="O16" s="265" t="str">
        <f t="shared" si="1"/>
        <v>LA</v>
      </c>
      <c r="P16" s="265">
        <f t="shared" si="6"/>
        <v>26</v>
      </c>
      <c r="Q16" s="265"/>
      <c r="R16" s="267">
        <f t="shared" si="2"/>
        <v>68630.759999999995</v>
      </c>
      <c r="S16" s="267">
        <f t="shared" si="3"/>
        <v>62467.919999999991</v>
      </c>
      <c r="T16" s="265"/>
      <c r="U16" s="267">
        <f t="shared" si="4"/>
        <v>6162.8400000000038</v>
      </c>
      <c r="V16" s="265"/>
      <c r="W16" s="266">
        <v>12</v>
      </c>
      <c r="X16" s="31"/>
      <c r="Y16" s="272" t="s">
        <v>9</v>
      </c>
      <c r="AF16" s="3"/>
      <c r="AG16" s="3"/>
      <c r="AH16" s="3"/>
      <c r="AI16" s="3"/>
      <c r="AJ16" s="3"/>
      <c r="AK16" s="3"/>
      <c r="AL16" s="3"/>
      <c r="AM16" s="3"/>
      <c r="AN16" s="3"/>
      <c r="AO16" s="3"/>
    </row>
    <row r="17" spans="2:41" ht="13.5" customHeight="1" x14ac:dyDescent="0.25">
      <c r="B17" s="16"/>
      <c r="C17" s="111"/>
      <c r="D17" s="114" t="s">
        <v>22</v>
      </c>
      <c r="E17" s="114"/>
      <c r="F17" s="118">
        <v>14</v>
      </c>
      <c r="G17" s="218" t="s">
        <v>156</v>
      </c>
      <c r="H17" s="219">
        <f>VLOOKUP(F$16,salaristabellen,22,FALSE)</f>
        <v>15</v>
      </c>
      <c r="I17" s="116"/>
      <c r="J17" s="19"/>
      <c r="K17" s="31"/>
      <c r="L17" s="264" t="str">
        <f t="shared" si="0"/>
        <v>LB</v>
      </c>
      <c r="M17" s="265">
        <f t="shared" si="5"/>
        <v>25</v>
      </c>
      <c r="N17" s="265"/>
      <c r="O17" s="265" t="str">
        <f t="shared" si="1"/>
        <v>LA</v>
      </c>
      <c r="P17" s="265">
        <f t="shared" si="6"/>
        <v>27</v>
      </c>
      <c r="Q17" s="265"/>
      <c r="R17" s="267">
        <f t="shared" si="2"/>
        <v>68630.759999999995</v>
      </c>
      <c r="S17" s="267">
        <f t="shared" si="3"/>
        <v>62467.919999999991</v>
      </c>
      <c r="T17" s="265"/>
      <c r="U17" s="267">
        <f t="shared" si="4"/>
        <v>6162.8400000000038</v>
      </c>
      <c r="V17" s="265"/>
      <c r="W17" s="266">
        <v>13</v>
      </c>
      <c r="X17" s="31"/>
      <c r="Y17" s="272" t="s">
        <v>10</v>
      </c>
      <c r="AF17" s="3"/>
      <c r="AG17" s="3"/>
      <c r="AH17" s="3"/>
      <c r="AI17" s="3"/>
      <c r="AJ17" s="3"/>
      <c r="AK17" s="3"/>
      <c r="AL17" s="3"/>
      <c r="AM17" s="3"/>
      <c r="AN17" s="3"/>
      <c r="AO17" s="3"/>
    </row>
    <row r="18" spans="2:41" ht="13.5" customHeight="1" x14ac:dyDescent="0.25">
      <c r="B18" s="16"/>
      <c r="C18" s="111"/>
      <c r="D18" s="114" t="s">
        <v>24</v>
      </c>
      <c r="E18" s="114"/>
      <c r="F18" s="240">
        <f>VLOOKUP(F16,salaristabellen,IF(F17&gt;15,16,F17+1),FALSE)</f>
        <v>3198</v>
      </c>
      <c r="G18" s="241"/>
      <c r="H18" s="242"/>
      <c r="I18" s="116"/>
      <c r="J18" s="19"/>
      <c r="K18" s="31"/>
      <c r="L18" s="264" t="str">
        <f t="shared" si="0"/>
        <v>LB</v>
      </c>
      <c r="M18" s="265">
        <f t="shared" si="5"/>
        <v>26</v>
      </c>
      <c r="N18" s="265"/>
      <c r="O18" s="265" t="str">
        <f t="shared" si="1"/>
        <v>LA</v>
      </c>
      <c r="P18" s="265">
        <f t="shared" si="6"/>
        <v>28</v>
      </c>
      <c r="Q18" s="265"/>
      <c r="R18" s="267">
        <f t="shared" si="2"/>
        <v>68630.759999999995</v>
      </c>
      <c r="S18" s="267">
        <f t="shared" si="3"/>
        <v>62467.919999999991</v>
      </c>
      <c r="T18" s="265"/>
      <c r="U18" s="267">
        <f t="shared" si="4"/>
        <v>6162.8400000000038</v>
      </c>
      <c r="V18" s="265"/>
      <c r="W18" s="266">
        <v>14</v>
      </c>
      <c r="X18" s="31"/>
      <c r="Y18" s="272" t="s">
        <v>11</v>
      </c>
      <c r="AF18" s="3"/>
      <c r="AG18" s="3"/>
      <c r="AH18" s="3"/>
      <c r="AI18" s="3"/>
      <c r="AJ18" s="3"/>
      <c r="AK18" s="3"/>
      <c r="AL18" s="3"/>
      <c r="AM18" s="3"/>
      <c r="AN18" s="3"/>
      <c r="AO18" s="3"/>
    </row>
    <row r="19" spans="2:41" ht="13.5" customHeight="1" x14ac:dyDescent="0.25">
      <c r="B19" s="16"/>
      <c r="C19" s="111"/>
      <c r="D19" s="114" t="s">
        <v>319</v>
      </c>
      <c r="E19" s="114"/>
      <c r="F19" s="240">
        <f>IF(F17=H17,VLOOKUP(F10,bindingstoelage,3,FALSE),0)+IF(F17=H17,IF(F16="LA",tabellen!C70,IF(F16="LB",tabellen!C71,IF(F16="LC",tabellen!C72,IF(F16="LD",tabellen!C73,0)))),0)+IF(F17=H17,IF(OR(F16="LA",F16="LB"),tabellen!C75,0),0)</f>
        <v>0</v>
      </c>
      <c r="G19" s="241"/>
      <c r="H19" s="242"/>
      <c r="I19" s="116"/>
      <c r="J19" s="19"/>
      <c r="K19" s="31"/>
      <c r="L19" s="264" t="str">
        <f t="shared" si="0"/>
        <v>LB</v>
      </c>
      <c r="M19" s="265">
        <f t="shared" si="5"/>
        <v>27</v>
      </c>
      <c r="N19" s="265"/>
      <c r="O19" s="265" t="str">
        <f t="shared" si="1"/>
        <v>LA</v>
      </c>
      <c r="P19" s="265">
        <f t="shared" si="6"/>
        <v>29</v>
      </c>
      <c r="Q19" s="265"/>
      <c r="R19" s="267">
        <f t="shared" si="2"/>
        <v>68630.759999999995</v>
      </c>
      <c r="S19" s="267">
        <f t="shared" si="3"/>
        <v>62467.919999999991</v>
      </c>
      <c r="T19" s="265"/>
      <c r="U19" s="267">
        <f t="shared" si="4"/>
        <v>6162.8400000000038</v>
      </c>
      <c r="V19" s="265"/>
      <c r="W19" s="266">
        <v>15</v>
      </c>
      <c r="X19" s="31"/>
      <c r="Y19" s="272" t="s">
        <v>12</v>
      </c>
      <c r="AF19" s="3"/>
      <c r="AG19" s="3"/>
      <c r="AH19" s="3"/>
      <c r="AI19" s="3"/>
      <c r="AJ19" s="3"/>
      <c r="AK19" s="3"/>
      <c r="AL19" s="3"/>
      <c r="AM19" s="3"/>
      <c r="AN19" s="3"/>
      <c r="AO19" s="3"/>
    </row>
    <row r="20" spans="2:41" ht="13.5" customHeight="1" x14ac:dyDescent="0.25">
      <c r="B20" s="16"/>
      <c r="C20" s="111"/>
      <c r="D20" s="120" t="s">
        <v>25</v>
      </c>
      <c r="E20" s="114"/>
      <c r="F20" s="220">
        <v>1</v>
      </c>
      <c r="G20" s="218"/>
      <c r="H20" s="219"/>
      <c r="I20" s="116"/>
      <c r="J20" s="19"/>
      <c r="K20" s="31"/>
      <c r="L20" s="264" t="str">
        <f t="shared" si="0"/>
        <v>LB</v>
      </c>
      <c r="M20" s="265">
        <f t="shared" si="5"/>
        <v>28</v>
      </c>
      <c r="N20" s="265"/>
      <c r="O20" s="265" t="str">
        <f t="shared" si="1"/>
        <v>LA</v>
      </c>
      <c r="P20" s="265">
        <f t="shared" si="6"/>
        <v>30</v>
      </c>
      <c r="Q20" s="265"/>
      <c r="R20" s="267">
        <f t="shared" si="2"/>
        <v>68630.759999999995</v>
      </c>
      <c r="S20" s="267">
        <f t="shared" si="3"/>
        <v>62467.919999999991</v>
      </c>
      <c r="T20" s="265"/>
      <c r="U20" s="267">
        <f t="shared" si="4"/>
        <v>6162.8400000000038</v>
      </c>
      <c r="V20" s="265"/>
      <c r="W20" s="266">
        <v>16</v>
      </c>
      <c r="X20" s="31"/>
      <c r="Y20" s="272" t="s">
        <v>13</v>
      </c>
      <c r="AF20" s="3"/>
      <c r="AG20" s="3"/>
      <c r="AH20" s="3"/>
      <c r="AI20" s="3"/>
      <c r="AJ20" s="3"/>
      <c r="AK20" s="3"/>
      <c r="AL20" s="3"/>
      <c r="AM20" s="3"/>
      <c r="AN20" s="3"/>
      <c r="AO20" s="3"/>
    </row>
    <row r="21" spans="2:41" ht="13.5" customHeight="1" x14ac:dyDescent="0.25">
      <c r="B21" s="16"/>
      <c r="C21" s="111"/>
      <c r="D21" s="114" t="s">
        <v>26</v>
      </c>
      <c r="E21" s="114"/>
      <c r="F21" s="169">
        <f>ROUND(+(F18+F19)*F20,2)</f>
        <v>3198</v>
      </c>
      <c r="G21" s="218"/>
      <c r="H21" s="219"/>
      <c r="I21" s="116"/>
      <c r="J21" s="19"/>
      <c r="K21" s="31"/>
      <c r="L21" s="264" t="str">
        <f t="shared" si="0"/>
        <v>LB</v>
      </c>
      <c r="M21" s="265">
        <f t="shared" si="5"/>
        <v>29</v>
      </c>
      <c r="N21" s="265"/>
      <c r="O21" s="265" t="str">
        <f t="shared" si="1"/>
        <v>LA</v>
      </c>
      <c r="P21" s="265">
        <f t="shared" si="6"/>
        <v>31</v>
      </c>
      <c r="Q21" s="265"/>
      <c r="R21" s="267">
        <f t="shared" si="2"/>
        <v>68630.759999999995</v>
      </c>
      <c r="S21" s="267">
        <f t="shared" si="3"/>
        <v>62467.919999999991</v>
      </c>
      <c r="T21" s="265"/>
      <c r="U21" s="267">
        <f t="shared" si="4"/>
        <v>6162.8400000000038</v>
      </c>
      <c r="V21" s="265"/>
      <c r="W21" s="266">
        <v>17</v>
      </c>
      <c r="X21" s="31"/>
      <c r="Y21" s="272" t="s">
        <v>14</v>
      </c>
      <c r="AF21" s="3"/>
      <c r="AG21" s="3"/>
      <c r="AH21" s="3"/>
      <c r="AI21" s="3"/>
      <c r="AJ21" s="3"/>
      <c r="AK21" s="3"/>
      <c r="AL21" s="3"/>
      <c r="AM21" s="3"/>
      <c r="AN21" s="3"/>
      <c r="AO21" s="3"/>
    </row>
    <row r="22" spans="2:41" ht="13.5" customHeight="1" x14ac:dyDescent="0.25">
      <c r="B22" s="16"/>
      <c r="C22" s="111"/>
      <c r="D22" s="114"/>
      <c r="E22" s="114"/>
      <c r="F22" s="167"/>
      <c r="G22" s="218"/>
      <c r="H22" s="219"/>
      <c r="I22" s="116"/>
      <c r="J22" s="19"/>
      <c r="K22" s="31"/>
      <c r="L22" s="264" t="str">
        <f t="shared" si="0"/>
        <v>LB</v>
      </c>
      <c r="M22" s="265">
        <f t="shared" si="5"/>
        <v>30</v>
      </c>
      <c r="N22" s="265"/>
      <c r="O22" s="265" t="str">
        <f t="shared" si="1"/>
        <v>LA</v>
      </c>
      <c r="P22" s="265">
        <f t="shared" si="6"/>
        <v>32</v>
      </c>
      <c r="Q22" s="265"/>
      <c r="R22" s="267">
        <f t="shared" si="2"/>
        <v>68630.759999999995</v>
      </c>
      <c r="S22" s="267">
        <f t="shared" si="3"/>
        <v>62467.919999999991</v>
      </c>
      <c r="T22" s="265"/>
      <c r="U22" s="267">
        <f t="shared" si="4"/>
        <v>6162.8400000000038</v>
      </c>
      <c r="V22" s="265"/>
      <c r="W22" s="266">
        <v>18</v>
      </c>
      <c r="X22" s="31"/>
      <c r="Y22" s="272" t="s">
        <v>0</v>
      </c>
      <c r="AF22" s="3"/>
      <c r="AG22" s="3"/>
      <c r="AH22" s="3"/>
      <c r="AI22" s="3"/>
      <c r="AJ22" s="3"/>
      <c r="AK22" s="3"/>
      <c r="AL22" s="3"/>
      <c r="AM22" s="3"/>
      <c r="AN22" s="3"/>
      <c r="AO22" s="3"/>
    </row>
    <row r="23" spans="2:41" ht="13.5" customHeight="1" x14ac:dyDescent="0.25">
      <c r="B23" s="16"/>
      <c r="C23" s="111"/>
      <c r="D23" s="120" t="s">
        <v>157</v>
      </c>
      <c r="E23" s="114"/>
      <c r="F23" s="118">
        <v>45</v>
      </c>
      <c r="G23" s="218"/>
      <c r="H23" s="219"/>
      <c r="I23" s="116"/>
      <c r="J23" s="19"/>
      <c r="K23" s="31"/>
      <c r="L23" s="264" t="str">
        <f t="shared" si="0"/>
        <v>LB</v>
      </c>
      <c r="M23" s="265">
        <f t="shared" si="5"/>
        <v>31</v>
      </c>
      <c r="N23" s="265"/>
      <c r="O23" s="265" t="str">
        <f t="shared" si="1"/>
        <v>LA</v>
      </c>
      <c r="P23" s="265">
        <f t="shared" si="6"/>
        <v>33</v>
      </c>
      <c r="Q23" s="265"/>
      <c r="R23" s="267">
        <f t="shared" si="2"/>
        <v>68630.759999999995</v>
      </c>
      <c r="S23" s="267">
        <f t="shared" si="3"/>
        <v>62467.919999999991</v>
      </c>
      <c r="T23" s="265"/>
      <c r="U23" s="267">
        <f t="shared" si="4"/>
        <v>6162.8400000000038</v>
      </c>
      <c r="V23" s="265"/>
      <c r="W23" s="266">
        <v>19</v>
      </c>
      <c r="X23" s="31"/>
      <c r="Y23" s="272" t="s">
        <v>15</v>
      </c>
      <c r="AF23" s="3"/>
      <c r="AG23" s="3"/>
      <c r="AH23" s="3"/>
      <c r="AI23" s="3"/>
      <c r="AJ23" s="3"/>
      <c r="AK23" s="3"/>
      <c r="AL23" s="3"/>
      <c r="AM23" s="3"/>
      <c r="AN23" s="3"/>
      <c r="AO23" s="3"/>
    </row>
    <row r="24" spans="2:41" ht="13.5" customHeight="1" x14ac:dyDescent="0.25">
      <c r="B24" s="16"/>
      <c r="C24" s="111"/>
      <c r="D24" s="114" t="s">
        <v>158</v>
      </c>
      <c r="E24" s="114"/>
      <c r="F24" s="118">
        <v>65</v>
      </c>
      <c r="G24" s="218"/>
      <c r="H24" s="219"/>
      <c r="I24" s="116"/>
      <c r="J24" s="19"/>
      <c r="K24" s="31"/>
      <c r="L24" s="264" t="str">
        <f t="shared" si="0"/>
        <v>LB</v>
      </c>
      <c r="M24" s="265">
        <f t="shared" si="5"/>
        <v>32</v>
      </c>
      <c r="N24" s="265"/>
      <c r="O24" s="265" t="str">
        <f t="shared" si="1"/>
        <v>LA</v>
      </c>
      <c r="P24" s="265">
        <f t="shared" si="6"/>
        <v>34</v>
      </c>
      <c r="Q24" s="265"/>
      <c r="R24" s="267">
        <f t="shared" si="2"/>
        <v>0</v>
      </c>
      <c r="S24" s="267">
        <f t="shared" si="3"/>
        <v>0</v>
      </c>
      <c r="T24" s="265"/>
      <c r="U24" s="267">
        <f t="shared" si="4"/>
        <v>0</v>
      </c>
      <c r="V24" s="265"/>
      <c r="W24" s="266">
        <v>20</v>
      </c>
      <c r="X24" s="31"/>
      <c r="Y24" s="272" t="s">
        <v>16</v>
      </c>
      <c r="AF24" s="3"/>
      <c r="AG24" s="3"/>
      <c r="AH24" s="3"/>
      <c r="AI24" s="3"/>
      <c r="AJ24" s="3"/>
      <c r="AK24" s="3"/>
      <c r="AL24" s="3"/>
      <c r="AM24" s="3"/>
      <c r="AN24" s="3"/>
      <c r="AO24" s="3"/>
    </row>
    <row r="25" spans="2:41" ht="13.5" customHeight="1" x14ac:dyDescent="0.25">
      <c r="B25" s="16"/>
      <c r="C25" s="128"/>
      <c r="D25" s="129"/>
      <c r="E25" s="129"/>
      <c r="F25" s="243"/>
      <c r="G25" s="244"/>
      <c r="H25" s="245"/>
      <c r="I25" s="131"/>
      <c r="J25" s="19"/>
      <c r="K25" s="31"/>
      <c r="L25" s="264" t="str">
        <f t="shared" si="0"/>
        <v>LB</v>
      </c>
      <c r="M25" s="265">
        <f t="shared" si="5"/>
        <v>33</v>
      </c>
      <c r="N25" s="265"/>
      <c r="O25" s="265" t="str">
        <f t="shared" si="1"/>
        <v>LA</v>
      </c>
      <c r="P25" s="265">
        <f t="shared" si="6"/>
        <v>35</v>
      </c>
      <c r="Q25" s="265"/>
      <c r="R25" s="267">
        <f t="shared" si="2"/>
        <v>0</v>
      </c>
      <c r="S25" s="267">
        <f t="shared" si="3"/>
        <v>0</v>
      </c>
      <c r="T25" s="265"/>
      <c r="U25" s="267">
        <f t="shared" si="4"/>
        <v>0</v>
      </c>
      <c r="V25" s="265"/>
      <c r="W25" s="266">
        <v>21</v>
      </c>
      <c r="X25" s="31"/>
      <c r="Y25" s="272" t="s">
        <v>17</v>
      </c>
      <c r="AF25" s="3"/>
      <c r="AG25" s="3"/>
      <c r="AH25" s="3"/>
      <c r="AI25" s="3"/>
      <c r="AJ25" s="3"/>
      <c r="AK25" s="3"/>
      <c r="AL25" s="3"/>
      <c r="AM25" s="3"/>
      <c r="AN25" s="3"/>
      <c r="AO25" s="3"/>
    </row>
    <row r="26" spans="2:41" ht="13.5" customHeight="1" x14ac:dyDescent="0.25">
      <c r="B26" s="16"/>
      <c r="C26" s="17"/>
      <c r="D26" s="17"/>
      <c r="E26" s="17"/>
      <c r="F26" s="25"/>
      <c r="G26" s="105"/>
      <c r="H26" s="104"/>
      <c r="I26" s="17"/>
      <c r="J26" s="19"/>
      <c r="K26" s="31"/>
      <c r="L26" s="264" t="str">
        <f t="shared" si="0"/>
        <v>LB</v>
      </c>
      <c r="M26" s="265">
        <f t="shared" si="5"/>
        <v>34</v>
      </c>
      <c r="N26" s="265"/>
      <c r="O26" s="265" t="str">
        <f t="shared" si="1"/>
        <v>LA</v>
      </c>
      <c r="P26" s="265">
        <f t="shared" si="6"/>
        <v>36</v>
      </c>
      <c r="Q26" s="265"/>
      <c r="R26" s="267">
        <f t="shared" si="2"/>
        <v>0</v>
      </c>
      <c r="S26" s="267">
        <f t="shared" si="3"/>
        <v>0</v>
      </c>
      <c r="T26" s="265"/>
      <c r="U26" s="267">
        <f t="shared" si="4"/>
        <v>0</v>
      </c>
      <c r="V26" s="265"/>
      <c r="W26" s="266">
        <v>22</v>
      </c>
      <c r="X26" s="31"/>
      <c r="Y26" s="272" t="s">
        <v>18</v>
      </c>
      <c r="AF26" s="3"/>
      <c r="AG26" s="3"/>
      <c r="AH26" s="3"/>
      <c r="AI26" s="3"/>
      <c r="AJ26" s="3"/>
      <c r="AK26" s="3"/>
      <c r="AL26" s="3"/>
      <c r="AM26" s="3"/>
      <c r="AN26" s="3"/>
      <c r="AO26" s="3"/>
    </row>
    <row r="27" spans="2:41" ht="13.5" customHeight="1" x14ac:dyDescent="0.25">
      <c r="B27" s="16"/>
      <c r="C27" s="106"/>
      <c r="D27" s="107"/>
      <c r="E27" s="107"/>
      <c r="F27" s="237"/>
      <c r="G27" s="246"/>
      <c r="H27" s="247"/>
      <c r="I27" s="110"/>
      <c r="J27" s="19"/>
      <c r="K27" s="31"/>
      <c r="L27" s="264" t="str">
        <f t="shared" si="0"/>
        <v>LB</v>
      </c>
      <c r="M27" s="265">
        <f t="shared" si="5"/>
        <v>35</v>
      </c>
      <c r="N27" s="265"/>
      <c r="O27" s="265" t="str">
        <f t="shared" si="1"/>
        <v>LA</v>
      </c>
      <c r="P27" s="265">
        <f t="shared" si="6"/>
        <v>37</v>
      </c>
      <c r="Q27" s="265"/>
      <c r="R27" s="267">
        <f t="shared" si="2"/>
        <v>0</v>
      </c>
      <c r="S27" s="267">
        <f t="shared" si="3"/>
        <v>0</v>
      </c>
      <c r="T27" s="265"/>
      <c r="U27" s="267">
        <f t="shared" si="4"/>
        <v>0</v>
      </c>
      <c r="V27" s="265"/>
      <c r="W27" s="266">
        <v>23</v>
      </c>
      <c r="X27" s="31"/>
      <c r="Y27" s="272" t="s">
        <v>19</v>
      </c>
      <c r="AF27" s="3"/>
      <c r="AG27" s="3"/>
      <c r="AH27" s="3"/>
      <c r="AI27" s="3"/>
      <c r="AJ27" s="3"/>
      <c r="AK27" s="3"/>
      <c r="AL27" s="3"/>
      <c r="AM27" s="3"/>
      <c r="AN27" s="3"/>
      <c r="AO27" s="3"/>
    </row>
    <row r="28" spans="2:41" ht="13.5" customHeight="1" x14ac:dyDescent="0.25">
      <c r="B28" s="16"/>
      <c r="C28" s="111"/>
      <c r="D28" s="112" t="s">
        <v>159</v>
      </c>
      <c r="E28" s="114"/>
      <c r="F28" s="113"/>
      <c r="G28" s="218"/>
      <c r="H28" s="219"/>
      <c r="I28" s="116"/>
      <c r="J28" s="19"/>
      <c r="K28" s="31"/>
      <c r="L28" s="264" t="str">
        <f t="shared" si="0"/>
        <v>LB</v>
      </c>
      <c r="M28" s="265">
        <f t="shared" si="5"/>
        <v>36</v>
      </c>
      <c r="N28" s="265"/>
      <c r="O28" s="265" t="str">
        <f t="shared" si="1"/>
        <v>LA</v>
      </c>
      <c r="P28" s="265">
        <f t="shared" si="6"/>
        <v>38</v>
      </c>
      <c r="Q28" s="265"/>
      <c r="R28" s="267">
        <f t="shared" si="2"/>
        <v>0</v>
      </c>
      <c r="S28" s="267">
        <f t="shared" si="3"/>
        <v>0</v>
      </c>
      <c r="T28" s="265"/>
      <c r="U28" s="267">
        <f t="shared" si="4"/>
        <v>0</v>
      </c>
      <c r="V28" s="265"/>
      <c r="W28" s="266">
        <v>24</v>
      </c>
      <c r="X28" s="31"/>
      <c r="Y28" s="272" t="s">
        <v>20</v>
      </c>
      <c r="AF28" s="3"/>
      <c r="AG28" s="3"/>
      <c r="AH28" s="3"/>
      <c r="AI28" s="3"/>
      <c r="AJ28" s="3"/>
      <c r="AK28" s="3"/>
      <c r="AL28" s="3"/>
      <c r="AM28" s="3"/>
      <c r="AN28" s="3"/>
      <c r="AO28" s="3"/>
    </row>
    <row r="29" spans="2:41" ht="13.5" customHeight="1" x14ac:dyDescent="0.25">
      <c r="B29" s="16"/>
      <c r="C29" s="111"/>
      <c r="D29" s="120"/>
      <c r="E29" s="114"/>
      <c r="F29" s="113"/>
      <c r="G29" s="218"/>
      <c r="H29" s="219"/>
      <c r="I29" s="116"/>
      <c r="J29" s="19"/>
      <c r="K29" s="31"/>
      <c r="L29" s="264" t="str">
        <f t="shared" si="0"/>
        <v>LB</v>
      </c>
      <c r="M29" s="265">
        <f t="shared" si="5"/>
        <v>37</v>
      </c>
      <c r="N29" s="265"/>
      <c r="O29" s="265" t="str">
        <f t="shared" si="1"/>
        <v>LA</v>
      </c>
      <c r="P29" s="265">
        <f t="shared" si="6"/>
        <v>39</v>
      </c>
      <c r="Q29" s="265"/>
      <c r="R29" s="267">
        <f t="shared" si="2"/>
        <v>0</v>
      </c>
      <c r="S29" s="267">
        <f t="shared" si="3"/>
        <v>0</v>
      </c>
      <c r="T29" s="265"/>
      <c r="U29" s="267">
        <f t="shared" si="4"/>
        <v>0</v>
      </c>
      <c r="V29" s="265"/>
      <c r="W29" s="266">
        <v>25</v>
      </c>
      <c r="X29" s="31"/>
      <c r="Y29" s="272">
        <v>1</v>
      </c>
      <c r="AF29" s="3"/>
      <c r="AG29" s="3"/>
      <c r="AH29" s="3"/>
      <c r="AI29" s="3"/>
      <c r="AJ29" s="3"/>
      <c r="AK29" s="3"/>
      <c r="AL29" s="3"/>
      <c r="AM29" s="3"/>
      <c r="AN29" s="3"/>
      <c r="AO29" s="3"/>
    </row>
    <row r="30" spans="2:41" ht="13.5" customHeight="1" x14ac:dyDescent="0.25">
      <c r="B30" s="16"/>
      <c r="C30" s="111"/>
      <c r="D30" s="114" t="s">
        <v>21</v>
      </c>
      <c r="E30" s="114"/>
      <c r="F30" s="239" t="s">
        <v>15</v>
      </c>
      <c r="G30" s="218"/>
      <c r="H30" s="219"/>
      <c r="I30" s="116"/>
      <c r="J30" s="19"/>
      <c r="K30" s="257"/>
      <c r="L30" s="264" t="str">
        <f t="shared" si="0"/>
        <v>LB</v>
      </c>
      <c r="M30" s="265">
        <f t="shared" si="5"/>
        <v>38</v>
      </c>
      <c r="N30" s="265"/>
      <c r="O30" s="265" t="str">
        <f t="shared" si="1"/>
        <v>LA</v>
      </c>
      <c r="P30" s="265">
        <f t="shared" si="6"/>
        <v>40</v>
      </c>
      <c r="Q30" s="265"/>
      <c r="R30" s="267">
        <f t="shared" si="2"/>
        <v>0</v>
      </c>
      <c r="S30" s="267">
        <f t="shared" si="3"/>
        <v>0</v>
      </c>
      <c r="T30" s="265"/>
      <c r="U30" s="267">
        <f t="shared" si="4"/>
        <v>0</v>
      </c>
      <c r="V30" s="265"/>
      <c r="W30" s="266">
        <v>26</v>
      </c>
      <c r="X30" s="257"/>
      <c r="Y30" s="272">
        <v>2</v>
      </c>
      <c r="Z30" s="3"/>
      <c r="AA30" s="3"/>
      <c r="AF30" s="3"/>
      <c r="AG30" s="3"/>
      <c r="AH30" s="3"/>
      <c r="AI30" s="3"/>
      <c r="AJ30" s="3"/>
      <c r="AK30" s="3"/>
      <c r="AL30" s="3"/>
      <c r="AM30" s="3"/>
      <c r="AN30" s="3"/>
      <c r="AO30" s="3"/>
    </row>
    <row r="31" spans="2:41" ht="13.5" customHeight="1" x14ac:dyDescent="0.25">
      <c r="B31" s="16"/>
      <c r="C31" s="111"/>
      <c r="D31" s="115" t="s">
        <v>22</v>
      </c>
      <c r="E31" s="114"/>
      <c r="F31" s="118">
        <v>12</v>
      </c>
      <c r="G31" s="218" t="s">
        <v>156</v>
      </c>
      <c r="H31" s="219">
        <f>VLOOKUP(F30,salaristabellen,22,FALSE)</f>
        <v>15</v>
      </c>
      <c r="I31" s="116"/>
      <c r="J31" s="19"/>
      <c r="K31" s="257"/>
      <c r="L31" s="264" t="str">
        <f t="shared" si="0"/>
        <v>LB</v>
      </c>
      <c r="M31" s="265">
        <f t="shared" si="5"/>
        <v>39</v>
      </c>
      <c r="N31" s="265"/>
      <c r="O31" s="265" t="str">
        <f t="shared" si="1"/>
        <v>LA</v>
      </c>
      <c r="P31" s="265">
        <f t="shared" si="6"/>
        <v>41</v>
      </c>
      <c r="Q31" s="265"/>
      <c r="R31" s="267">
        <f t="shared" si="2"/>
        <v>0</v>
      </c>
      <c r="S31" s="267">
        <f t="shared" si="3"/>
        <v>0</v>
      </c>
      <c r="T31" s="265"/>
      <c r="U31" s="267">
        <f t="shared" si="4"/>
        <v>0</v>
      </c>
      <c r="V31" s="265"/>
      <c r="W31" s="266">
        <v>27</v>
      </c>
      <c r="X31" s="257"/>
      <c r="Y31" s="272">
        <v>3</v>
      </c>
      <c r="Z31" s="3"/>
      <c r="AA31" s="3"/>
      <c r="AF31" s="3"/>
      <c r="AG31" s="3"/>
      <c r="AH31" s="3"/>
      <c r="AI31" s="3"/>
      <c r="AJ31" s="3"/>
      <c r="AK31" s="3"/>
      <c r="AL31" s="3"/>
      <c r="AM31" s="3"/>
      <c r="AN31" s="3"/>
      <c r="AO31" s="3"/>
    </row>
    <row r="32" spans="2:41" ht="13.5" customHeight="1" x14ac:dyDescent="0.25">
      <c r="B32" s="16"/>
      <c r="C32" s="111"/>
      <c r="D32" s="115" t="s">
        <v>24</v>
      </c>
      <c r="E32" s="114"/>
      <c r="F32" s="146">
        <f>VLOOKUP(F30,salaristabellen,IF(F31&gt;15,16,F31+1),FALSE)</f>
        <v>3269</v>
      </c>
      <c r="G32" s="115"/>
      <c r="H32" s="115"/>
      <c r="I32" s="221"/>
      <c r="J32" s="27"/>
      <c r="K32" s="257"/>
      <c r="L32" s="264" t="str">
        <f t="shared" si="0"/>
        <v>LB</v>
      </c>
      <c r="M32" s="265">
        <f t="shared" si="5"/>
        <v>40</v>
      </c>
      <c r="N32" s="265"/>
      <c r="O32" s="265" t="str">
        <f t="shared" si="1"/>
        <v>LA</v>
      </c>
      <c r="P32" s="265">
        <f t="shared" si="6"/>
        <v>42</v>
      </c>
      <c r="Q32" s="265"/>
      <c r="R32" s="267">
        <f t="shared" si="2"/>
        <v>0</v>
      </c>
      <c r="S32" s="267">
        <f t="shared" si="3"/>
        <v>0</v>
      </c>
      <c r="T32" s="265"/>
      <c r="U32" s="267">
        <f t="shared" si="4"/>
        <v>0</v>
      </c>
      <c r="V32" s="265"/>
      <c r="W32" s="266">
        <v>28</v>
      </c>
      <c r="X32" s="257"/>
      <c r="Y32" s="272">
        <v>4</v>
      </c>
      <c r="Z32" s="3"/>
      <c r="AA32" s="3"/>
      <c r="AF32" s="3"/>
      <c r="AG32" s="3"/>
      <c r="AH32" s="3"/>
      <c r="AI32" s="3"/>
      <c r="AJ32" s="3"/>
      <c r="AK32" s="3"/>
      <c r="AL32" s="3"/>
      <c r="AM32" s="3"/>
      <c r="AN32" s="3"/>
      <c r="AO32" s="3"/>
    </row>
    <row r="33" spans="2:41" ht="13.5" customHeight="1" x14ac:dyDescent="0.25">
      <c r="B33" s="16"/>
      <c r="C33" s="111"/>
      <c r="D33" s="114"/>
      <c r="E33" s="115"/>
      <c r="F33" s="145"/>
      <c r="G33" s="115"/>
      <c r="H33" s="115"/>
      <c r="I33" s="221"/>
      <c r="J33" s="27"/>
      <c r="K33" s="257"/>
      <c r="L33" s="264" t="str">
        <f t="shared" si="0"/>
        <v>LB</v>
      </c>
      <c r="M33" s="265">
        <f t="shared" si="5"/>
        <v>41</v>
      </c>
      <c r="N33" s="265"/>
      <c r="O33" s="265" t="str">
        <f t="shared" si="1"/>
        <v>LA</v>
      </c>
      <c r="P33" s="265">
        <f t="shared" si="6"/>
        <v>43</v>
      </c>
      <c r="Q33" s="265"/>
      <c r="R33" s="267">
        <f t="shared" si="2"/>
        <v>0</v>
      </c>
      <c r="S33" s="267">
        <f t="shared" si="3"/>
        <v>0</v>
      </c>
      <c r="T33" s="265"/>
      <c r="U33" s="267">
        <f t="shared" si="4"/>
        <v>0</v>
      </c>
      <c r="V33" s="265"/>
      <c r="W33" s="266">
        <v>29</v>
      </c>
      <c r="X33" s="257"/>
      <c r="Y33" s="272">
        <v>5</v>
      </c>
      <c r="Z33" s="3"/>
      <c r="AA33" s="3"/>
      <c r="AF33" s="3"/>
      <c r="AG33" s="3"/>
      <c r="AH33" s="3"/>
      <c r="AI33" s="3"/>
      <c r="AJ33" s="3"/>
      <c r="AK33" s="3"/>
      <c r="AL33" s="3"/>
      <c r="AM33" s="3"/>
      <c r="AN33" s="3"/>
      <c r="AO33" s="3"/>
    </row>
    <row r="34" spans="2:41" ht="13.5" customHeight="1" x14ac:dyDescent="0.25">
      <c r="B34" s="16"/>
      <c r="C34" s="111"/>
      <c r="D34" s="120" t="s">
        <v>270</v>
      </c>
      <c r="E34" s="115"/>
      <c r="F34" s="248" t="s">
        <v>127</v>
      </c>
      <c r="G34" s="115"/>
      <c r="H34" s="115"/>
      <c r="I34" s="221"/>
      <c r="J34" s="27"/>
      <c r="K34" s="257"/>
      <c r="L34" s="264" t="str">
        <f t="shared" si="0"/>
        <v>LB</v>
      </c>
      <c r="M34" s="265">
        <f t="shared" si="5"/>
        <v>42</v>
      </c>
      <c r="N34" s="265"/>
      <c r="O34" s="265" t="str">
        <f t="shared" si="1"/>
        <v>LA</v>
      </c>
      <c r="P34" s="265">
        <f t="shared" si="6"/>
        <v>44</v>
      </c>
      <c r="Q34" s="265"/>
      <c r="R34" s="267">
        <f t="shared" si="2"/>
        <v>0</v>
      </c>
      <c r="S34" s="267">
        <f t="shared" si="3"/>
        <v>0</v>
      </c>
      <c r="T34" s="265"/>
      <c r="U34" s="267">
        <f t="shared" si="4"/>
        <v>0</v>
      </c>
      <c r="V34" s="265"/>
      <c r="W34" s="266">
        <v>30</v>
      </c>
      <c r="X34" s="257"/>
      <c r="Y34" s="272">
        <v>6</v>
      </c>
      <c r="Z34" s="3"/>
      <c r="AA34" s="3"/>
      <c r="AF34" s="3"/>
      <c r="AG34" s="3"/>
      <c r="AH34" s="3"/>
      <c r="AI34" s="3"/>
      <c r="AJ34" s="3"/>
      <c r="AK34" s="3"/>
      <c r="AL34" s="3"/>
      <c r="AM34" s="3"/>
      <c r="AN34" s="3"/>
      <c r="AO34" s="3"/>
    </row>
    <row r="35" spans="2:41" ht="13.5" customHeight="1" x14ac:dyDescent="0.25">
      <c r="B35" s="16"/>
      <c r="C35" s="111"/>
      <c r="D35" s="115" t="s">
        <v>160</v>
      </c>
      <c r="E35" s="114"/>
      <c r="F35" s="248">
        <v>0</v>
      </c>
      <c r="G35" s="115"/>
      <c r="H35" s="115"/>
      <c r="I35" s="221"/>
      <c r="J35" s="27"/>
      <c r="K35" s="257"/>
      <c r="L35" s="264" t="str">
        <f t="shared" si="0"/>
        <v>LB</v>
      </c>
      <c r="M35" s="265">
        <f t="shared" si="5"/>
        <v>43</v>
      </c>
      <c r="N35" s="265"/>
      <c r="O35" s="265" t="str">
        <f t="shared" si="1"/>
        <v>LA</v>
      </c>
      <c r="P35" s="265">
        <f t="shared" si="6"/>
        <v>45</v>
      </c>
      <c r="Q35" s="265"/>
      <c r="R35" s="267">
        <f t="shared" si="2"/>
        <v>0</v>
      </c>
      <c r="S35" s="267">
        <f t="shared" si="3"/>
        <v>0</v>
      </c>
      <c r="T35" s="265"/>
      <c r="U35" s="267">
        <f t="shared" si="4"/>
        <v>0</v>
      </c>
      <c r="V35" s="265"/>
      <c r="W35" s="266">
        <v>31</v>
      </c>
      <c r="X35" s="257"/>
      <c r="Y35" s="272">
        <v>7</v>
      </c>
      <c r="Z35" s="3"/>
      <c r="AA35" s="3"/>
    </row>
    <row r="36" spans="2:41" ht="13.5" customHeight="1" x14ac:dyDescent="0.25">
      <c r="B36" s="16"/>
      <c r="C36" s="111"/>
      <c r="D36" s="114" t="s">
        <v>26</v>
      </c>
      <c r="E36" s="114"/>
      <c r="F36" s="249">
        <f>ROUND(IF(F34="ja",F32*F35,F32*F20),2)</f>
        <v>3269</v>
      </c>
      <c r="G36" s="115"/>
      <c r="H36" s="115"/>
      <c r="I36" s="221"/>
      <c r="J36" s="27"/>
      <c r="K36" s="257"/>
      <c r="L36" s="264" t="str">
        <f t="shared" si="0"/>
        <v>LB</v>
      </c>
      <c r="M36" s="265">
        <f t="shared" si="5"/>
        <v>44</v>
      </c>
      <c r="N36" s="265"/>
      <c r="O36" s="265" t="str">
        <f t="shared" si="1"/>
        <v>LA</v>
      </c>
      <c r="P36" s="265">
        <f t="shared" si="6"/>
        <v>46</v>
      </c>
      <c r="Q36" s="265"/>
      <c r="R36" s="267">
        <f t="shared" si="2"/>
        <v>0</v>
      </c>
      <c r="S36" s="267">
        <f t="shared" si="3"/>
        <v>0</v>
      </c>
      <c r="T36" s="265"/>
      <c r="U36" s="267">
        <f t="shared" si="4"/>
        <v>0</v>
      </c>
      <c r="V36" s="265"/>
      <c r="W36" s="266">
        <v>32</v>
      </c>
      <c r="X36" s="257"/>
      <c r="Y36" s="272">
        <v>8</v>
      </c>
      <c r="Z36" s="3"/>
      <c r="AA36" s="3"/>
    </row>
    <row r="37" spans="2:41" ht="13.5" customHeight="1" x14ac:dyDescent="0.25">
      <c r="B37" s="16"/>
      <c r="C37" s="128"/>
      <c r="D37" s="129"/>
      <c r="E37" s="129"/>
      <c r="F37" s="130"/>
      <c r="G37" s="150"/>
      <c r="H37" s="150"/>
      <c r="I37" s="222"/>
      <c r="J37" s="27"/>
      <c r="K37" s="257"/>
      <c r="L37" s="264" t="str">
        <f t="shared" si="0"/>
        <v>LB</v>
      </c>
      <c r="M37" s="265">
        <f t="shared" si="5"/>
        <v>45</v>
      </c>
      <c r="N37" s="265"/>
      <c r="O37" s="265" t="str">
        <f t="shared" si="1"/>
        <v>LA</v>
      </c>
      <c r="P37" s="265">
        <f t="shared" si="6"/>
        <v>47</v>
      </c>
      <c r="Q37" s="265"/>
      <c r="R37" s="267">
        <f t="shared" si="2"/>
        <v>0</v>
      </c>
      <c r="S37" s="267">
        <f t="shared" si="3"/>
        <v>0</v>
      </c>
      <c r="T37" s="265"/>
      <c r="U37" s="267">
        <f t="shared" si="4"/>
        <v>0</v>
      </c>
      <c r="V37" s="265"/>
      <c r="W37" s="266">
        <v>33</v>
      </c>
      <c r="X37" s="257"/>
      <c r="Y37" s="272">
        <v>9</v>
      </c>
      <c r="Z37" s="3"/>
      <c r="AA37" s="3"/>
    </row>
    <row r="38" spans="2:41" ht="13.5" customHeight="1" x14ac:dyDescent="0.25">
      <c r="B38" s="16"/>
      <c r="C38" s="17"/>
      <c r="D38" s="17"/>
      <c r="E38" s="17"/>
      <c r="F38" s="18"/>
      <c r="G38" s="20"/>
      <c r="H38" s="20"/>
      <c r="I38" s="20"/>
      <c r="J38" s="27"/>
      <c r="K38" s="257"/>
      <c r="L38" s="264" t="str">
        <f t="shared" si="0"/>
        <v>LB</v>
      </c>
      <c r="M38" s="265">
        <f t="shared" si="5"/>
        <v>46</v>
      </c>
      <c r="N38" s="265"/>
      <c r="O38" s="265" t="str">
        <f t="shared" si="1"/>
        <v>LA</v>
      </c>
      <c r="P38" s="265">
        <f t="shared" si="6"/>
        <v>48</v>
      </c>
      <c r="Q38" s="265"/>
      <c r="R38" s="267">
        <f t="shared" si="2"/>
        <v>0</v>
      </c>
      <c r="S38" s="267">
        <f t="shared" si="3"/>
        <v>0</v>
      </c>
      <c r="T38" s="265"/>
      <c r="U38" s="267">
        <f t="shared" si="4"/>
        <v>0</v>
      </c>
      <c r="V38" s="265"/>
      <c r="W38" s="266">
        <v>34</v>
      </c>
      <c r="X38" s="257"/>
      <c r="Y38" s="272">
        <v>10</v>
      </c>
      <c r="Z38" s="3"/>
      <c r="AA38" s="3"/>
    </row>
    <row r="39" spans="2:41" ht="13.5" customHeight="1" x14ac:dyDescent="0.25">
      <c r="B39" s="16"/>
      <c r="C39" s="106"/>
      <c r="D39" s="107"/>
      <c r="E39" s="107"/>
      <c r="F39" s="108"/>
      <c r="G39" s="109"/>
      <c r="H39" s="109"/>
      <c r="I39" s="223"/>
      <c r="J39" s="27"/>
      <c r="K39" s="257"/>
      <c r="L39" s="264" t="str">
        <f t="shared" si="0"/>
        <v>LB</v>
      </c>
      <c r="M39" s="265">
        <f t="shared" si="5"/>
        <v>47</v>
      </c>
      <c r="N39" s="265"/>
      <c r="O39" s="265" t="str">
        <f t="shared" si="1"/>
        <v>LA</v>
      </c>
      <c r="P39" s="265">
        <f t="shared" si="6"/>
        <v>49</v>
      </c>
      <c r="Q39" s="265"/>
      <c r="R39" s="267">
        <f t="shared" si="2"/>
        <v>0</v>
      </c>
      <c r="S39" s="267">
        <f t="shared" si="3"/>
        <v>0</v>
      </c>
      <c r="T39" s="265"/>
      <c r="U39" s="267">
        <f t="shared" si="4"/>
        <v>0</v>
      </c>
      <c r="V39" s="265"/>
      <c r="W39" s="266">
        <v>35</v>
      </c>
      <c r="X39" s="257"/>
      <c r="Y39" s="272">
        <v>11</v>
      </c>
      <c r="Z39" s="3"/>
      <c r="AA39" s="3"/>
    </row>
    <row r="40" spans="2:41" ht="13.5" customHeight="1" x14ac:dyDescent="0.25">
      <c r="B40" s="16"/>
      <c r="C40" s="111"/>
      <c r="D40" s="112" t="s">
        <v>272</v>
      </c>
      <c r="E40" s="114"/>
      <c r="F40" s="113"/>
      <c r="G40" s="115"/>
      <c r="H40" s="115"/>
      <c r="I40" s="221"/>
      <c r="J40" s="27"/>
      <c r="K40" s="257"/>
      <c r="L40" s="264" t="str">
        <f t="shared" si="0"/>
        <v>LB</v>
      </c>
      <c r="M40" s="265">
        <f t="shared" si="5"/>
        <v>48</v>
      </c>
      <c r="N40" s="265"/>
      <c r="O40" s="265" t="str">
        <f t="shared" si="1"/>
        <v>LA</v>
      </c>
      <c r="P40" s="265">
        <f t="shared" si="6"/>
        <v>50</v>
      </c>
      <c r="Q40" s="265"/>
      <c r="R40" s="267">
        <f t="shared" si="2"/>
        <v>0</v>
      </c>
      <c r="S40" s="267">
        <f t="shared" si="3"/>
        <v>0</v>
      </c>
      <c r="T40" s="265"/>
      <c r="U40" s="267">
        <f t="shared" si="4"/>
        <v>0</v>
      </c>
      <c r="V40" s="265"/>
      <c r="W40" s="266">
        <v>36</v>
      </c>
      <c r="X40" s="257"/>
      <c r="Y40" s="272">
        <v>12</v>
      </c>
      <c r="Z40" s="3"/>
      <c r="AA40" s="3"/>
    </row>
    <row r="41" spans="2:41" ht="13.5" customHeight="1" x14ac:dyDescent="0.25">
      <c r="B41" s="16"/>
      <c r="C41" s="111"/>
      <c r="D41" s="114"/>
      <c r="E41" s="114"/>
      <c r="F41" s="113"/>
      <c r="G41" s="115"/>
      <c r="H41" s="115"/>
      <c r="I41" s="221"/>
      <c r="J41" s="27"/>
      <c r="K41" s="257"/>
      <c r="L41" s="264" t="str">
        <f t="shared" si="0"/>
        <v>LB</v>
      </c>
      <c r="M41" s="265">
        <f t="shared" si="5"/>
        <v>49</v>
      </c>
      <c r="N41" s="265"/>
      <c r="O41" s="265" t="str">
        <f t="shared" si="1"/>
        <v>LA</v>
      </c>
      <c r="P41" s="265">
        <f t="shared" si="6"/>
        <v>51</v>
      </c>
      <c r="Q41" s="265"/>
      <c r="R41" s="267">
        <f t="shared" si="2"/>
        <v>0</v>
      </c>
      <c r="S41" s="267">
        <f t="shared" si="3"/>
        <v>0</v>
      </c>
      <c r="T41" s="265"/>
      <c r="U41" s="267">
        <f t="shared" si="4"/>
        <v>0</v>
      </c>
      <c r="V41" s="265"/>
      <c r="W41" s="266">
        <v>37</v>
      </c>
      <c r="X41" s="257"/>
      <c r="Y41" s="272">
        <v>13</v>
      </c>
      <c r="Z41" s="3"/>
      <c r="AA41" s="3"/>
    </row>
    <row r="42" spans="2:41" ht="13.5" customHeight="1" x14ac:dyDescent="0.25">
      <c r="B42" s="16"/>
      <c r="C42" s="111"/>
      <c r="D42" s="114" t="s">
        <v>161</v>
      </c>
      <c r="E42" s="114"/>
      <c r="F42" s="169">
        <f>+F36-F21</f>
        <v>71</v>
      </c>
      <c r="G42" s="115"/>
      <c r="H42" s="115"/>
      <c r="I42" s="221"/>
      <c r="J42" s="27"/>
      <c r="K42" s="31"/>
      <c r="L42" s="264" t="str">
        <f t="shared" si="0"/>
        <v>LB</v>
      </c>
      <c r="M42" s="265">
        <f t="shared" si="5"/>
        <v>50</v>
      </c>
      <c r="N42" s="265"/>
      <c r="O42" s="265" t="str">
        <f t="shared" si="1"/>
        <v>LA</v>
      </c>
      <c r="P42" s="265">
        <f t="shared" si="6"/>
        <v>52</v>
      </c>
      <c r="Q42" s="265"/>
      <c r="R42" s="267">
        <f t="shared" si="2"/>
        <v>0</v>
      </c>
      <c r="S42" s="267">
        <f t="shared" si="3"/>
        <v>0</v>
      </c>
      <c r="T42" s="265"/>
      <c r="U42" s="267">
        <f t="shared" si="4"/>
        <v>0</v>
      </c>
      <c r="V42" s="265"/>
      <c r="W42" s="266">
        <v>38</v>
      </c>
      <c r="X42" s="31"/>
      <c r="Y42" s="272">
        <v>14</v>
      </c>
    </row>
    <row r="43" spans="2:41" ht="13.5" customHeight="1" x14ac:dyDescent="0.25">
      <c r="B43" s="16"/>
      <c r="C43" s="111"/>
      <c r="D43" s="114" t="s">
        <v>162</v>
      </c>
      <c r="E43" s="114"/>
      <c r="F43" s="206">
        <v>0.59</v>
      </c>
      <c r="G43" s="115"/>
      <c r="H43" s="115"/>
      <c r="I43" s="221"/>
      <c r="J43" s="27"/>
      <c r="K43" s="31"/>
      <c r="L43" s="264" t="str">
        <f t="shared" si="0"/>
        <v>LB</v>
      </c>
      <c r="M43" s="265">
        <f t="shared" si="5"/>
        <v>51</v>
      </c>
      <c r="N43" s="265"/>
      <c r="O43" s="265" t="str">
        <f t="shared" si="1"/>
        <v>LA</v>
      </c>
      <c r="P43" s="265">
        <f t="shared" si="6"/>
        <v>53</v>
      </c>
      <c r="Q43" s="265"/>
      <c r="R43" s="267">
        <f t="shared" si="2"/>
        <v>0</v>
      </c>
      <c r="S43" s="267">
        <f t="shared" si="3"/>
        <v>0</v>
      </c>
      <c r="T43" s="265"/>
      <c r="U43" s="267">
        <f t="shared" si="4"/>
        <v>0</v>
      </c>
      <c r="V43" s="265"/>
      <c r="W43" s="266">
        <v>39</v>
      </c>
      <c r="X43" s="31"/>
      <c r="Y43" s="272" t="s">
        <v>93</v>
      </c>
    </row>
    <row r="44" spans="2:41" ht="13.5" customHeight="1" x14ac:dyDescent="0.25">
      <c r="B44" s="16"/>
      <c r="C44" s="111"/>
      <c r="D44" s="114" t="s">
        <v>163</v>
      </c>
      <c r="E44" s="114"/>
      <c r="F44" s="169">
        <f>+F42*12*(1+F43)</f>
        <v>1354.6799999999998</v>
      </c>
      <c r="G44" s="114"/>
      <c r="H44" s="114"/>
      <c r="I44" s="116"/>
      <c r="J44" s="19"/>
      <c r="K44" s="31"/>
      <c r="L44" s="264" t="str">
        <f t="shared" si="0"/>
        <v>LB</v>
      </c>
      <c r="M44" s="265">
        <f t="shared" si="5"/>
        <v>52</v>
      </c>
      <c r="N44" s="265"/>
      <c r="O44" s="265" t="str">
        <f t="shared" si="1"/>
        <v>LA</v>
      </c>
      <c r="P44" s="265">
        <f t="shared" si="6"/>
        <v>54</v>
      </c>
      <c r="Q44" s="265"/>
      <c r="R44" s="267">
        <f t="shared" si="2"/>
        <v>0</v>
      </c>
      <c r="S44" s="267">
        <f t="shared" si="3"/>
        <v>0</v>
      </c>
      <c r="T44" s="265"/>
      <c r="U44" s="267">
        <f t="shared" si="4"/>
        <v>0</v>
      </c>
      <c r="V44" s="265"/>
      <c r="W44" s="266">
        <v>40</v>
      </c>
      <c r="X44" s="31"/>
      <c r="Y44" s="272" t="s">
        <v>94</v>
      </c>
    </row>
    <row r="45" spans="2:41" ht="13.5" customHeight="1" x14ac:dyDescent="0.25">
      <c r="B45" s="16"/>
      <c r="C45" s="111"/>
      <c r="D45" s="114" t="s">
        <v>164</v>
      </c>
      <c r="E45" s="114"/>
      <c r="F45" s="224">
        <f>+F24-F23</f>
        <v>20</v>
      </c>
      <c r="G45" s="114"/>
      <c r="H45" s="114"/>
      <c r="I45" s="116"/>
      <c r="J45" s="19"/>
      <c r="K45" s="258"/>
      <c r="L45" s="264" t="str">
        <f t="shared" si="0"/>
        <v>LB</v>
      </c>
      <c r="M45" s="265">
        <f t="shared" si="5"/>
        <v>53</v>
      </c>
      <c r="N45" s="265"/>
      <c r="O45" s="265" t="str">
        <f t="shared" si="1"/>
        <v>LA</v>
      </c>
      <c r="P45" s="265">
        <f t="shared" si="6"/>
        <v>55</v>
      </c>
      <c r="Q45" s="265"/>
      <c r="R45" s="267">
        <f t="shared" si="2"/>
        <v>0</v>
      </c>
      <c r="S45" s="267">
        <f t="shared" si="3"/>
        <v>0</v>
      </c>
      <c r="T45" s="265"/>
      <c r="U45" s="267">
        <f t="shared" si="4"/>
        <v>0</v>
      </c>
      <c r="V45" s="265"/>
      <c r="W45" s="266">
        <v>41</v>
      </c>
      <c r="X45" s="258"/>
      <c r="Y45" s="272" t="s">
        <v>95</v>
      </c>
    </row>
    <row r="46" spans="2:41" s="2" customFormat="1" ht="13.5" customHeight="1" x14ac:dyDescent="0.25">
      <c r="B46" s="16"/>
      <c r="C46" s="111"/>
      <c r="D46" s="114" t="s">
        <v>165</v>
      </c>
      <c r="E46" s="114"/>
      <c r="F46" s="225">
        <f>IF(F34="nee",U52*F20,U52*F35)</f>
        <v>5630.5080000000016</v>
      </c>
      <c r="G46" s="125"/>
      <c r="H46" s="114"/>
      <c r="I46" s="116"/>
      <c r="J46" s="19"/>
      <c r="K46" s="259"/>
      <c r="L46" s="264" t="str">
        <f t="shared" si="0"/>
        <v>LB</v>
      </c>
      <c r="M46" s="265">
        <f t="shared" si="5"/>
        <v>54</v>
      </c>
      <c r="N46" s="265"/>
      <c r="O46" s="265" t="str">
        <f t="shared" si="1"/>
        <v>LA</v>
      </c>
      <c r="P46" s="265">
        <f t="shared" si="6"/>
        <v>56</v>
      </c>
      <c r="Q46" s="265"/>
      <c r="R46" s="267">
        <f t="shared" si="2"/>
        <v>0</v>
      </c>
      <c r="S46" s="267">
        <f t="shared" si="3"/>
        <v>0</v>
      </c>
      <c r="T46" s="265"/>
      <c r="U46" s="267">
        <f t="shared" si="4"/>
        <v>0</v>
      </c>
      <c r="V46" s="265"/>
      <c r="W46" s="266">
        <v>42</v>
      </c>
    </row>
    <row r="47" spans="2:41" ht="13.5" customHeight="1" x14ac:dyDescent="0.25">
      <c r="B47" s="16"/>
      <c r="C47" s="111"/>
      <c r="D47" s="120"/>
      <c r="E47" s="114"/>
      <c r="F47" s="250"/>
      <c r="G47" s="125"/>
      <c r="H47" s="114"/>
      <c r="I47" s="251"/>
      <c r="J47" s="77"/>
      <c r="K47" s="258"/>
      <c r="L47" s="264" t="str">
        <f t="shared" si="0"/>
        <v>LB</v>
      </c>
      <c r="M47" s="265">
        <f t="shared" si="5"/>
        <v>55</v>
      </c>
      <c r="N47" s="265"/>
      <c r="O47" s="265" t="str">
        <f t="shared" si="1"/>
        <v>LA</v>
      </c>
      <c r="P47" s="265">
        <f t="shared" si="6"/>
        <v>57</v>
      </c>
      <c r="Q47" s="265"/>
      <c r="R47" s="267">
        <f t="shared" si="2"/>
        <v>0</v>
      </c>
      <c r="S47" s="267">
        <f t="shared" si="3"/>
        <v>0</v>
      </c>
      <c r="T47" s="265"/>
      <c r="U47" s="267">
        <f t="shared" si="4"/>
        <v>0</v>
      </c>
      <c r="V47" s="265"/>
      <c r="W47" s="266">
        <v>43</v>
      </c>
    </row>
    <row r="48" spans="2:41" ht="13.5" customHeight="1" x14ac:dyDescent="0.25">
      <c r="B48" s="23"/>
      <c r="C48" s="117"/>
      <c r="D48" s="120" t="s">
        <v>271</v>
      </c>
      <c r="E48" s="120"/>
      <c r="F48" s="227">
        <f>+U51*F20</f>
        <v>112610.16000000003</v>
      </c>
      <c r="G48" s="120"/>
      <c r="H48" s="120"/>
      <c r="I48" s="252"/>
      <c r="J48" s="78"/>
      <c r="K48" s="258"/>
      <c r="L48" s="264" t="str">
        <f t="shared" si="0"/>
        <v>LB</v>
      </c>
      <c r="M48" s="265">
        <f t="shared" si="5"/>
        <v>56</v>
      </c>
      <c r="N48" s="265"/>
      <c r="O48" s="265" t="str">
        <f t="shared" si="1"/>
        <v>LA</v>
      </c>
      <c r="P48" s="265">
        <f t="shared" si="6"/>
        <v>58</v>
      </c>
      <c r="Q48" s="265"/>
      <c r="R48" s="267">
        <f t="shared" si="2"/>
        <v>0</v>
      </c>
      <c r="S48" s="267">
        <f t="shared" si="3"/>
        <v>0</v>
      </c>
      <c r="T48" s="265"/>
      <c r="U48" s="267">
        <f t="shared" si="4"/>
        <v>0</v>
      </c>
      <c r="V48" s="265"/>
      <c r="W48" s="266">
        <v>44</v>
      </c>
    </row>
    <row r="49" spans="2:23" ht="13.5" customHeight="1" x14ac:dyDescent="0.25">
      <c r="B49" s="16"/>
      <c r="C49" s="128"/>
      <c r="D49" s="129"/>
      <c r="E49" s="129"/>
      <c r="F49" s="130"/>
      <c r="G49" s="129"/>
      <c r="H49" s="129"/>
      <c r="I49" s="253"/>
      <c r="J49" s="77"/>
      <c r="K49" s="258"/>
      <c r="L49" s="264" t="str">
        <f t="shared" si="0"/>
        <v>LB</v>
      </c>
      <c r="M49" s="265">
        <f t="shared" si="5"/>
        <v>57</v>
      </c>
      <c r="N49" s="265"/>
      <c r="O49" s="265" t="str">
        <f t="shared" si="1"/>
        <v>LA</v>
      </c>
      <c r="P49" s="265">
        <f t="shared" si="6"/>
        <v>59</v>
      </c>
      <c r="Q49" s="265"/>
      <c r="R49" s="267">
        <f t="shared" si="2"/>
        <v>0</v>
      </c>
      <c r="S49" s="267">
        <f t="shared" si="3"/>
        <v>0</v>
      </c>
      <c r="T49" s="265"/>
      <c r="U49" s="267">
        <f t="shared" si="4"/>
        <v>0</v>
      </c>
      <c r="V49" s="265"/>
      <c r="W49" s="266">
        <v>45</v>
      </c>
    </row>
    <row r="50" spans="2:23" ht="13.5" customHeight="1" x14ac:dyDescent="0.25">
      <c r="B50" s="16"/>
      <c r="C50" s="17"/>
      <c r="D50" s="17"/>
      <c r="E50" s="17"/>
      <c r="F50" s="18"/>
      <c r="G50" s="17"/>
      <c r="H50" s="17"/>
      <c r="I50" s="33"/>
      <c r="J50" s="77"/>
      <c r="K50" s="258"/>
      <c r="L50" s="264"/>
      <c r="M50" s="265"/>
      <c r="N50" s="265"/>
      <c r="O50" s="265"/>
      <c r="P50" s="265"/>
      <c r="Q50" s="265"/>
      <c r="R50" s="265"/>
      <c r="S50" s="265"/>
      <c r="T50" s="265"/>
      <c r="U50" s="265"/>
      <c r="V50" s="265"/>
      <c r="W50" s="266"/>
    </row>
    <row r="51" spans="2:23" ht="13.5" customHeight="1" x14ac:dyDescent="0.25">
      <c r="B51" s="16"/>
      <c r="C51" s="17"/>
      <c r="D51" s="17"/>
      <c r="E51" s="17"/>
      <c r="F51" s="18"/>
      <c r="G51" s="17"/>
      <c r="H51" s="17"/>
      <c r="I51" s="33"/>
      <c r="J51" s="77"/>
      <c r="K51" s="81"/>
      <c r="L51" s="264"/>
      <c r="M51" s="265"/>
      <c r="N51" s="265"/>
      <c r="O51" s="265"/>
      <c r="P51" s="265"/>
      <c r="Q51" s="265"/>
      <c r="R51" s="265"/>
      <c r="S51" s="265"/>
      <c r="T51" s="265"/>
      <c r="U51" s="267">
        <f>SUM(U4:U49)</f>
        <v>112610.16000000003</v>
      </c>
      <c r="V51" s="265"/>
      <c r="W51" s="266"/>
    </row>
    <row r="52" spans="2:23" ht="13.5" customHeight="1" x14ac:dyDescent="0.25">
      <c r="B52" s="9"/>
      <c r="C52" s="10"/>
      <c r="D52" s="10"/>
      <c r="E52" s="10"/>
      <c r="F52" s="56"/>
      <c r="G52" s="10"/>
      <c r="H52" s="10"/>
      <c r="I52" s="82" t="s">
        <v>266</v>
      </c>
      <c r="J52" s="83"/>
      <c r="K52" s="81"/>
      <c r="L52" s="268"/>
      <c r="M52" s="269"/>
      <c r="N52" s="269"/>
      <c r="O52" s="269"/>
      <c r="P52" s="269"/>
      <c r="Q52" s="269"/>
      <c r="R52" s="269"/>
      <c r="S52" s="269" t="s">
        <v>31</v>
      </c>
      <c r="T52" s="269"/>
      <c r="U52" s="270">
        <f>IF(F45=0,0,+U51/F45)</f>
        <v>5630.5080000000016</v>
      </c>
      <c r="V52" s="269"/>
      <c r="W52" s="271"/>
    </row>
    <row r="53" spans="2:23" ht="13.5" customHeight="1" x14ac:dyDescent="0.25">
      <c r="I53" s="81"/>
      <c r="J53" s="81"/>
      <c r="K53" s="81"/>
    </row>
    <row r="54" spans="2:23" ht="13.5" customHeight="1" x14ac:dyDescent="0.25">
      <c r="I54" s="81"/>
      <c r="J54" s="81"/>
      <c r="L54" s="4"/>
      <c r="M54" s="4"/>
    </row>
    <row r="55" spans="2:23" ht="13.5" customHeight="1" x14ac:dyDescent="0.25">
      <c r="I55" s="81"/>
      <c r="J55" s="81"/>
      <c r="L55" s="4"/>
      <c r="M55" s="4"/>
    </row>
    <row r="56" spans="2:23" ht="13.5" customHeight="1" x14ac:dyDescent="0.25">
      <c r="I56" s="81"/>
      <c r="J56" s="81"/>
      <c r="L56" s="4"/>
      <c r="M56" s="4"/>
    </row>
    <row r="57" spans="2:23" ht="13.5" customHeight="1" x14ac:dyDescent="0.25">
      <c r="I57" s="81"/>
      <c r="J57" s="81"/>
      <c r="L57" s="4"/>
      <c r="M57" s="4"/>
    </row>
    <row r="58" spans="2:23" ht="13.5" customHeight="1" x14ac:dyDescent="0.25">
      <c r="I58" s="81"/>
      <c r="J58" s="81"/>
      <c r="L58" s="4"/>
      <c r="M58" s="4"/>
    </row>
    <row r="59" spans="2:23" ht="13.5" customHeight="1" x14ac:dyDescent="0.25">
      <c r="C59" s="94" t="s">
        <v>76</v>
      </c>
      <c r="I59" s="81"/>
      <c r="J59" s="81"/>
      <c r="L59" s="4"/>
      <c r="M59" s="4"/>
    </row>
    <row r="60" spans="2:23" ht="13.5" customHeight="1" x14ac:dyDescent="0.25">
      <c r="C60" s="94" t="s">
        <v>77</v>
      </c>
      <c r="I60" s="81"/>
      <c r="J60" s="81"/>
      <c r="L60" s="4"/>
      <c r="M60" s="4"/>
    </row>
    <row r="61" spans="2:23" ht="13.5" customHeight="1" x14ac:dyDescent="0.25">
      <c r="C61" s="94" t="s">
        <v>78</v>
      </c>
      <c r="I61" s="81"/>
      <c r="J61" s="81"/>
      <c r="L61" s="73"/>
      <c r="M61" s="73"/>
    </row>
    <row r="62" spans="2:23" ht="13.5" customHeight="1" x14ac:dyDescent="0.25">
      <c r="C62" s="279" t="s">
        <v>320</v>
      </c>
      <c r="I62" s="81"/>
      <c r="J62" s="81"/>
      <c r="L62" s="73"/>
      <c r="M62" s="73"/>
    </row>
    <row r="63" spans="2:23" ht="13.5" customHeight="1" x14ac:dyDescent="0.25">
      <c r="I63" s="81"/>
      <c r="J63" s="81"/>
      <c r="L63" s="4"/>
      <c r="M63" s="4"/>
    </row>
    <row r="64" spans="2:23" ht="13.5" customHeight="1" x14ac:dyDescent="0.25">
      <c r="I64" s="81"/>
      <c r="J64" s="81"/>
      <c r="L64" s="4"/>
      <c r="M64" s="4"/>
    </row>
    <row r="65" spans="9:13" ht="13.5" customHeight="1" x14ac:dyDescent="0.25">
      <c r="I65" s="81"/>
      <c r="J65" s="81"/>
      <c r="L65" s="4"/>
      <c r="M65" s="4"/>
    </row>
    <row r="66" spans="9:13" ht="13.5" customHeight="1" x14ac:dyDescent="0.25">
      <c r="I66" s="81"/>
      <c r="J66" s="81"/>
      <c r="L66" s="4"/>
      <c r="M66" s="4"/>
    </row>
    <row r="67" spans="9:13" ht="13.5" customHeight="1" x14ac:dyDescent="0.25">
      <c r="I67" s="81"/>
      <c r="J67" s="81"/>
      <c r="L67" s="4"/>
      <c r="M67" s="4"/>
    </row>
    <row r="68" spans="9:13" ht="13.5" customHeight="1" x14ac:dyDescent="0.25">
      <c r="I68" s="81"/>
      <c r="J68" s="81"/>
      <c r="L68" s="4"/>
      <c r="M68" s="4"/>
    </row>
    <row r="69" spans="9:13" ht="13.5" customHeight="1" x14ac:dyDescent="0.25">
      <c r="I69" s="81"/>
      <c r="J69" s="81"/>
      <c r="L69" s="4"/>
      <c r="M69" s="4"/>
    </row>
    <row r="70" spans="9:13" ht="13.5" customHeight="1" x14ac:dyDescent="0.25">
      <c r="I70" s="81"/>
      <c r="J70" s="81"/>
      <c r="L70" s="4"/>
      <c r="M70" s="4"/>
    </row>
    <row r="71" spans="9:13" ht="13.5" customHeight="1" x14ac:dyDescent="0.25">
      <c r="I71" s="81"/>
      <c r="J71" s="81"/>
      <c r="L71" s="4"/>
      <c r="M71" s="4"/>
    </row>
    <row r="72" spans="9:13" ht="13.5" customHeight="1" x14ac:dyDescent="0.25">
      <c r="I72" s="81"/>
      <c r="J72" s="81"/>
      <c r="L72" s="4"/>
      <c r="M72" s="4"/>
    </row>
    <row r="73" spans="9:13" ht="13.5" customHeight="1" x14ac:dyDescent="0.25">
      <c r="I73" s="81"/>
      <c r="J73" s="81"/>
      <c r="L73" s="4"/>
      <c r="M73" s="4"/>
    </row>
    <row r="74" spans="9:13" ht="13.5" customHeight="1" x14ac:dyDescent="0.25">
      <c r="I74" s="81"/>
      <c r="J74" s="81"/>
      <c r="L74" s="4"/>
      <c r="M74" s="4"/>
    </row>
    <row r="75" spans="9:13" ht="13.5" customHeight="1" x14ac:dyDescent="0.25">
      <c r="I75" s="81"/>
      <c r="J75" s="81"/>
      <c r="L75" s="4"/>
      <c r="M75" s="4"/>
    </row>
    <row r="76" spans="9:13" ht="13.5" customHeight="1" x14ac:dyDescent="0.25">
      <c r="I76" s="81"/>
      <c r="J76" s="81"/>
      <c r="L76" s="4"/>
      <c r="M76" s="4"/>
    </row>
    <row r="77" spans="9:13" ht="13.5" customHeight="1" x14ac:dyDescent="0.25">
      <c r="I77" s="81"/>
      <c r="J77" s="81"/>
      <c r="L77" s="4"/>
      <c r="M77" s="4"/>
    </row>
    <row r="78" spans="9:13" ht="13.5" customHeight="1" x14ac:dyDescent="0.25">
      <c r="I78" s="81"/>
      <c r="J78" s="81"/>
      <c r="L78" s="4"/>
      <c r="M78" s="4"/>
    </row>
    <row r="79" spans="9:13" ht="13.5" customHeight="1" x14ac:dyDescent="0.25">
      <c r="I79" s="81"/>
      <c r="J79" s="81"/>
      <c r="L79" s="4"/>
      <c r="M79" s="4"/>
    </row>
    <row r="80" spans="9:13" ht="13.5" customHeight="1" x14ac:dyDescent="0.25">
      <c r="I80" s="81"/>
      <c r="J80" s="81"/>
      <c r="L80" s="4"/>
      <c r="M80" s="4"/>
    </row>
    <row r="81" spans="9:13" ht="13.5" customHeight="1" x14ac:dyDescent="0.25">
      <c r="I81" s="81"/>
      <c r="J81" s="81"/>
      <c r="L81" s="4"/>
      <c r="M81" s="4"/>
    </row>
    <row r="82" spans="9:13" ht="13.5" customHeight="1" x14ac:dyDescent="0.25">
      <c r="I82" s="81"/>
      <c r="J82" s="81"/>
      <c r="L82" s="4"/>
      <c r="M82" s="4"/>
    </row>
    <row r="83" spans="9:13" ht="13.5" customHeight="1" x14ac:dyDescent="0.25">
      <c r="I83" s="81"/>
      <c r="J83" s="81"/>
      <c r="L83" s="4"/>
      <c r="M83" s="4"/>
    </row>
    <row r="84" spans="9:13" ht="13.5" customHeight="1" x14ac:dyDescent="0.25">
      <c r="I84" s="81"/>
      <c r="J84" s="81"/>
      <c r="L84" s="4"/>
      <c r="M84" s="4"/>
    </row>
    <row r="85" spans="9:13" ht="13.5" customHeight="1" x14ac:dyDescent="0.25">
      <c r="I85" s="81"/>
      <c r="J85" s="81"/>
      <c r="L85" s="4"/>
      <c r="M85" s="4"/>
    </row>
    <row r="86" spans="9:13" ht="13.5" customHeight="1" x14ac:dyDescent="0.25">
      <c r="I86" s="81"/>
      <c r="J86" s="81"/>
      <c r="L86" s="4"/>
      <c r="M86" s="4"/>
    </row>
    <row r="87" spans="9:13" ht="13.5" customHeight="1" x14ac:dyDescent="0.25">
      <c r="I87" s="81"/>
      <c r="J87" s="81"/>
      <c r="L87" s="4"/>
      <c r="M87" s="4"/>
    </row>
    <row r="88" spans="9:13" ht="13.5" customHeight="1" x14ac:dyDescent="0.25">
      <c r="I88" s="81"/>
      <c r="J88" s="81"/>
      <c r="L88" s="4"/>
      <c r="M88" s="4"/>
    </row>
    <row r="89" spans="9:13" ht="13.5" customHeight="1" x14ac:dyDescent="0.25">
      <c r="I89" s="81"/>
      <c r="J89" s="81"/>
      <c r="L89" s="4"/>
      <c r="M89" s="4"/>
    </row>
    <row r="90" spans="9:13" ht="13.5" customHeight="1" x14ac:dyDescent="0.25">
      <c r="I90" s="81"/>
      <c r="J90" s="81"/>
      <c r="L90" s="4"/>
      <c r="M90" s="4"/>
    </row>
    <row r="91" spans="9:13" ht="13.5" customHeight="1" x14ac:dyDescent="0.25">
      <c r="I91" s="81"/>
      <c r="J91" s="81"/>
      <c r="L91" s="4"/>
      <c r="M91" s="4"/>
    </row>
    <row r="92" spans="9:13" ht="13.5" customHeight="1" x14ac:dyDescent="0.25">
      <c r="I92" s="81"/>
      <c r="J92" s="81"/>
      <c r="L92" s="4"/>
      <c r="M92" s="4"/>
    </row>
    <row r="93" spans="9:13" ht="13.5" customHeight="1" x14ac:dyDescent="0.25">
      <c r="I93" s="81"/>
      <c r="J93" s="81"/>
      <c r="L93" s="4"/>
      <c r="M93" s="4"/>
    </row>
    <row r="94" spans="9:13" ht="13.5" customHeight="1" x14ac:dyDescent="0.25">
      <c r="I94" s="81"/>
      <c r="J94" s="81"/>
      <c r="L94" s="4"/>
      <c r="M94" s="4"/>
    </row>
    <row r="95" spans="9:13" ht="13.5" customHeight="1" x14ac:dyDescent="0.25">
      <c r="I95" s="81"/>
      <c r="J95" s="81"/>
      <c r="L95" s="4"/>
      <c r="M95" s="4"/>
    </row>
    <row r="96" spans="9:13" ht="13.5" customHeight="1" x14ac:dyDescent="0.25">
      <c r="I96" s="81"/>
      <c r="J96" s="81"/>
      <c r="L96" s="4"/>
      <c r="M96" s="4"/>
    </row>
    <row r="97" spans="6:10" ht="13.5" customHeight="1" x14ac:dyDescent="0.25">
      <c r="F97" s="89"/>
      <c r="G97" s="93"/>
      <c r="I97" s="81"/>
      <c r="J97" s="81"/>
    </row>
    <row r="98" spans="6:10" ht="13.5" customHeight="1" x14ac:dyDescent="0.25">
      <c r="F98" s="89"/>
      <c r="G98" s="93"/>
      <c r="I98" s="81"/>
      <c r="J98" s="81"/>
    </row>
    <row r="99" spans="6:10" ht="13.5" customHeight="1" x14ac:dyDescent="0.25">
      <c r="F99" s="89"/>
      <c r="G99" s="93"/>
      <c r="I99" s="81"/>
      <c r="J99" s="81"/>
    </row>
    <row r="100" spans="6:10" ht="13.5" customHeight="1" x14ac:dyDescent="0.25">
      <c r="F100" s="89"/>
      <c r="G100" s="93"/>
      <c r="I100" s="81"/>
      <c r="J100" s="81"/>
    </row>
    <row r="101" spans="6:10" ht="13.5" customHeight="1" x14ac:dyDescent="0.25">
      <c r="F101" s="88"/>
      <c r="G101" s="81"/>
      <c r="I101" s="81"/>
      <c r="J101" s="81"/>
    </row>
    <row r="102" spans="6:10" ht="13.5" customHeight="1" x14ac:dyDescent="0.25">
      <c r="F102" s="89"/>
      <c r="G102" s="81"/>
      <c r="I102" s="81"/>
      <c r="J102" s="81"/>
    </row>
    <row r="103" spans="6:10" ht="13.5" customHeight="1" x14ac:dyDescent="0.25">
      <c r="F103" s="75"/>
      <c r="I103" s="81"/>
      <c r="J103" s="81"/>
    </row>
    <row r="104" spans="6:10" ht="13.5" customHeight="1" x14ac:dyDescent="0.25">
      <c r="I104" s="81"/>
      <c r="J104" s="81"/>
    </row>
    <row r="105" spans="6:10" ht="13.5" customHeight="1" x14ac:dyDescent="0.25">
      <c r="I105" s="81"/>
      <c r="J105" s="81"/>
    </row>
  </sheetData>
  <sheetProtection password="DFB1" sheet="1"/>
  <mergeCells count="1">
    <mergeCell ref="F9:G9"/>
  </mergeCells>
  <phoneticPr fontId="0" type="noConversion"/>
  <dataValidations count="3">
    <dataValidation type="list" allowBlank="1" showInputMessage="1" showErrorMessage="1" sqref="F34">
      <formula1>#REF!</formula1>
    </dataValidation>
    <dataValidation type="list" allowBlank="1" showInputMessage="1" showErrorMessage="1" sqref="F30 F16">
      <formula1>$Y$2:$Y$45</formula1>
    </dataValidation>
    <dataValidation type="list" allowBlank="1" showInputMessage="1" showErrorMessage="1" sqref="F10">
      <formula1>$C$59:$C$62</formula1>
    </dataValidation>
  </dataValidations>
  <printOptions gridLines="1"/>
  <pageMargins left="0.74803149606299213" right="0.74803149606299213" top="0.98425196850393704" bottom="0.98425196850393704" header="0.51181102362204722" footer="0.51181102362204722"/>
  <pageSetup paperSize="9" scale="85" orientation="portrait" r:id="rId1"/>
  <headerFooter alignWithMargins="0">
    <oddHeader>&amp;L&amp;"Arial,Vet"&amp;A&amp;C&amp;"Arial,Vet"&amp;D&amp;R&amp;"Arial,Vet"&amp;F</oddHeader>
    <oddFooter>&amp;L&amp;"Arial,Vet"&amp;8gemaakt door keizer, PO-Raad&amp;R&amp;"Arial,Vet"&amp;P</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W136"/>
  <sheetViews>
    <sheetView topLeftCell="A13" zoomScale="85" zoomScaleNormal="85" workbookViewId="0">
      <selection activeCell="B2" sqref="B2"/>
    </sheetView>
  </sheetViews>
  <sheetFormatPr defaultColWidth="9.7109375" defaultRowHeight="13.5" customHeight="1" x14ac:dyDescent="0.25"/>
  <cols>
    <col min="1" max="1" width="3.7109375" style="1" customWidth="1"/>
    <col min="2" max="2" width="2.7109375" style="1" customWidth="1"/>
    <col min="3" max="3" width="2.5703125" style="1" customWidth="1"/>
    <col min="4" max="4" width="45.7109375" style="1" customWidth="1"/>
    <col min="5" max="5" width="2.85546875" style="1" customWidth="1"/>
    <col min="6" max="7" width="14.85546875" style="1" customWidth="1"/>
    <col min="8" max="8" width="14.42578125" style="1" customWidth="1"/>
    <col min="9" max="10" width="2.7109375" style="1" customWidth="1"/>
    <col min="11" max="49" width="10.7109375" style="1" customWidth="1"/>
    <col min="50" max="16384" width="9.7109375" style="1"/>
  </cols>
  <sheetData>
    <row r="2" spans="2:15" ht="13.5" customHeight="1" x14ac:dyDescent="0.25">
      <c r="B2" s="12"/>
      <c r="C2" s="13"/>
      <c r="D2" s="13"/>
      <c r="E2" s="13"/>
      <c r="F2" s="13"/>
      <c r="G2" s="13"/>
      <c r="H2" s="13"/>
      <c r="I2" s="13"/>
      <c r="J2" s="15"/>
    </row>
    <row r="3" spans="2:15" ht="13.5" customHeight="1" x14ac:dyDescent="0.25">
      <c r="B3" s="16"/>
      <c r="C3" s="17"/>
      <c r="D3" s="17"/>
      <c r="E3" s="17"/>
      <c r="F3" s="17"/>
      <c r="G3" s="17"/>
      <c r="H3" s="17"/>
      <c r="I3" s="17"/>
      <c r="J3" s="19"/>
    </row>
    <row r="4" spans="2:15" s="8" customFormat="1" ht="18" customHeight="1" x14ac:dyDescent="0.3">
      <c r="B4" s="29"/>
      <c r="C4" s="60" t="s">
        <v>273</v>
      </c>
      <c r="D4" s="72"/>
      <c r="E4" s="72"/>
      <c r="F4" s="62" t="str">
        <f>tabellen!B2</f>
        <v>2013/2014</v>
      </c>
      <c r="G4" s="60"/>
      <c r="H4" s="72"/>
      <c r="I4" s="72"/>
      <c r="J4" s="32"/>
    </row>
    <row r="5" spans="2:15" ht="13.5" customHeight="1" x14ac:dyDescent="0.25">
      <c r="B5" s="16"/>
      <c r="C5" s="17"/>
      <c r="D5" s="28"/>
      <c r="E5" s="17"/>
      <c r="F5" s="17"/>
      <c r="G5" s="17"/>
      <c r="H5" s="17"/>
      <c r="I5" s="17"/>
      <c r="J5" s="19"/>
    </row>
    <row r="6" spans="2:15" ht="13.5" customHeight="1" x14ac:dyDescent="0.25">
      <c r="B6" s="16"/>
      <c r="C6" s="17"/>
      <c r="D6" s="28"/>
      <c r="E6" s="17"/>
      <c r="F6" s="17"/>
      <c r="G6" s="17"/>
      <c r="H6" s="17"/>
      <c r="I6" s="17"/>
      <c r="J6" s="19"/>
    </row>
    <row r="7" spans="2:15" ht="13.5" customHeight="1" x14ac:dyDescent="0.25">
      <c r="B7" s="16"/>
      <c r="C7" s="106"/>
      <c r="D7" s="132"/>
      <c r="E7" s="107"/>
      <c r="F7" s="107"/>
      <c r="G7" s="107"/>
      <c r="H7" s="107"/>
      <c r="I7" s="110"/>
      <c r="J7" s="19"/>
    </row>
    <row r="8" spans="2:15" ht="13.5" customHeight="1" x14ac:dyDescent="0.25">
      <c r="B8" s="16"/>
      <c r="C8" s="117"/>
      <c r="D8" s="112" t="s">
        <v>168</v>
      </c>
      <c r="E8" s="114"/>
      <c r="F8" s="114"/>
      <c r="G8" s="114"/>
      <c r="H8" s="114"/>
      <c r="I8" s="116"/>
      <c r="J8" s="19"/>
    </row>
    <row r="9" spans="2:15" ht="13.5" customHeight="1" x14ac:dyDescent="0.25">
      <c r="B9" s="16"/>
      <c r="C9" s="117"/>
      <c r="D9" s="120"/>
      <c r="E9" s="114"/>
      <c r="F9" s="114"/>
      <c r="G9" s="114"/>
      <c r="H9" s="114"/>
      <c r="I9" s="116"/>
      <c r="J9" s="19"/>
    </row>
    <row r="10" spans="2:15" ht="13.5" customHeight="1" x14ac:dyDescent="0.25">
      <c r="B10" s="16"/>
      <c r="C10" s="111"/>
      <c r="D10" s="114" t="s">
        <v>125</v>
      </c>
      <c r="E10" s="114"/>
      <c r="F10" s="678" t="s">
        <v>32</v>
      </c>
      <c r="G10" s="678"/>
      <c r="H10" s="114"/>
      <c r="I10" s="116"/>
      <c r="J10" s="19"/>
      <c r="O10" s="5"/>
    </row>
    <row r="11" spans="2:15" ht="13.5" customHeight="1" x14ac:dyDescent="0.25">
      <c r="B11" s="16"/>
      <c r="C11" s="111"/>
      <c r="D11" s="120"/>
      <c r="E11" s="114"/>
      <c r="F11" s="139"/>
      <c r="G11" s="139"/>
      <c r="H11" s="114"/>
      <c r="I11" s="116"/>
      <c r="J11" s="19"/>
      <c r="O11" s="5"/>
    </row>
    <row r="12" spans="2:15" ht="13.5" customHeight="1" x14ac:dyDescent="0.25">
      <c r="B12" s="16"/>
      <c r="C12" s="111"/>
      <c r="D12" s="120" t="s">
        <v>23</v>
      </c>
      <c r="E12" s="114"/>
      <c r="F12" s="114"/>
      <c r="G12" s="114"/>
      <c r="H12" s="114"/>
      <c r="I12" s="116"/>
      <c r="J12" s="19"/>
      <c r="O12" s="5"/>
    </row>
    <row r="13" spans="2:15" ht="13.5" customHeight="1" x14ac:dyDescent="0.25">
      <c r="B13" s="16"/>
      <c r="C13" s="111"/>
      <c r="D13" s="114" t="s">
        <v>21</v>
      </c>
      <c r="E13" s="114"/>
      <c r="F13" s="118" t="s">
        <v>0</v>
      </c>
      <c r="G13" s="114"/>
      <c r="H13" s="114"/>
      <c r="I13" s="116"/>
      <c r="J13" s="19"/>
    </row>
    <row r="14" spans="2:15" ht="13.5" customHeight="1" x14ac:dyDescent="0.25">
      <c r="B14" s="16"/>
      <c r="C14" s="111"/>
      <c r="D14" s="114" t="s">
        <v>22</v>
      </c>
      <c r="E14" s="114"/>
      <c r="F14" s="118">
        <v>10</v>
      </c>
      <c r="G14" s="218" t="s">
        <v>156</v>
      </c>
      <c r="H14" s="219">
        <f>VLOOKUP(F13,salaristabellen,22,FALSE)</f>
        <v>15</v>
      </c>
      <c r="I14" s="116"/>
      <c r="J14" s="19"/>
    </row>
    <row r="15" spans="2:15" ht="13.5" customHeight="1" x14ac:dyDescent="0.25">
      <c r="B15" s="16"/>
      <c r="C15" s="111"/>
      <c r="D15" s="114" t="s">
        <v>24</v>
      </c>
      <c r="E15" s="114"/>
      <c r="F15" s="274">
        <f>VLOOKUP(F13,salaristabellen,F14+1,FALSE)</f>
        <v>2829</v>
      </c>
      <c r="G15" s="114"/>
      <c r="H15" s="114"/>
      <c r="I15" s="116"/>
      <c r="J15" s="19"/>
    </row>
    <row r="16" spans="2:15" ht="13.5" customHeight="1" x14ac:dyDescent="0.25">
      <c r="B16" s="16"/>
      <c r="C16" s="111"/>
      <c r="D16" s="120" t="s">
        <v>25</v>
      </c>
      <c r="E16" s="114"/>
      <c r="F16" s="220">
        <v>1</v>
      </c>
      <c r="G16" s="114"/>
      <c r="H16" s="114"/>
      <c r="I16" s="116"/>
      <c r="J16" s="19"/>
    </row>
    <row r="17" spans="2:13" ht="13.5" customHeight="1" x14ac:dyDescent="0.25">
      <c r="B17" s="16"/>
      <c r="C17" s="111"/>
      <c r="D17" s="114" t="s">
        <v>26</v>
      </c>
      <c r="E17" s="114"/>
      <c r="F17" s="273">
        <f>+F15*F16</f>
        <v>2829</v>
      </c>
      <c r="G17" s="114"/>
      <c r="H17" s="114"/>
      <c r="I17" s="116"/>
      <c r="J17" s="19"/>
    </row>
    <row r="18" spans="2:13" ht="13.5" customHeight="1" x14ac:dyDescent="0.25">
      <c r="B18" s="16"/>
      <c r="C18" s="111"/>
      <c r="D18" s="114"/>
      <c r="E18" s="114"/>
      <c r="F18" s="113"/>
      <c r="G18" s="114"/>
      <c r="H18" s="114"/>
      <c r="I18" s="116"/>
      <c r="J18" s="19"/>
    </row>
    <row r="19" spans="2:13" ht="13.5" customHeight="1" x14ac:dyDescent="0.25">
      <c r="B19" s="16"/>
      <c r="C19" s="111"/>
      <c r="D19" s="120" t="s">
        <v>169</v>
      </c>
      <c r="E19" s="114"/>
      <c r="F19" s="113"/>
      <c r="G19" s="114"/>
      <c r="H19" s="114"/>
      <c r="I19" s="116"/>
      <c r="J19" s="19"/>
    </row>
    <row r="20" spans="2:13" ht="13.5" customHeight="1" x14ac:dyDescent="0.25">
      <c r="B20" s="16"/>
      <c r="C20" s="111"/>
      <c r="D20" s="114" t="s">
        <v>170</v>
      </c>
      <c r="E20" s="114"/>
      <c r="F20" s="118" t="s">
        <v>127</v>
      </c>
      <c r="G20" s="114"/>
      <c r="H20" s="114"/>
      <c r="I20" s="116"/>
      <c r="J20" s="19"/>
    </row>
    <row r="21" spans="2:13" ht="13.5" customHeight="1" x14ac:dyDescent="0.25">
      <c r="B21" s="16"/>
      <c r="C21" s="111"/>
      <c r="D21" s="114" t="s">
        <v>171</v>
      </c>
      <c r="E21" s="114"/>
      <c r="F21" s="118" t="s">
        <v>127</v>
      </c>
      <c r="G21" s="114"/>
      <c r="H21" s="114"/>
      <c r="I21" s="116"/>
      <c r="J21" s="19"/>
    </row>
    <row r="22" spans="2:13" ht="13.5" customHeight="1" x14ac:dyDescent="0.25">
      <c r="B22" s="16"/>
      <c r="C22" s="111"/>
      <c r="D22" s="114" t="s">
        <v>172</v>
      </c>
      <c r="E22" s="114"/>
      <c r="F22" s="118" t="s">
        <v>124</v>
      </c>
      <c r="G22" s="115"/>
      <c r="H22" s="115"/>
      <c r="I22" s="221"/>
      <c r="J22" s="27"/>
      <c r="K22" s="3"/>
      <c r="L22" s="3"/>
      <c r="M22" s="3"/>
    </row>
    <row r="23" spans="2:13" ht="13.5" customHeight="1" x14ac:dyDescent="0.25">
      <c r="B23" s="16"/>
      <c r="C23" s="111"/>
      <c r="D23" s="114" t="s">
        <v>173</v>
      </c>
      <c r="E23" s="114"/>
      <c r="F23" s="118">
        <v>2</v>
      </c>
      <c r="G23" s="115"/>
      <c r="H23" s="115"/>
      <c r="I23" s="221"/>
      <c r="J23" s="27"/>
      <c r="K23" s="3"/>
      <c r="L23" s="3"/>
      <c r="M23" s="3"/>
    </row>
    <row r="24" spans="2:13" ht="13.5" customHeight="1" x14ac:dyDescent="0.25">
      <c r="B24" s="16"/>
      <c r="C24" s="111"/>
      <c r="D24" s="114"/>
      <c r="E24" s="114"/>
      <c r="F24" s="113"/>
      <c r="G24" s="115"/>
      <c r="H24" s="115"/>
      <c r="I24" s="221"/>
      <c r="J24" s="27"/>
      <c r="K24" s="3"/>
      <c r="L24" s="3"/>
      <c r="M24" s="3"/>
    </row>
    <row r="25" spans="2:13" ht="13.5" customHeight="1" x14ac:dyDescent="0.25">
      <c r="B25" s="16"/>
      <c r="C25" s="111"/>
      <c r="D25" s="114" t="s">
        <v>174</v>
      </c>
      <c r="E25" s="114"/>
      <c r="F25" s="169">
        <f>IF(F14+F23&gt;H14,"verkeerde invoer",(VLOOKUP(F13,salaristabellen,F14+F23+1,FALSE)-VLOOKUP(F13,salaristabellen,F14+1,FALSE))*F16)</f>
        <v>174</v>
      </c>
      <c r="G25" s="115"/>
      <c r="H25" s="115"/>
      <c r="I25" s="221"/>
      <c r="J25" s="27"/>
      <c r="K25" s="3"/>
      <c r="L25" s="3"/>
      <c r="M25" s="3"/>
    </row>
    <row r="26" spans="2:13" ht="13.5" customHeight="1" x14ac:dyDescent="0.25">
      <c r="B26" s="16"/>
      <c r="C26" s="111"/>
      <c r="D26" s="114" t="s">
        <v>162</v>
      </c>
      <c r="E26" s="114"/>
      <c r="F26" s="206">
        <v>0.59</v>
      </c>
      <c r="G26" s="115"/>
      <c r="H26" s="115"/>
      <c r="I26" s="221"/>
      <c r="J26" s="27"/>
      <c r="K26" s="3"/>
      <c r="L26" s="3"/>
      <c r="M26" s="3"/>
    </row>
    <row r="27" spans="2:13" ht="13.5" customHeight="1" x14ac:dyDescent="0.25">
      <c r="B27" s="16"/>
      <c r="C27" s="111"/>
      <c r="D27" s="114" t="s">
        <v>163</v>
      </c>
      <c r="E27" s="114"/>
      <c r="F27" s="273">
        <f>+F25*12*(1+F26)</f>
        <v>3319.9199999999996</v>
      </c>
      <c r="G27" s="115"/>
      <c r="H27" s="115"/>
      <c r="I27" s="221"/>
      <c r="J27" s="27"/>
      <c r="K27" s="3"/>
      <c r="L27" s="3"/>
      <c r="M27" s="3"/>
    </row>
    <row r="28" spans="2:13" ht="13.5" customHeight="1" x14ac:dyDescent="0.25">
      <c r="B28" s="16"/>
      <c r="C28" s="111"/>
      <c r="D28" s="114" t="s">
        <v>175</v>
      </c>
      <c r="E28" s="114"/>
      <c r="F28" s="224">
        <f>IF(F23=0,0,+(H14-F14))</f>
        <v>5</v>
      </c>
      <c r="G28" s="115"/>
      <c r="H28" s="115"/>
      <c r="I28" s="221"/>
      <c r="J28" s="27"/>
      <c r="K28" s="3"/>
      <c r="L28" s="3"/>
      <c r="M28" s="3"/>
    </row>
    <row r="29" spans="2:13" ht="13.5" customHeight="1" x14ac:dyDescent="0.25">
      <c r="B29" s="16"/>
      <c r="C29" s="111"/>
      <c r="D29" s="114" t="s">
        <v>165</v>
      </c>
      <c r="E29" s="114"/>
      <c r="F29" s="225">
        <f>+U79*F16</f>
        <v>3071.8799999999987</v>
      </c>
      <c r="G29" s="125"/>
      <c r="H29" s="115"/>
      <c r="I29" s="221"/>
      <c r="J29" s="19"/>
    </row>
    <row r="30" spans="2:13" ht="13.5" customHeight="1" x14ac:dyDescent="0.25">
      <c r="B30" s="16"/>
      <c r="C30" s="111"/>
      <c r="D30" s="114"/>
      <c r="E30" s="114"/>
      <c r="F30" s="226"/>
      <c r="G30" s="125"/>
      <c r="H30" s="115"/>
      <c r="I30" s="221"/>
      <c r="J30" s="19"/>
    </row>
    <row r="31" spans="2:13" ht="13.5" customHeight="1" x14ac:dyDescent="0.25">
      <c r="B31" s="16"/>
      <c r="C31" s="111"/>
      <c r="D31" s="120" t="s">
        <v>176</v>
      </c>
      <c r="E31" s="114"/>
      <c r="F31" s="227">
        <f>+U78*F16</f>
        <v>15359.399999999994</v>
      </c>
      <c r="G31" s="114"/>
      <c r="H31" s="115"/>
      <c r="I31" s="221"/>
      <c r="J31" s="19"/>
    </row>
    <row r="32" spans="2:13" ht="13.5" customHeight="1" x14ac:dyDescent="0.25">
      <c r="B32" s="16"/>
      <c r="C32" s="128"/>
      <c r="D32" s="129"/>
      <c r="E32" s="129"/>
      <c r="F32" s="129"/>
      <c r="G32" s="129"/>
      <c r="H32" s="150"/>
      <c r="I32" s="222"/>
      <c r="J32" s="19"/>
    </row>
    <row r="33" spans="2:10" ht="13.5" customHeight="1" x14ac:dyDescent="0.25">
      <c r="B33" s="16"/>
      <c r="C33" s="17"/>
      <c r="D33" s="17"/>
      <c r="E33" s="17"/>
      <c r="F33" s="17"/>
      <c r="G33" s="17"/>
      <c r="H33" s="20"/>
      <c r="I33" s="20"/>
      <c r="J33" s="19"/>
    </row>
    <row r="34" spans="2:10" ht="13.5" customHeight="1" x14ac:dyDescent="0.25">
      <c r="B34" s="16"/>
      <c r="C34" s="106"/>
      <c r="D34" s="107"/>
      <c r="E34" s="107"/>
      <c r="F34" s="107"/>
      <c r="G34" s="107"/>
      <c r="H34" s="109"/>
      <c r="I34" s="223"/>
      <c r="J34" s="19"/>
    </row>
    <row r="35" spans="2:10" ht="13.5" customHeight="1" x14ac:dyDescent="0.25">
      <c r="B35" s="16"/>
      <c r="C35" s="111"/>
      <c r="D35" s="136" t="s">
        <v>177</v>
      </c>
      <c r="E35" s="115"/>
      <c r="F35" s="115"/>
      <c r="G35" s="115"/>
      <c r="H35" s="115"/>
      <c r="I35" s="221"/>
      <c r="J35" s="19"/>
    </row>
    <row r="36" spans="2:10" ht="13.5" customHeight="1" x14ac:dyDescent="0.25">
      <c r="B36" s="16"/>
      <c r="C36" s="111"/>
      <c r="D36" s="136"/>
      <c r="E36" s="115"/>
      <c r="F36" s="115"/>
      <c r="G36" s="115"/>
      <c r="H36" s="115"/>
      <c r="I36" s="221"/>
      <c r="J36" s="19"/>
    </row>
    <row r="37" spans="2:10" ht="13.5" customHeight="1" x14ac:dyDescent="0.25">
      <c r="B37" s="16"/>
      <c r="C37" s="111"/>
      <c r="D37" s="115" t="s">
        <v>186</v>
      </c>
      <c r="E37" s="114"/>
      <c r="F37" s="138" t="s">
        <v>178</v>
      </c>
      <c r="G37" s="138"/>
      <c r="H37" s="139"/>
      <c r="I37" s="221"/>
      <c r="J37" s="19"/>
    </row>
    <row r="38" spans="2:10" ht="13.5" customHeight="1" x14ac:dyDescent="0.25">
      <c r="B38" s="16"/>
      <c r="C38" s="111"/>
      <c r="D38" s="115"/>
      <c r="E38" s="114"/>
      <c r="F38" s="228"/>
      <c r="G38" s="139"/>
      <c r="H38" s="139"/>
      <c r="I38" s="221"/>
      <c r="J38" s="19"/>
    </row>
    <row r="39" spans="2:10" ht="13.5" customHeight="1" x14ac:dyDescent="0.25">
      <c r="B39" s="16"/>
      <c r="C39" s="111"/>
      <c r="D39" s="176" t="s">
        <v>140</v>
      </c>
      <c r="E39" s="115"/>
      <c r="F39" s="115"/>
      <c r="G39" s="115"/>
      <c r="H39" s="115"/>
      <c r="I39" s="221"/>
      <c r="J39" s="19"/>
    </row>
    <row r="40" spans="2:10" ht="13.5" customHeight="1" x14ac:dyDescent="0.25">
      <c r="B40" s="16"/>
      <c r="C40" s="111"/>
      <c r="D40" s="115" t="s">
        <v>141</v>
      </c>
      <c r="E40" s="115"/>
      <c r="F40" s="202">
        <v>500</v>
      </c>
      <c r="G40" s="115"/>
      <c r="H40" s="115"/>
      <c r="I40" s="221"/>
      <c r="J40" s="19"/>
    </row>
    <row r="41" spans="2:10" ht="13.5" customHeight="1" x14ac:dyDescent="0.25">
      <c r="B41" s="16"/>
      <c r="C41" s="111"/>
      <c r="D41" s="115" t="s">
        <v>143</v>
      </c>
      <c r="E41" s="115"/>
      <c r="F41" s="206">
        <v>0.73899999999999999</v>
      </c>
      <c r="G41" s="115"/>
      <c r="H41" s="115"/>
      <c r="I41" s="221"/>
      <c r="J41" s="19"/>
    </row>
    <row r="42" spans="2:10" ht="13.5" customHeight="1" x14ac:dyDescent="0.25">
      <c r="B42" s="16"/>
      <c r="C42" s="111"/>
      <c r="D42" s="115" t="s">
        <v>179</v>
      </c>
      <c r="E42" s="115"/>
      <c r="F42" s="229">
        <f>ROUND(+F40*F41,0)</f>
        <v>370</v>
      </c>
      <c r="G42" s="115"/>
      <c r="H42" s="115"/>
      <c r="I42" s="221"/>
      <c r="J42" s="19"/>
    </row>
    <row r="43" spans="2:10" ht="13.5" customHeight="1" x14ac:dyDescent="0.25">
      <c r="B43" s="16"/>
      <c r="C43" s="111"/>
      <c r="D43" s="115"/>
      <c r="E43" s="115"/>
      <c r="F43" s="127"/>
      <c r="G43" s="115"/>
      <c r="H43" s="115"/>
      <c r="I43" s="221"/>
      <c r="J43" s="19"/>
    </row>
    <row r="44" spans="2:10" ht="13.5" customHeight="1" x14ac:dyDescent="0.25">
      <c r="B44" s="16"/>
      <c r="C44" s="111"/>
      <c r="D44" s="115" t="s">
        <v>180</v>
      </c>
      <c r="E44" s="115"/>
      <c r="F44" s="230">
        <v>0.02</v>
      </c>
      <c r="G44" s="115"/>
      <c r="H44" s="115"/>
      <c r="I44" s="231"/>
      <c r="J44" s="77"/>
    </row>
    <row r="45" spans="2:10" ht="13.5" customHeight="1" x14ac:dyDescent="0.25">
      <c r="B45" s="16"/>
      <c r="C45" s="111"/>
      <c r="D45" s="115" t="s">
        <v>179</v>
      </c>
      <c r="E45" s="115"/>
      <c r="F45" s="210">
        <f>ROUND(+F42*F44,0)</f>
        <v>7</v>
      </c>
      <c r="G45" s="115"/>
      <c r="H45" s="115"/>
      <c r="I45" s="231"/>
      <c r="J45" s="77"/>
    </row>
    <row r="46" spans="2:10" ht="13.5" customHeight="1" x14ac:dyDescent="0.25">
      <c r="B46" s="16"/>
      <c r="C46" s="111"/>
      <c r="D46" s="115" t="s">
        <v>181</v>
      </c>
      <c r="E46" s="115"/>
      <c r="F46" s="232">
        <v>2400</v>
      </c>
      <c r="G46" s="115"/>
      <c r="H46" s="115"/>
      <c r="I46" s="231"/>
      <c r="J46" s="77"/>
    </row>
    <row r="47" spans="2:10" ht="13.5" customHeight="1" x14ac:dyDescent="0.25">
      <c r="B47" s="16"/>
      <c r="C47" s="111"/>
      <c r="D47" s="115"/>
      <c r="E47" s="115"/>
      <c r="F47" s="233"/>
      <c r="G47" s="115"/>
      <c r="H47" s="115"/>
      <c r="I47" s="231"/>
      <c r="J47" s="77"/>
    </row>
    <row r="48" spans="2:10" s="2" customFormat="1" ht="13.5" customHeight="1" x14ac:dyDescent="0.25">
      <c r="B48" s="23"/>
      <c r="C48" s="117"/>
      <c r="D48" s="142" t="s">
        <v>182</v>
      </c>
      <c r="E48" s="142"/>
      <c r="F48" s="214">
        <f>+F45*F46</f>
        <v>16800</v>
      </c>
      <c r="G48" s="142"/>
      <c r="H48" s="142"/>
      <c r="I48" s="234"/>
      <c r="J48" s="78"/>
    </row>
    <row r="49" spans="2:23" ht="13.5" customHeight="1" x14ac:dyDescent="0.25">
      <c r="B49" s="16"/>
      <c r="C49" s="128"/>
      <c r="D49" s="235"/>
      <c r="E49" s="150"/>
      <c r="F49" s="150"/>
      <c r="G49" s="150"/>
      <c r="H49" s="150"/>
      <c r="I49" s="236"/>
      <c r="J49" s="77"/>
    </row>
    <row r="50" spans="2:23" ht="13.5" customHeight="1" x14ac:dyDescent="0.25">
      <c r="B50" s="16"/>
      <c r="C50" s="17"/>
      <c r="D50" s="17"/>
      <c r="E50" s="17"/>
      <c r="F50" s="17"/>
      <c r="G50" s="17"/>
      <c r="H50" s="17"/>
      <c r="I50" s="33"/>
      <c r="J50" s="77"/>
    </row>
    <row r="51" spans="2:23" ht="13.5" customHeight="1" x14ac:dyDescent="0.25">
      <c r="B51" s="16"/>
      <c r="C51" s="17"/>
      <c r="D51" s="17"/>
      <c r="E51" s="17"/>
      <c r="F51" s="17"/>
      <c r="G51" s="17"/>
      <c r="H51" s="17"/>
      <c r="I51" s="33"/>
      <c r="J51" s="77"/>
    </row>
    <row r="52" spans="2:23" ht="13.5" customHeight="1" x14ac:dyDescent="0.25">
      <c r="B52" s="58"/>
      <c r="C52" s="59"/>
      <c r="D52" s="59"/>
      <c r="E52" s="59"/>
      <c r="F52" s="59"/>
      <c r="G52" s="59"/>
      <c r="H52" s="59"/>
      <c r="I52" s="79" t="s">
        <v>266</v>
      </c>
      <c r="J52" s="80"/>
    </row>
    <row r="53" spans="2:23" ht="13.5" customHeight="1" x14ac:dyDescent="0.25">
      <c r="B53" s="101"/>
      <c r="C53" s="101"/>
      <c r="D53" s="101"/>
      <c r="E53" s="101"/>
      <c r="F53" s="101"/>
      <c r="G53" s="101"/>
      <c r="H53" s="101"/>
      <c r="I53" s="103"/>
      <c r="J53" s="102"/>
    </row>
    <row r="54" spans="2:23" ht="13.5" customHeight="1" x14ac:dyDescent="0.25">
      <c r="B54" s="101"/>
      <c r="C54" s="101"/>
      <c r="D54" s="101"/>
      <c r="E54" s="101"/>
      <c r="F54" s="101"/>
      <c r="G54" s="101"/>
      <c r="H54" s="101"/>
      <c r="I54" s="103"/>
      <c r="J54" s="102"/>
    </row>
    <row r="55" spans="2:23" ht="13.5" customHeight="1" x14ac:dyDescent="0.25">
      <c r="I55" s="81"/>
      <c r="J55" s="81"/>
      <c r="N55" s="1" t="s">
        <v>183</v>
      </c>
    </row>
    <row r="56" spans="2:23" ht="13.5" customHeight="1" x14ac:dyDescent="0.25">
      <c r="I56" s="81"/>
      <c r="J56" s="81"/>
      <c r="K56" s="4" t="s">
        <v>92</v>
      </c>
      <c r="L56" s="4"/>
      <c r="M56" s="4"/>
      <c r="N56" s="1" t="s">
        <v>21</v>
      </c>
      <c r="O56" s="1" t="s">
        <v>29</v>
      </c>
      <c r="P56" s="1" t="s">
        <v>28</v>
      </c>
      <c r="U56" s="1" t="s">
        <v>30</v>
      </c>
    </row>
    <row r="57" spans="2:23" ht="13.5" customHeight="1" x14ac:dyDescent="0.25">
      <c r="I57" s="81"/>
      <c r="J57" s="81"/>
      <c r="K57" s="4" t="s">
        <v>85</v>
      </c>
      <c r="L57" s="4"/>
      <c r="M57" s="4"/>
      <c r="N57" s="1" t="str">
        <f t="shared" ref="N57:N76" si="0">+$F$13</f>
        <v>LA</v>
      </c>
      <c r="O57" s="1">
        <f t="shared" ref="O57:O76" si="1">+$F$14+$F$23+W57</f>
        <v>12</v>
      </c>
      <c r="P57" s="1">
        <f t="shared" ref="P57:P76" si="2">+$F$14+W57</f>
        <v>10</v>
      </c>
      <c r="R57" s="6">
        <f t="shared" ref="R57:R76" si="3">IF(O57&gt;$H$14,VLOOKUP($N57,salaristabellen,$H$14+1,FALSE),VLOOKUP($N57,salaristabellen,O57+1,FALSE))*12*(1+F$26)</f>
        <v>57297.24</v>
      </c>
      <c r="S57" s="6">
        <f t="shared" ref="S57:S76" si="4">IF(P57&gt;$H$14,VLOOKUP($N57,salaristabellen,$H$14+1,FALSE),VLOOKUP($N57,salaristabellen,P57+1,FALSE))*12*(1+F$26)</f>
        <v>53977.319999999992</v>
      </c>
      <c r="U57" s="6">
        <f>+R57-S57</f>
        <v>3319.9200000000055</v>
      </c>
      <c r="W57" s="1">
        <v>0</v>
      </c>
    </row>
    <row r="58" spans="2:23" ht="13.5" customHeight="1" x14ac:dyDescent="0.25">
      <c r="I58" s="81"/>
      <c r="J58" s="81"/>
      <c r="K58" s="4" t="s">
        <v>86</v>
      </c>
      <c r="L58" s="4"/>
      <c r="M58" s="4"/>
      <c r="N58" s="1" t="str">
        <f t="shared" si="0"/>
        <v>LA</v>
      </c>
      <c r="O58" s="1">
        <f t="shared" si="1"/>
        <v>13</v>
      </c>
      <c r="P58" s="1">
        <f t="shared" si="2"/>
        <v>11</v>
      </c>
      <c r="R58" s="6">
        <f t="shared" si="3"/>
        <v>59128.92</v>
      </c>
      <c r="S58" s="6">
        <f t="shared" si="4"/>
        <v>55599.119999999995</v>
      </c>
      <c r="U58" s="6">
        <f t="shared" ref="U58:U76" si="5">+R58-S58</f>
        <v>3529.8000000000029</v>
      </c>
      <c r="W58" s="1">
        <v>1</v>
      </c>
    </row>
    <row r="59" spans="2:23" ht="13.5" customHeight="1" x14ac:dyDescent="0.25">
      <c r="I59" s="81"/>
      <c r="J59" s="81"/>
      <c r="K59" s="4" t="s">
        <v>87</v>
      </c>
      <c r="L59" s="4"/>
      <c r="M59" s="4"/>
      <c r="N59" s="1" t="str">
        <f t="shared" si="0"/>
        <v>LA</v>
      </c>
      <c r="O59" s="1">
        <f t="shared" si="1"/>
        <v>14</v>
      </c>
      <c r="P59" s="1">
        <f t="shared" si="2"/>
        <v>12</v>
      </c>
      <c r="R59" s="6">
        <f t="shared" si="3"/>
        <v>61017.84</v>
      </c>
      <c r="S59" s="6">
        <f t="shared" si="4"/>
        <v>57297.24</v>
      </c>
      <c r="U59" s="6">
        <f t="shared" si="5"/>
        <v>3720.5999999999985</v>
      </c>
      <c r="W59" s="1">
        <v>2</v>
      </c>
    </row>
    <row r="60" spans="2:23" ht="13.5" customHeight="1" x14ac:dyDescent="0.25">
      <c r="I60" s="81"/>
      <c r="J60" s="81"/>
      <c r="K60" s="4" t="s">
        <v>88</v>
      </c>
      <c r="L60" s="4"/>
      <c r="M60" s="4"/>
      <c r="N60" s="1" t="str">
        <f t="shared" si="0"/>
        <v>LA</v>
      </c>
      <c r="O60" s="1">
        <f t="shared" si="1"/>
        <v>15</v>
      </c>
      <c r="P60" s="1">
        <f t="shared" si="2"/>
        <v>13</v>
      </c>
      <c r="R60" s="6">
        <f t="shared" si="3"/>
        <v>62467.919999999991</v>
      </c>
      <c r="S60" s="6">
        <f t="shared" si="4"/>
        <v>59128.92</v>
      </c>
      <c r="U60" s="6">
        <f t="shared" si="5"/>
        <v>3338.9999999999927</v>
      </c>
      <c r="W60" s="1">
        <v>3</v>
      </c>
    </row>
    <row r="61" spans="2:23" ht="13.5" customHeight="1" x14ac:dyDescent="0.25">
      <c r="I61" s="81"/>
      <c r="J61" s="81"/>
      <c r="K61" s="4" t="s">
        <v>89</v>
      </c>
      <c r="L61" s="4"/>
      <c r="M61" s="4"/>
      <c r="N61" s="1" t="str">
        <f t="shared" si="0"/>
        <v>LA</v>
      </c>
      <c r="O61" s="1">
        <f t="shared" si="1"/>
        <v>16</v>
      </c>
      <c r="P61" s="1">
        <f t="shared" si="2"/>
        <v>14</v>
      </c>
      <c r="R61" s="6">
        <f t="shared" si="3"/>
        <v>62467.919999999991</v>
      </c>
      <c r="S61" s="6">
        <f t="shared" si="4"/>
        <v>61017.84</v>
      </c>
      <c r="U61" s="6">
        <f t="shared" si="5"/>
        <v>1450.0799999999945</v>
      </c>
      <c r="W61" s="1">
        <v>4</v>
      </c>
    </row>
    <row r="62" spans="2:23" ht="13.5" customHeight="1" x14ac:dyDescent="0.25">
      <c r="I62" s="81"/>
      <c r="J62" s="81"/>
      <c r="K62" s="4" t="s">
        <v>90</v>
      </c>
      <c r="L62" s="4"/>
      <c r="M62" s="4"/>
      <c r="N62" s="1" t="str">
        <f t="shared" si="0"/>
        <v>LA</v>
      </c>
      <c r="O62" s="1">
        <f t="shared" si="1"/>
        <v>17</v>
      </c>
      <c r="P62" s="1">
        <f t="shared" si="2"/>
        <v>15</v>
      </c>
      <c r="R62" s="6">
        <f t="shared" si="3"/>
        <v>62467.919999999991</v>
      </c>
      <c r="S62" s="6">
        <f t="shared" si="4"/>
        <v>62467.919999999991</v>
      </c>
      <c r="U62" s="6">
        <f t="shared" si="5"/>
        <v>0</v>
      </c>
      <c r="W62" s="1">
        <v>5</v>
      </c>
    </row>
    <row r="63" spans="2:23" ht="13.5" customHeight="1" x14ac:dyDescent="0.25">
      <c r="I63" s="81"/>
      <c r="J63" s="81"/>
      <c r="K63" s="4" t="s">
        <v>91</v>
      </c>
      <c r="L63" s="73"/>
      <c r="M63" s="73"/>
      <c r="N63" s="1" t="str">
        <f t="shared" si="0"/>
        <v>LA</v>
      </c>
      <c r="O63" s="1">
        <f t="shared" si="1"/>
        <v>18</v>
      </c>
      <c r="P63" s="1">
        <f t="shared" si="2"/>
        <v>16</v>
      </c>
      <c r="R63" s="6">
        <f t="shared" si="3"/>
        <v>62467.919999999991</v>
      </c>
      <c r="S63" s="6">
        <f t="shared" si="4"/>
        <v>62467.919999999991</v>
      </c>
      <c r="U63" s="6">
        <f t="shared" si="5"/>
        <v>0</v>
      </c>
      <c r="W63" s="1">
        <v>6</v>
      </c>
    </row>
    <row r="64" spans="2:23" ht="13.5" customHeight="1" x14ac:dyDescent="0.25">
      <c r="I64" s="81"/>
      <c r="J64" s="81"/>
      <c r="K64" s="4" t="s">
        <v>3</v>
      </c>
      <c r="L64" s="73"/>
      <c r="M64" s="73"/>
      <c r="N64" s="1" t="str">
        <f t="shared" si="0"/>
        <v>LA</v>
      </c>
      <c r="O64" s="1">
        <f t="shared" si="1"/>
        <v>19</v>
      </c>
      <c r="P64" s="1">
        <f t="shared" si="2"/>
        <v>17</v>
      </c>
      <c r="R64" s="6">
        <f t="shared" si="3"/>
        <v>62467.919999999991</v>
      </c>
      <c r="S64" s="6">
        <f t="shared" si="4"/>
        <v>62467.919999999991</v>
      </c>
      <c r="U64" s="6">
        <f t="shared" si="5"/>
        <v>0</v>
      </c>
      <c r="W64" s="1">
        <v>7</v>
      </c>
    </row>
    <row r="65" spans="9:23" ht="13.5" customHeight="1" x14ac:dyDescent="0.25">
      <c r="I65" s="81"/>
      <c r="J65" s="81"/>
      <c r="K65" s="4" t="s">
        <v>4</v>
      </c>
      <c r="L65" s="4"/>
      <c r="M65" s="4"/>
      <c r="N65" s="1" t="str">
        <f t="shared" si="0"/>
        <v>LA</v>
      </c>
      <c r="O65" s="1">
        <f t="shared" si="1"/>
        <v>20</v>
      </c>
      <c r="P65" s="1">
        <f t="shared" si="2"/>
        <v>18</v>
      </c>
      <c r="R65" s="6">
        <f t="shared" si="3"/>
        <v>62467.919999999991</v>
      </c>
      <c r="S65" s="6">
        <f t="shared" si="4"/>
        <v>62467.919999999991</v>
      </c>
      <c r="U65" s="6">
        <f t="shared" si="5"/>
        <v>0</v>
      </c>
      <c r="W65" s="1">
        <v>8</v>
      </c>
    </row>
    <row r="66" spans="9:23" ht="13.5" customHeight="1" x14ac:dyDescent="0.25">
      <c r="I66" s="81"/>
      <c r="J66" s="81"/>
      <c r="K66" s="4" t="s">
        <v>5</v>
      </c>
      <c r="L66" s="4"/>
      <c r="M66" s="4"/>
      <c r="N66" s="1" t="str">
        <f t="shared" si="0"/>
        <v>LA</v>
      </c>
      <c r="O66" s="1">
        <f t="shared" si="1"/>
        <v>21</v>
      </c>
      <c r="P66" s="1">
        <f t="shared" si="2"/>
        <v>19</v>
      </c>
      <c r="R66" s="6">
        <f t="shared" si="3"/>
        <v>62467.919999999991</v>
      </c>
      <c r="S66" s="6">
        <f t="shared" si="4"/>
        <v>62467.919999999991</v>
      </c>
      <c r="U66" s="6">
        <f t="shared" si="5"/>
        <v>0</v>
      </c>
      <c r="W66" s="1">
        <v>9</v>
      </c>
    </row>
    <row r="67" spans="9:23" ht="13.5" customHeight="1" x14ac:dyDescent="0.25">
      <c r="I67" s="81"/>
      <c r="J67" s="81"/>
      <c r="K67" s="4" t="s">
        <v>6</v>
      </c>
      <c r="L67" s="4"/>
      <c r="M67" s="4"/>
      <c r="N67" s="1" t="str">
        <f t="shared" si="0"/>
        <v>LA</v>
      </c>
      <c r="O67" s="1">
        <f t="shared" si="1"/>
        <v>22</v>
      </c>
      <c r="P67" s="1">
        <f t="shared" si="2"/>
        <v>20</v>
      </c>
      <c r="R67" s="6">
        <f t="shared" si="3"/>
        <v>62467.919999999991</v>
      </c>
      <c r="S67" s="6">
        <f t="shared" si="4"/>
        <v>62467.919999999991</v>
      </c>
      <c r="U67" s="6">
        <f t="shared" si="5"/>
        <v>0</v>
      </c>
      <c r="W67" s="1">
        <v>10</v>
      </c>
    </row>
    <row r="68" spans="9:23" ht="13.5" customHeight="1" x14ac:dyDescent="0.25">
      <c r="I68" s="81"/>
      <c r="J68" s="81"/>
      <c r="K68" s="4" t="s">
        <v>7</v>
      </c>
      <c r="L68" s="4"/>
      <c r="M68" s="4"/>
      <c r="N68" s="1" t="str">
        <f t="shared" si="0"/>
        <v>LA</v>
      </c>
      <c r="O68" s="1">
        <f t="shared" si="1"/>
        <v>23</v>
      </c>
      <c r="P68" s="1">
        <f t="shared" si="2"/>
        <v>21</v>
      </c>
      <c r="R68" s="6">
        <f t="shared" si="3"/>
        <v>62467.919999999991</v>
      </c>
      <c r="S68" s="6">
        <f t="shared" si="4"/>
        <v>62467.919999999991</v>
      </c>
      <c r="U68" s="6">
        <f t="shared" si="5"/>
        <v>0</v>
      </c>
      <c r="W68" s="1">
        <v>11</v>
      </c>
    </row>
    <row r="69" spans="9:23" ht="13.5" customHeight="1" x14ac:dyDescent="0.25">
      <c r="I69" s="81"/>
      <c r="J69" s="81"/>
      <c r="K69" s="4" t="s">
        <v>8</v>
      </c>
      <c r="L69" s="4"/>
      <c r="M69" s="4"/>
      <c r="N69" s="1" t="str">
        <f t="shared" si="0"/>
        <v>LA</v>
      </c>
      <c r="O69" s="1">
        <f t="shared" si="1"/>
        <v>24</v>
      </c>
      <c r="P69" s="1">
        <f t="shared" si="2"/>
        <v>22</v>
      </c>
      <c r="R69" s="6">
        <f t="shared" si="3"/>
        <v>62467.919999999991</v>
      </c>
      <c r="S69" s="6">
        <f t="shared" si="4"/>
        <v>62467.919999999991</v>
      </c>
      <c r="U69" s="6">
        <f t="shared" si="5"/>
        <v>0</v>
      </c>
      <c r="W69" s="1">
        <v>12</v>
      </c>
    </row>
    <row r="70" spans="9:23" ht="13.5" customHeight="1" x14ac:dyDescent="0.25">
      <c r="I70" s="81"/>
      <c r="J70" s="81"/>
      <c r="K70" s="4" t="s">
        <v>9</v>
      </c>
      <c r="L70" s="4"/>
      <c r="M70" s="4"/>
      <c r="N70" s="1" t="str">
        <f t="shared" si="0"/>
        <v>LA</v>
      </c>
      <c r="O70" s="1">
        <f t="shared" si="1"/>
        <v>25</v>
      </c>
      <c r="P70" s="1">
        <f t="shared" si="2"/>
        <v>23</v>
      </c>
      <c r="R70" s="6">
        <f t="shared" si="3"/>
        <v>62467.919999999991</v>
      </c>
      <c r="S70" s="6">
        <f t="shared" si="4"/>
        <v>62467.919999999991</v>
      </c>
      <c r="U70" s="6">
        <f t="shared" si="5"/>
        <v>0</v>
      </c>
      <c r="W70" s="1">
        <v>13</v>
      </c>
    </row>
    <row r="71" spans="9:23" ht="13.5" customHeight="1" x14ac:dyDescent="0.25">
      <c r="I71" s="81"/>
      <c r="J71" s="81"/>
      <c r="K71" s="4" t="s">
        <v>10</v>
      </c>
      <c r="L71" s="4"/>
      <c r="M71" s="4"/>
      <c r="N71" s="1" t="str">
        <f t="shared" si="0"/>
        <v>LA</v>
      </c>
      <c r="O71" s="1">
        <f t="shared" si="1"/>
        <v>26</v>
      </c>
      <c r="P71" s="1">
        <f t="shared" si="2"/>
        <v>24</v>
      </c>
      <c r="R71" s="6">
        <f t="shared" si="3"/>
        <v>62467.919999999991</v>
      </c>
      <c r="S71" s="6">
        <f t="shared" si="4"/>
        <v>62467.919999999991</v>
      </c>
      <c r="U71" s="6">
        <f t="shared" si="5"/>
        <v>0</v>
      </c>
      <c r="W71" s="1">
        <v>14</v>
      </c>
    </row>
    <row r="72" spans="9:23" ht="13.5" customHeight="1" x14ac:dyDescent="0.25">
      <c r="I72" s="81"/>
      <c r="J72" s="81"/>
      <c r="K72" s="4" t="s">
        <v>11</v>
      </c>
      <c r="L72" s="4"/>
      <c r="M72" s="4"/>
      <c r="N72" s="1" t="str">
        <f t="shared" si="0"/>
        <v>LA</v>
      </c>
      <c r="O72" s="1">
        <f t="shared" si="1"/>
        <v>27</v>
      </c>
      <c r="P72" s="1">
        <f t="shared" si="2"/>
        <v>25</v>
      </c>
      <c r="R72" s="6">
        <f t="shared" si="3"/>
        <v>62467.919999999991</v>
      </c>
      <c r="S72" s="6">
        <f t="shared" si="4"/>
        <v>62467.919999999991</v>
      </c>
      <c r="U72" s="6">
        <f t="shared" si="5"/>
        <v>0</v>
      </c>
      <c r="W72" s="1">
        <v>15</v>
      </c>
    </row>
    <row r="73" spans="9:23" ht="13.5" customHeight="1" x14ac:dyDescent="0.25">
      <c r="I73" s="81"/>
      <c r="J73" s="81"/>
      <c r="K73" s="4" t="s">
        <v>12</v>
      </c>
      <c r="L73" s="4"/>
      <c r="M73" s="4"/>
      <c r="N73" s="1" t="str">
        <f t="shared" si="0"/>
        <v>LA</v>
      </c>
      <c r="O73" s="1">
        <f t="shared" si="1"/>
        <v>28</v>
      </c>
      <c r="P73" s="1">
        <f t="shared" si="2"/>
        <v>26</v>
      </c>
      <c r="R73" s="6">
        <f t="shared" si="3"/>
        <v>62467.919999999991</v>
      </c>
      <c r="S73" s="6">
        <f t="shared" si="4"/>
        <v>62467.919999999991</v>
      </c>
      <c r="U73" s="6">
        <f t="shared" si="5"/>
        <v>0</v>
      </c>
      <c r="W73" s="1">
        <v>16</v>
      </c>
    </row>
    <row r="74" spans="9:23" ht="13.5" customHeight="1" x14ac:dyDescent="0.25">
      <c r="I74" s="81"/>
      <c r="J74" s="81"/>
      <c r="K74" s="4" t="s">
        <v>13</v>
      </c>
      <c r="L74" s="4"/>
      <c r="M74" s="4"/>
      <c r="N74" s="1" t="str">
        <f t="shared" si="0"/>
        <v>LA</v>
      </c>
      <c r="O74" s="1">
        <f t="shared" si="1"/>
        <v>29</v>
      </c>
      <c r="P74" s="1">
        <f t="shared" si="2"/>
        <v>27</v>
      </c>
      <c r="R74" s="6">
        <f t="shared" si="3"/>
        <v>62467.919999999991</v>
      </c>
      <c r="S74" s="6">
        <f t="shared" si="4"/>
        <v>62467.919999999991</v>
      </c>
      <c r="U74" s="6">
        <f t="shared" si="5"/>
        <v>0</v>
      </c>
      <c r="W74" s="1">
        <v>17</v>
      </c>
    </row>
    <row r="75" spans="9:23" ht="13.5" customHeight="1" x14ac:dyDescent="0.25">
      <c r="I75" s="81"/>
      <c r="J75" s="81"/>
      <c r="K75" s="4" t="s">
        <v>14</v>
      </c>
      <c r="L75" s="4"/>
      <c r="M75" s="4"/>
      <c r="N75" s="1" t="str">
        <f t="shared" si="0"/>
        <v>LA</v>
      </c>
      <c r="O75" s="1">
        <f t="shared" si="1"/>
        <v>30</v>
      </c>
      <c r="P75" s="1">
        <f t="shared" si="2"/>
        <v>28</v>
      </c>
      <c r="R75" s="6">
        <f t="shared" si="3"/>
        <v>62467.919999999991</v>
      </c>
      <c r="S75" s="6">
        <f t="shared" si="4"/>
        <v>62467.919999999991</v>
      </c>
      <c r="U75" s="6">
        <f t="shared" si="5"/>
        <v>0</v>
      </c>
      <c r="W75" s="1">
        <v>18</v>
      </c>
    </row>
    <row r="76" spans="9:23" ht="13.5" customHeight="1" x14ac:dyDescent="0.25">
      <c r="I76" s="81"/>
      <c r="J76" s="81"/>
      <c r="K76" s="4" t="s">
        <v>0</v>
      </c>
      <c r="L76" s="4"/>
      <c r="M76" s="4"/>
      <c r="N76" s="1" t="str">
        <f t="shared" si="0"/>
        <v>LA</v>
      </c>
      <c r="O76" s="1">
        <f t="shared" si="1"/>
        <v>31</v>
      </c>
      <c r="P76" s="1">
        <f t="shared" si="2"/>
        <v>29</v>
      </c>
      <c r="R76" s="6">
        <f t="shared" si="3"/>
        <v>62467.919999999991</v>
      </c>
      <c r="S76" s="6">
        <f t="shared" si="4"/>
        <v>62467.919999999991</v>
      </c>
      <c r="U76" s="6">
        <f t="shared" si="5"/>
        <v>0</v>
      </c>
      <c r="W76" s="1">
        <v>19</v>
      </c>
    </row>
    <row r="77" spans="9:23" ht="13.5" customHeight="1" x14ac:dyDescent="0.25">
      <c r="I77" s="81"/>
      <c r="J77" s="81"/>
      <c r="K77" s="4" t="s">
        <v>15</v>
      </c>
      <c r="L77" s="4"/>
      <c r="M77" s="4"/>
    </row>
    <row r="78" spans="9:23" ht="13.5" customHeight="1" x14ac:dyDescent="0.25">
      <c r="I78" s="81"/>
      <c r="J78" s="81"/>
      <c r="K78" s="4" t="s">
        <v>16</v>
      </c>
      <c r="L78" s="4"/>
      <c r="M78" s="4"/>
      <c r="U78" s="6">
        <f>SUM(U57:U76)</f>
        <v>15359.399999999994</v>
      </c>
    </row>
    <row r="79" spans="9:23" ht="13.5" customHeight="1" x14ac:dyDescent="0.25">
      <c r="I79" s="81"/>
      <c r="J79" s="81"/>
      <c r="K79" s="4" t="s">
        <v>17</v>
      </c>
      <c r="L79" s="4"/>
      <c r="M79" s="4"/>
      <c r="S79" s="1" t="s">
        <v>31</v>
      </c>
      <c r="U79" s="6">
        <f>IF(F28=0,0,+U78/F28)</f>
        <v>3071.8799999999987</v>
      </c>
    </row>
    <row r="80" spans="9:23" ht="13.5" customHeight="1" x14ac:dyDescent="0.25">
      <c r="I80" s="81"/>
      <c r="J80" s="81"/>
      <c r="K80" s="4" t="s">
        <v>18</v>
      </c>
      <c r="L80" s="4"/>
      <c r="M80" s="4"/>
    </row>
    <row r="81" spans="6:13" ht="13.5" customHeight="1" x14ac:dyDescent="0.25">
      <c r="I81" s="81"/>
      <c r="J81" s="81"/>
      <c r="K81" s="4" t="s">
        <v>19</v>
      </c>
      <c r="L81" s="4"/>
      <c r="M81" s="4"/>
    </row>
    <row r="82" spans="6:13" ht="13.5" customHeight="1" x14ac:dyDescent="0.25">
      <c r="I82" s="81"/>
      <c r="J82" s="81"/>
      <c r="K82" s="4" t="s">
        <v>20</v>
      </c>
      <c r="L82" s="4"/>
      <c r="M82" s="4"/>
    </row>
    <row r="83" spans="6:13" ht="13.5" customHeight="1" x14ac:dyDescent="0.25">
      <c r="I83" s="81"/>
      <c r="J83" s="81"/>
      <c r="K83" s="4">
        <v>1</v>
      </c>
      <c r="L83" s="4"/>
      <c r="M83" s="4"/>
    </row>
    <row r="84" spans="6:13" ht="13.5" customHeight="1" x14ac:dyDescent="0.25">
      <c r="I84" s="81"/>
      <c r="J84" s="81"/>
      <c r="K84" s="4">
        <v>2</v>
      </c>
      <c r="L84" s="4"/>
      <c r="M84" s="4"/>
    </row>
    <row r="85" spans="6:13" ht="13.5" customHeight="1" x14ac:dyDescent="0.25">
      <c r="I85" s="81"/>
      <c r="J85" s="81"/>
      <c r="K85" s="4">
        <v>3</v>
      </c>
      <c r="L85" s="4"/>
      <c r="M85" s="4"/>
    </row>
    <row r="86" spans="6:13" ht="13.5" customHeight="1" x14ac:dyDescent="0.25">
      <c r="I86" s="81"/>
      <c r="J86" s="81"/>
      <c r="K86" s="4">
        <v>4</v>
      </c>
      <c r="L86" s="4"/>
      <c r="M86" s="4"/>
    </row>
    <row r="87" spans="6:13" ht="13.5" customHeight="1" x14ac:dyDescent="0.25">
      <c r="F87" s="6"/>
      <c r="G87" s="6"/>
      <c r="I87" s="81"/>
      <c r="J87" s="81"/>
      <c r="K87" s="4">
        <v>5</v>
      </c>
      <c r="L87" s="4"/>
      <c r="M87" s="4"/>
    </row>
    <row r="88" spans="6:13" ht="13.5" customHeight="1" x14ac:dyDescent="0.25">
      <c r="F88" s="6"/>
      <c r="G88" s="6"/>
      <c r="I88" s="81"/>
      <c r="J88" s="81"/>
      <c r="K88" s="4">
        <v>6</v>
      </c>
      <c r="L88" s="4"/>
      <c r="M88" s="4"/>
    </row>
    <row r="89" spans="6:13" ht="13.5" customHeight="1" x14ac:dyDescent="0.25">
      <c r="F89" s="6"/>
      <c r="G89" s="6"/>
      <c r="I89" s="81"/>
      <c r="J89" s="81"/>
      <c r="K89" s="4">
        <v>7</v>
      </c>
      <c r="L89" s="4"/>
      <c r="M89" s="4"/>
    </row>
    <row r="90" spans="6:13" ht="13.5" customHeight="1" x14ac:dyDescent="0.25">
      <c r="F90" s="6"/>
      <c r="G90" s="6"/>
      <c r="I90" s="81"/>
      <c r="J90" s="81"/>
      <c r="K90" s="4">
        <v>8</v>
      </c>
      <c r="L90" s="4"/>
      <c r="M90" s="4"/>
    </row>
    <row r="91" spans="6:13" ht="13.5" customHeight="1" x14ac:dyDescent="0.25">
      <c r="F91" s="6"/>
      <c r="G91" s="6"/>
      <c r="I91" s="81"/>
      <c r="J91" s="81"/>
      <c r="K91" s="4">
        <v>9</v>
      </c>
      <c r="L91" s="4"/>
      <c r="M91" s="4"/>
    </row>
    <row r="92" spans="6:13" ht="13.5" customHeight="1" x14ac:dyDescent="0.25">
      <c r="F92" s="6"/>
      <c r="G92" s="6"/>
      <c r="I92" s="81"/>
      <c r="J92" s="81"/>
      <c r="K92" s="4">
        <v>10</v>
      </c>
      <c r="L92" s="4"/>
      <c r="M92" s="4"/>
    </row>
    <row r="93" spans="6:13" ht="13.5" customHeight="1" x14ac:dyDescent="0.25">
      <c r="F93" s="6"/>
      <c r="G93" s="6"/>
      <c r="I93" s="81"/>
      <c r="J93" s="81"/>
      <c r="K93" s="4">
        <v>11</v>
      </c>
      <c r="L93" s="4"/>
      <c r="M93" s="4"/>
    </row>
    <row r="94" spans="6:13" ht="13.5" customHeight="1" x14ac:dyDescent="0.25">
      <c r="F94" s="6"/>
      <c r="G94" s="6"/>
      <c r="I94" s="81"/>
      <c r="J94" s="81"/>
      <c r="K94" s="4">
        <v>12</v>
      </c>
      <c r="L94" s="4"/>
      <c r="M94" s="4"/>
    </row>
    <row r="95" spans="6:13" ht="13.5" customHeight="1" x14ac:dyDescent="0.25">
      <c r="F95" s="6"/>
      <c r="G95" s="6"/>
      <c r="I95" s="81"/>
      <c r="J95" s="81"/>
      <c r="K95" s="4">
        <v>13</v>
      </c>
      <c r="L95" s="4"/>
      <c r="M95" s="4"/>
    </row>
    <row r="96" spans="6:13" ht="13.5" customHeight="1" x14ac:dyDescent="0.25">
      <c r="F96" s="87"/>
      <c r="G96" s="93"/>
      <c r="I96" s="81"/>
      <c r="J96" s="81"/>
      <c r="K96" s="4">
        <v>14</v>
      </c>
      <c r="L96" s="4"/>
      <c r="M96" s="4"/>
    </row>
    <row r="97" spans="6:13" ht="13.5" customHeight="1" x14ac:dyDescent="0.25">
      <c r="F97" s="87"/>
      <c r="G97" s="93"/>
      <c r="I97" s="81"/>
      <c r="J97" s="81"/>
      <c r="K97" s="4" t="s">
        <v>93</v>
      </c>
      <c r="L97" s="4"/>
      <c r="M97" s="4"/>
    </row>
    <row r="98" spans="6:13" ht="13.5" customHeight="1" x14ac:dyDescent="0.25">
      <c r="F98" s="87"/>
      <c r="G98" s="93"/>
      <c r="I98" s="81"/>
      <c r="J98" s="81"/>
      <c r="K98" s="4" t="s">
        <v>94</v>
      </c>
      <c r="L98" s="4"/>
      <c r="M98" s="4"/>
    </row>
    <row r="99" spans="6:13" ht="13.5" customHeight="1" x14ac:dyDescent="0.25">
      <c r="F99" s="87"/>
      <c r="G99" s="93"/>
      <c r="I99" s="81"/>
      <c r="J99" s="81"/>
      <c r="K99" s="4" t="s">
        <v>95</v>
      </c>
      <c r="L99" s="4"/>
      <c r="M99" s="4"/>
    </row>
    <row r="100" spans="6:13" ht="13.5" customHeight="1" x14ac:dyDescent="0.25">
      <c r="F100" s="86"/>
      <c r="G100" s="81"/>
      <c r="I100" s="81"/>
      <c r="J100" s="81"/>
    </row>
    <row r="101" spans="6:13" ht="13.5" customHeight="1" x14ac:dyDescent="0.25">
      <c r="F101" s="87"/>
      <c r="G101" s="81"/>
      <c r="I101" s="81"/>
      <c r="J101" s="81"/>
    </row>
    <row r="102" spans="6:13" ht="13.5" customHeight="1" x14ac:dyDescent="0.25">
      <c r="F102" s="74"/>
      <c r="G102" s="6"/>
      <c r="I102" s="81"/>
      <c r="J102" s="81"/>
    </row>
    <row r="103" spans="6:13" ht="13.5" customHeight="1" x14ac:dyDescent="0.25">
      <c r="F103" s="6"/>
      <c r="G103" s="6"/>
      <c r="I103" s="81"/>
      <c r="J103" s="81"/>
    </row>
    <row r="104" spans="6:13" ht="13.5" customHeight="1" x14ac:dyDescent="0.25">
      <c r="F104" s="6"/>
      <c r="G104" s="6"/>
      <c r="I104" s="81"/>
      <c r="J104" s="81"/>
    </row>
    <row r="105" spans="6:13" ht="13.5" customHeight="1" x14ac:dyDescent="0.25">
      <c r="F105" s="6"/>
      <c r="G105" s="6"/>
    </row>
    <row r="106" spans="6:13" ht="13.5" customHeight="1" x14ac:dyDescent="0.25">
      <c r="F106" s="6"/>
      <c r="G106" s="6"/>
    </row>
    <row r="117" spans="6:7" ht="13.5" customHeight="1" x14ac:dyDescent="0.25">
      <c r="F117" s="6"/>
      <c r="G117" s="6"/>
    </row>
    <row r="118" spans="6:7" ht="13.5" customHeight="1" x14ac:dyDescent="0.25">
      <c r="F118" s="6"/>
      <c r="G118" s="6"/>
    </row>
    <row r="119" spans="6:7" ht="13.5" customHeight="1" x14ac:dyDescent="0.25">
      <c r="F119" s="6"/>
      <c r="G119" s="6"/>
    </row>
    <row r="120" spans="6:7" ht="13.5" customHeight="1" x14ac:dyDescent="0.25">
      <c r="F120" s="6"/>
      <c r="G120" s="6"/>
    </row>
    <row r="121" spans="6:7" ht="13.5" customHeight="1" x14ac:dyDescent="0.25">
      <c r="F121" s="6"/>
      <c r="G121" s="6"/>
    </row>
    <row r="122" spans="6:7" ht="13.5" customHeight="1" x14ac:dyDescent="0.25">
      <c r="F122" s="6"/>
      <c r="G122" s="6"/>
    </row>
    <row r="123" spans="6:7" ht="13.5" customHeight="1" x14ac:dyDescent="0.25">
      <c r="F123" s="6"/>
      <c r="G123" s="6"/>
    </row>
    <row r="124" spans="6:7" ht="13.5" customHeight="1" x14ac:dyDescent="0.25">
      <c r="F124" s="6"/>
      <c r="G124" s="6"/>
    </row>
    <row r="125" spans="6:7" ht="13.5" customHeight="1" x14ac:dyDescent="0.25">
      <c r="F125" s="6"/>
      <c r="G125" s="6"/>
    </row>
    <row r="126" spans="6:7" ht="13.5" customHeight="1" x14ac:dyDescent="0.25">
      <c r="F126" s="6"/>
      <c r="G126" s="6"/>
    </row>
    <row r="127" spans="6:7" ht="13.5" customHeight="1" x14ac:dyDescent="0.25">
      <c r="F127" s="6"/>
      <c r="G127" s="6"/>
    </row>
    <row r="128" spans="6:7" ht="13.5" customHeight="1" x14ac:dyDescent="0.25">
      <c r="F128" s="6"/>
      <c r="G128" s="6"/>
    </row>
    <row r="129" spans="6:7" ht="13.5" customHeight="1" x14ac:dyDescent="0.25">
      <c r="F129" s="6"/>
      <c r="G129" s="6"/>
    </row>
    <row r="130" spans="6:7" ht="13.5" customHeight="1" x14ac:dyDescent="0.25">
      <c r="F130" s="6"/>
      <c r="G130" s="6"/>
    </row>
    <row r="131" spans="6:7" ht="13.5" customHeight="1" x14ac:dyDescent="0.25">
      <c r="F131" s="6"/>
      <c r="G131" s="6"/>
    </row>
    <row r="132" spans="6:7" ht="13.5" customHeight="1" x14ac:dyDescent="0.25">
      <c r="F132" s="6"/>
      <c r="G132" s="6"/>
    </row>
    <row r="133" spans="6:7" ht="13.5" customHeight="1" x14ac:dyDescent="0.25">
      <c r="F133" s="6"/>
      <c r="G133" s="6"/>
    </row>
    <row r="134" spans="6:7" ht="13.5" customHeight="1" x14ac:dyDescent="0.25">
      <c r="F134" s="6"/>
      <c r="G134" s="6"/>
    </row>
    <row r="135" spans="6:7" ht="13.5" customHeight="1" x14ac:dyDescent="0.25">
      <c r="F135" s="6"/>
      <c r="G135" s="6"/>
    </row>
    <row r="136" spans="6:7" ht="13.5" customHeight="1" x14ac:dyDescent="0.25">
      <c r="F136" s="6"/>
      <c r="G136" s="6"/>
    </row>
  </sheetData>
  <sheetProtection password="DFB1" sheet="1"/>
  <mergeCells count="1">
    <mergeCell ref="F10:G10"/>
  </mergeCells>
  <phoneticPr fontId="0" type="noConversion"/>
  <dataValidations count="2">
    <dataValidation type="list" allowBlank="1" showInputMessage="1" showErrorMessage="1" sqref="F13">
      <formula1>$K$56:$K$99</formula1>
    </dataValidation>
    <dataValidation type="list" allowBlank="1" showInputMessage="1" showErrorMessage="1" sqref="F20:F22">
      <formula1>"ja, nee"</formula1>
    </dataValidation>
  </dataValidations>
  <printOptions gridLines="1"/>
  <pageMargins left="0.74803149606299213" right="0.74803149606299213" top="0.98425196850393704" bottom="0.98425196850393704" header="0.51181102362204722" footer="0.51181102362204722"/>
  <pageSetup paperSize="9" scale="65" orientation="portrait" r:id="rId1"/>
  <headerFooter alignWithMargins="0">
    <oddHeader>&amp;L&amp;"Arial,Vet"&amp;A&amp;C&amp;"Arial,Vet"&amp;D&amp;R&amp;"Arial,Vet"&amp;F</oddHeader>
    <oddFooter>&amp;L&amp;"Arial,Vet"&amp;8gemaakt door keizer, PO-Raad&amp;R&amp;"Arial,Vet"&amp;P</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CL118"/>
  <sheetViews>
    <sheetView zoomScale="85" zoomScaleNormal="85" zoomScaleSheetLayoutView="85" workbookViewId="0">
      <selection activeCell="B2" sqref="B2"/>
    </sheetView>
  </sheetViews>
  <sheetFormatPr defaultColWidth="9.140625" defaultRowHeight="13.5" customHeight="1" x14ac:dyDescent="0.2"/>
  <cols>
    <col min="1" max="1" width="3.7109375" style="540" customWidth="1"/>
    <col min="2" max="3" width="2.7109375" style="540" customWidth="1"/>
    <col min="4" max="4" width="20.7109375" style="575" customWidth="1"/>
    <col min="5" max="5" width="11.140625" style="540" customWidth="1"/>
    <col min="6" max="14" width="11.7109375" style="540" customWidth="1"/>
    <col min="15" max="15" width="0.85546875" style="540" customWidth="1"/>
    <col min="16" max="16" width="11.7109375" style="540" customWidth="1"/>
    <col min="17" max="17" width="15.7109375" style="540" customWidth="1"/>
    <col min="18" max="18" width="0.85546875" style="540" customWidth="1"/>
    <col min="19" max="26" width="11.7109375" style="540" customWidth="1"/>
    <col min="27" max="28" width="2.7109375" style="540" customWidth="1"/>
    <col min="29" max="29" width="12.7109375" style="576" customWidth="1"/>
    <col min="30" max="32" width="12.7109375" style="540" customWidth="1"/>
    <col min="33" max="33" width="0.85546875" style="540" customWidth="1"/>
    <col min="34" max="37" width="12.7109375" style="540" customWidth="1"/>
    <col min="38" max="38" width="0.85546875" style="540" customWidth="1"/>
    <col min="39" max="44" width="11" style="540" customWidth="1"/>
    <col min="45" max="48" width="11" style="282" customWidth="1"/>
    <col min="49" max="49" width="13.140625" style="621" customWidth="1"/>
    <col min="50" max="50" width="11" style="282" hidden="1" customWidth="1"/>
    <col min="51" max="52" width="15.85546875" style="540" customWidth="1"/>
    <col min="53" max="53" width="0.85546875" style="540" customWidth="1"/>
    <col min="54" max="54" width="13" style="540" customWidth="1"/>
    <col min="55" max="56" width="2.5703125" style="540" customWidth="1"/>
    <col min="57" max="57" width="2.7109375" style="540" customWidth="1"/>
    <col min="58" max="62" width="14.85546875" style="626" customWidth="1"/>
    <col min="63" max="63" width="10.85546875" style="626" customWidth="1"/>
    <col min="64" max="67" width="14.85546875" style="626" customWidth="1"/>
    <col min="68" max="68" width="15" style="626" customWidth="1"/>
    <col min="69" max="70" width="14.28515625" style="626" customWidth="1"/>
    <col min="71" max="71" width="3.7109375" style="626" customWidth="1"/>
    <col min="72" max="78" width="14.28515625" style="626" customWidth="1"/>
    <col min="79" max="79" width="3.7109375" style="626" customWidth="1"/>
    <col min="80" max="82" width="14.28515625" style="627" customWidth="1"/>
    <col min="83" max="88" width="14.28515625" style="282" customWidth="1"/>
    <col min="89" max="89" width="14.85546875" style="540" customWidth="1"/>
    <col min="90" max="90" width="14.28515625" style="540" customWidth="1"/>
    <col min="91" max="16384" width="9.140625" style="540"/>
  </cols>
  <sheetData>
    <row r="2" spans="2:90" ht="13.5" customHeight="1" x14ac:dyDescent="0.2">
      <c r="B2" s="534"/>
      <c r="C2" s="535"/>
      <c r="D2" s="536"/>
      <c r="E2" s="535"/>
      <c r="F2" s="535"/>
      <c r="G2" s="535"/>
      <c r="H2" s="535"/>
      <c r="I2" s="535"/>
      <c r="J2" s="535"/>
      <c r="K2" s="535"/>
      <c r="L2" s="535"/>
      <c r="M2" s="535"/>
      <c r="N2" s="535"/>
      <c r="O2" s="535"/>
      <c r="P2" s="535"/>
      <c r="Q2" s="535"/>
      <c r="R2" s="535"/>
      <c r="S2" s="535"/>
      <c r="T2" s="535"/>
      <c r="U2" s="535"/>
      <c r="V2" s="535"/>
      <c r="W2" s="535"/>
      <c r="X2" s="535"/>
      <c r="Y2" s="535"/>
      <c r="Z2" s="535"/>
      <c r="AA2" s="537"/>
      <c r="AB2" s="534"/>
      <c r="AC2" s="538"/>
      <c r="AD2" s="535"/>
      <c r="AE2" s="535"/>
      <c r="AF2" s="535"/>
      <c r="AG2" s="535"/>
      <c r="AH2" s="535"/>
      <c r="AI2" s="535"/>
      <c r="AJ2" s="535"/>
      <c r="AK2" s="535"/>
      <c r="AL2" s="535"/>
      <c r="AM2" s="535"/>
      <c r="AN2" s="535"/>
      <c r="AO2" s="535"/>
      <c r="AP2" s="535"/>
      <c r="AQ2" s="535"/>
      <c r="AR2" s="535"/>
      <c r="AS2" s="539"/>
      <c r="AT2" s="539"/>
      <c r="AU2" s="539"/>
      <c r="AV2" s="539"/>
      <c r="AW2" s="611"/>
      <c r="AX2" s="539"/>
      <c r="AY2" s="535"/>
      <c r="AZ2" s="535"/>
      <c r="BA2" s="535"/>
      <c r="BB2" s="535"/>
      <c r="BC2" s="535"/>
      <c r="BD2" s="537"/>
    </row>
    <row r="3" spans="2:90" ht="13.5" customHeight="1" x14ac:dyDescent="0.2">
      <c r="B3" s="541"/>
      <c r="C3" s="510"/>
      <c r="D3" s="281"/>
      <c r="E3" s="510"/>
      <c r="F3" s="510"/>
      <c r="G3" s="510"/>
      <c r="H3" s="510"/>
      <c r="I3" s="510"/>
      <c r="J3" s="510"/>
      <c r="K3" s="510"/>
      <c r="L3" s="510"/>
      <c r="M3" s="510"/>
      <c r="N3" s="510"/>
      <c r="O3" s="510"/>
      <c r="P3" s="510"/>
      <c r="Q3" s="510"/>
      <c r="R3" s="510"/>
      <c r="S3" s="510"/>
      <c r="T3" s="510"/>
      <c r="U3" s="510"/>
      <c r="V3" s="510"/>
      <c r="W3" s="510"/>
      <c r="X3" s="510"/>
      <c r="Y3" s="510"/>
      <c r="Z3" s="510"/>
      <c r="AA3" s="542"/>
      <c r="AB3" s="541"/>
      <c r="AC3" s="280"/>
      <c r="AD3" s="510"/>
      <c r="AE3" s="510"/>
      <c r="AF3" s="510"/>
      <c r="AG3" s="510"/>
      <c r="AH3" s="510"/>
      <c r="AI3" s="510"/>
      <c r="AJ3" s="510"/>
      <c r="AK3" s="510"/>
      <c r="AL3" s="510"/>
      <c r="AM3" s="510"/>
      <c r="AN3" s="510"/>
      <c r="AO3" s="510"/>
      <c r="AP3" s="510"/>
      <c r="AQ3" s="510"/>
      <c r="AR3" s="510"/>
      <c r="AS3" s="543"/>
      <c r="AT3" s="543"/>
      <c r="AU3" s="543"/>
      <c r="AV3" s="543"/>
      <c r="AW3" s="612"/>
      <c r="AX3" s="543"/>
      <c r="AY3" s="510"/>
      <c r="AZ3" s="510"/>
      <c r="BA3" s="510"/>
      <c r="BB3" s="510"/>
      <c r="BC3" s="510"/>
      <c r="BD3" s="542"/>
    </row>
    <row r="4" spans="2:90" s="551" customFormat="1" ht="18.75" customHeight="1" x14ac:dyDescent="0.3">
      <c r="B4" s="544"/>
      <c r="C4" s="545" t="s">
        <v>347</v>
      </c>
      <c r="D4" s="546"/>
      <c r="E4" s="547"/>
      <c r="F4" s="547"/>
      <c r="G4" s="547"/>
      <c r="H4" s="547"/>
      <c r="I4" s="547"/>
      <c r="J4" s="547"/>
      <c r="K4" s="547"/>
      <c r="L4" s="547"/>
      <c r="M4" s="547"/>
      <c r="N4" s="547"/>
      <c r="O4" s="547"/>
      <c r="P4" s="547"/>
      <c r="Q4" s="547"/>
      <c r="R4" s="547"/>
      <c r="S4" s="547"/>
      <c r="T4" s="547"/>
      <c r="U4" s="547"/>
      <c r="V4" s="547"/>
      <c r="W4" s="547"/>
      <c r="X4" s="547"/>
      <c r="Y4" s="547"/>
      <c r="Z4" s="547"/>
      <c r="AA4" s="548"/>
      <c r="AB4" s="544"/>
      <c r="AC4" s="549"/>
      <c r="AD4" s="547"/>
      <c r="AE4" s="547"/>
      <c r="AF4" s="547"/>
      <c r="AG4" s="547"/>
      <c r="AH4" s="547"/>
      <c r="AI4" s="547"/>
      <c r="AJ4" s="547"/>
      <c r="AK4" s="547"/>
      <c r="AL4" s="547"/>
      <c r="AM4" s="547"/>
      <c r="AN4" s="547"/>
      <c r="AO4" s="547"/>
      <c r="AP4" s="547"/>
      <c r="AQ4" s="547"/>
      <c r="AR4" s="547"/>
      <c r="AS4" s="550"/>
      <c r="AT4" s="550"/>
      <c r="AU4" s="550"/>
      <c r="AV4" s="550"/>
      <c r="AW4" s="613"/>
      <c r="AX4" s="550"/>
      <c r="AY4" s="547"/>
      <c r="AZ4" s="547"/>
      <c r="BA4" s="547"/>
      <c r="BB4" s="547"/>
      <c r="BC4" s="547"/>
      <c r="BD4" s="548"/>
      <c r="BF4" s="628"/>
      <c r="BG4" s="628"/>
      <c r="BH4" s="628"/>
      <c r="BI4" s="628"/>
      <c r="BJ4" s="628"/>
      <c r="BK4" s="628"/>
      <c r="BL4" s="628"/>
      <c r="BM4" s="628"/>
      <c r="BN4" s="628"/>
      <c r="BO4" s="628"/>
      <c r="BP4" s="628"/>
      <c r="BQ4" s="628"/>
      <c r="BR4" s="628"/>
      <c r="BS4" s="628"/>
      <c r="BT4" s="628"/>
      <c r="BU4" s="628"/>
      <c r="BV4" s="628"/>
      <c r="BW4" s="628"/>
      <c r="BX4" s="628"/>
      <c r="BY4" s="628"/>
      <c r="BZ4" s="628"/>
      <c r="CA4" s="628"/>
      <c r="CB4" s="629"/>
      <c r="CC4" s="629"/>
      <c r="CD4" s="629"/>
      <c r="CE4" s="552"/>
      <c r="CF4" s="552"/>
      <c r="CG4" s="552"/>
      <c r="CH4" s="552"/>
      <c r="CI4" s="552"/>
      <c r="CJ4" s="552"/>
    </row>
    <row r="5" spans="2:90" ht="13.5" customHeight="1" x14ac:dyDescent="0.25">
      <c r="B5" s="541"/>
      <c r="C5" s="578" t="str">
        <f>wgl!C5</f>
        <v>vanaf 1 augustus</v>
      </c>
      <c r="D5" s="281"/>
      <c r="E5" s="510"/>
      <c r="F5" s="510"/>
      <c r="G5" s="510"/>
      <c r="H5" s="510"/>
      <c r="I5" s="510"/>
      <c r="J5" s="510"/>
      <c r="K5" s="510"/>
      <c r="L5" s="510"/>
      <c r="M5" s="510"/>
      <c r="N5" s="510"/>
      <c r="O5" s="510"/>
      <c r="P5" s="510"/>
      <c r="Q5" s="510"/>
      <c r="R5" s="510"/>
      <c r="S5" s="510"/>
      <c r="T5" s="510"/>
      <c r="U5" s="510"/>
      <c r="V5" s="510"/>
      <c r="W5" s="510"/>
      <c r="X5" s="510"/>
      <c r="Y5" s="510"/>
      <c r="Z5" s="510"/>
      <c r="AA5" s="542"/>
      <c r="AB5" s="541"/>
      <c r="AC5" s="280"/>
      <c r="AD5" s="510"/>
      <c r="AE5" s="510"/>
      <c r="AF5" s="510"/>
      <c r="AG5" s="510"/>
      <c r="AH5" s="510"/>
      <c r="AI5" s="510"/>
      <c r="AJ5" s="510"/>
      <c r="AK5" s="510"/>
      <c r="AL5" s="510"/>
      <c r="AM5" s="510"/>
      <c r="AN5" s="510"/>
      <c r="AO5" s="510"/>
      <c r="AP5" s="510"/>
      <c r="AQ5" s="510"/>
      <c r="AR5" s="510"/>
      <c r="AS5" s="543"/>
      <c r="AT5" s="543"/>
      <c r="AU5" s="543"/>
      <c r="AV5" s="543"/>
      <c r="AW5" s="612"/>
      <c r="AX5" s="543"/>
      <c r="AY5" s="510"/>
      <c r="AZ5" s="510"/>
      <c r="BA5" s="510"/>
      <c r="BB5" s="510"/>
      <c r="BC5" s="510"/>
      <c r="BD5" s="542"/>
    </row>
    <row r="6" spans="2:90" ht="13.5" customHeight="1" x14ac:dyDescent="0.2">
      <c r="B6" s="541"/>
      <c r="C6" s="510"/>
      <c r="D6" s="281"/>
      <c r="E6" s="510"/>
      <c r="F6" s="510"/>
      <c r="G6" s="510"/>
      <c r="H6" s="510"/>
      <c r="I6" s="510"/>
      <c r="J6" s="510"/>
      <c r="K6" s="510"/>
      <c r="L6" s="510"/>
      <c r="M6" s="510"/>
      <c r="N6" s="510"/>
      <c r="O6" s="510"/>
      <c r="P6" s="510"/>
      <c r="Q6" s="510"/>
      <c r="R6" s="510"/>
      <c r="S6" s="510"/>
      <c r="T6" s="510"/>
      <c r="U6" s="510"/>
      <c r="V6" s="510"/>
      <c r="W6" s="510"/>
      <c r="X6" s="510"/>
      <c r="Y6" s="510"/>
      <c r="Z6" s="510"/>
      <c r="AA6" s="542"/>
      <c r="AB6" s="541"/>
      <c r="AC6" s="280"/>
      <c r="AD6" s="510"/>
      <c r="AE6" s="510"/>
      <c r="AF6" s="510"/>
      <c r="AG6" s="510"/>
      <c r="AH6" s="510"/>
      <c r="AI6" s="510"/>
      <c r="AJ6" s="558"/>
      <c r="AK6" s="510"/>
      <c r="AL6" s="510"/>
      <c r="AM6" s="510"/>
      <c r="AN6" s="510"/>
      <c r="AO6" s="510"/>
      <c r="AP6" s="510"/>
      <c r="AQ6" s="510"/>
      <c r="AR6" s="510"/>
      <c r="AS6" s="543"/>
      <c r="AT6" s="543"/>
      <c r="AU6" s="543"/>
      <c r="AV6" s="543"/>
      <c r="AW6" s="612"/>
      <c r="AX6" s="543"/>
      <c r="AY6" s="510"/>
      <c r="AZ6" s="510"/>
      <c r="BA6" s="510"/>
      <c r="BB6" s="510"/>
      <c r="BC6" s="510"/>
      <c r="BD6" s="542"/>
    </row>
    <row r="7" spans="2:90" ht="13.5" customHeight="1" x14ac:dyDescent="0.2">
      <c r="B7" s="541"/>
      <c r="C7" s="510"/>
      <c r="D7" s="281"/>
      <c r="E7" s="510"/>
      <c r="F7" s="510"/>
      <c r="G7" s="510"/>
      <c r="H7" s="510"/>
      <c r="I7" s="510"/>
      <c r="J7" s="510"/>
      <c r="K7" s="510"/>
      <c r="L7" s="510"/>
      <c r="M7" s="510"/>
      <c r="N7" s="510"/>
      <c r="O7" s="510"/>
      <c r="P7" s="510"/>
      <c r="Q7" s="294">
        <f>Q69</f>
        <v>6548</v>
      </c>
      <c r="R7" s="510"/>
      <c r="S7" s="510"/>
      <c r="T7" s="510"/>
      <c r="U7" s="510"/>
      <c r="V7" s="510"/>
      <c r="W7" s="510"/>
      <c r="X7" s="510"/>
      <c r="Y7" s="510"/>
      <c r="Z7" s="510"/>
      <c r="AA7" s="542"/>
      <c r="AB7" s="541"/>
      <c r="AC7" s="280"/>
      <c r="AD7" s="510"/>
      <c r="AE7" s="510"/>
      <c r="AF7" s="510"/>
      <c r="AG7" s="510"/>
      <c r="AH7" s="510"/>
      <c r="AI7" s="510"/>
      <c r="AJ7" s="510"/>
      <c r="AK7" s="510"/>
      <c r="AL7" s="510"/>
      <c r="AM7" s="510"/>
      <c r="AN7" s="510"/>
      <c r="AO7" s="510"/>
      <c r="AP7" s="510"/>
      <c r="AQ7" s="510"/>
      <c r="AR7" s="510"/>
      <c r="AS7" s="543"/>
      <c r="AT7" s="543"/>
      <c r="AU7" s="543"/>
      <c r="AV7" s="543"/>
      <c r="AW7" s="612"/>
      <c r="AX7" s="543"/>
      <c r="AY7" s="294">
        <f ca="1">AY69</f>
        <v>10818.015495726835</v>
      </c>
      <c r="AZ7" s="294">
        <f ca="1">AZ69</f>
        <v>129816.18594872202</v>
      </c>
      <c r="BA7" s="510"/>
      <c r="BB7" s="301">
        <f ca="1">BB69</f>
        <v>0.65210988022706706</v>
      </c>
      <c r="BC7" s="510"/>
      <c r="BD7" s="542"/>
    </row>
    <row r="8" spans="2:90" s="559" customFormat="1" ht="13.5" customHeight="1" x14ac:dyDescent="0.2">
      <c r="B8" s="553"/>
      <c r="C8" s="554"/>
      <c r="D8" s="287" t="s">
        <v>275</v>
      </c>
      <c r="E8" s="554"/>
      <c r="F8" s="288"/>
      <c r="G8" s="554"/>
      <c r="H8" s="554"/>
      <c r="I8" s="554"/>
      <c r="J8" s="554"/>
      <c r="K8" s="554"/>
      <c r="L8" s="554"/>
      <c r="M8" s="554"/>
      <c r="N8" s="554"/>
      <c r="O8" s="554"/>
      <c r="P8" s="554"/>
      <c r="Q8" s="554"/>
      <c r="R8" s="554"/>
      <c r="S8" s="288" t="s">
        <v>37</v>
      </c>
      <c r="T8" s="554"/>
      <c r="U8" s="510"/>
      <c r="V8" s="554"/>
      <c r="W8" s="554"/>
      <c r="X8" s="554"/>
      <c r="Y8" s="554"/>
      <c r="Z8" s="555"/>
      <c r="AA8" s="556"/>
      <c r="AB8" s="553"/>
      <c r="AC8" s="557"/>
      <c r="AD8" s="554"/>
      <c r="AE8" s="554"/>
      <c r="AF8" s="555"/>
      <c r="AG8" s="554"/>
      <c r="AH8" s="554"/>
      <c r="AI8" s="554"/>
      <c r="AJ8" s="555"/>
      <c r="AK8" s="554"/>
      <c r="AL8" s="554"/>
      <c r="AM8" s="287" t="s">
        <v>345</v>
      </c>
      <c r="AN8" s="554"/>
      <c r="AO8" s="554"/>
      <c r="AP8" s="554"/>
      <c r="AQ8" s="558"/>
      <c r="AR8" s="558"/>
      <c r="AS8" s="543"/>
      <c r="AT8" s="543"/>
      <c r="AU8" s="543"/>
      <c r="AV8" s="591"/>
      <c r="AW8" s="614"/>
      <c r="AX8" s="591"/>
      <c r="AY8" s="592"/>
      <c r="AZ8" s="592"/>
      <c r="BA8" s="554"/>
      <c r="BB8" s="554"/>
      <c r="BC8" s="554"/>
      <c r="BD8" s="556"/>
      <c r="BF8" s="626"/>
      <c r="BG8" s="626"/>
      <c r="BH8" s="626"/>
      <c r="BI8" s="626"/>
      <c r="BJ8" s="626"/>
      <c r="BK8" s="626"/>
      <c r="BL8" s="626"/>
      <c r="BM8" s="626"/>
      <c r="BN8" s="626"/>
      <c r="BO8" s="626"/>
      <c r="BP8" s="626"/>
      <c r="BQ8" s="626"/>
      <c r="BR8" s="626"/>
      <c r="BS8" s="626"/>
      <c r="BT8" s="626"/>
      <c r="BU8" s="626"/>
      <c r="BV8" s="626"/>
      <c r="BW8" s="626"/>
      <c r="BX8" s="626"/>
      <c r="BY8" s="626"/>
      <c r="BZ8" s="626"/>
      <c r="CA8" s="626"/>
      <c r="CB8" s="630" t="s">
        <v>222</v>
      </c>
      <c r="CC8" s="630"/>
      <c r="CD8" s="627"/>
      <c r="CE8" s="282"/>
      <c r="CF8" s="282"/>
      <c r="CG8" s="282"/>
      <c r="CH8" s="282"/>
      <c r="CI8" s="282"/>
      <c r="CJ8" s="282"/>
    </row>
    <row r="9" spans="2:90" ht="13.5" customHeight="1" x14ac:dyDescent="0.2">
      <c r="B9" s="541"/>
      <c r="C9" s="510"/>
      <c r="D9" s="281" t="s">
        <v>335</v>
      </c>
      <c r="E9" s="510" t="s">
        <v>358</v>
      </c>
      <c r="F9" s="680" t="s">
        <v>381</v>
      </c>
      <c r="G9" s="680"/>
      <c r="H9" s="510" t="s">
        <v>295</v>
      </c>
      <c r="I9" s="510" t="s">
        <v>393</v>
      </c>
      <c r="J9" s="510" t="s">
        <v>352</v>
      </c>
      <c r="K9" s="680" t="s">
        <v>75</v>
      </c>
      <c r="L9" s="681"/>
      <c r="M9" s="510" t="s">
        <v>376</v>
      </c>
      <c r="N9" s="510" t="s">
        <v>60</v>
      </c>
      <c r="O9" s="510"/>
      <c r="P9" s="510" t="s">
        <v>377</v>
      </c>
      <c r="Q9" s="510" t="s">
        <v>337</v>
      </c>
      <c r="R9" s="510"/>
      <c r="S9" s="510" t="s">
        <v>386</v>
      </c>
      <c r="T9" s="510" t="s">
        <v>352</v>
      </c>
      <c r="U9" s="510" t="s">
        <v>388</v>
      </c>
      <c r="V9" s="510" t="s">
        <v>390</v>
      </c>
      <c r="W9" s="510" t="s">
        <v>338</v>
      </c>
      <c r="X9" s="510" t="s">
        <v>390</v>
      </c>
      <c r="Y9" s="510" t="s">
        <v>356</v>
      </c>
      <c r="Z9" s="510" t="s">
        <v>379</v>
      </c>
      <c r="AA9" s="542"/>
      <c r="AB9" s="541"/>
      <c r="AC9" s="280" t="s">
        <v>39</v>
      </c>
      <c r="AD9" s="510" t="s">
        <v>364</v>
      </c>
      <c r="AE9" s="602" t="s">
        <v>419</v>
      </c>
      <c r="AF9" s="511" t="s">
        <v>371</v>
      </c>
      <c r="AG9" s="510"/>
      <c r="AH9" s="510" t="s">
        <v>341</v>
      </c>
      <c r="AI9" s="510" t="s">
        <v>368</v>
      </c>
      <c r="AJ9" s="511" t="s">
        <v>369</v>
      </c>
      <c r="AK9" s="280" t="s">
        <v>215</v>
      </c>
      <c r="AL9" s="510"/>
      <c r="AM9" s="510" t="s">
        <v>332</v>
      </c>
      <c r="AN9" s="510" t="s">
        <v>40</v>
      </c>
      <c r="AO9" s="510" t="s">
        <v>229</v>
      </c>
      <c r="AP9" s="623" t="s">
        <v>45</v>
      </c>
      <c r="AQ9" s="625" t="s">
        <v>222</v>
      </c>
      <c r="AR9" s="624" t="s">
        <v>416</v>
      </c>
      <c r="AS9" s="616" t="s">
        <v>59</v>
      </c>
      <c r="AT9" s="616" t="s">
        <v>60</v>
      </c>
      <c r="AU9" s="616" t="s">
        <v>61</v>
      </c>
      <c r="AV9" s="615" t="s">
        <v>366</v>
      </c>
      <c r="AW9" s="622" t="s">
        <v>406</v>
      </c>
      <c r="AX9" s="593"/>
      <c r="AY9" s="679" t="s">
        <v>373</v>
      </c>
      <c r="AZ9" s="679"/>
      <c r="BA9" s="510"/>
      <c r="BB9" s="511" t="s">
        <v>342</v>
      </c>
      <c r="BC9" s="510"/>
      <c r="BD9" s="542"/>
      <c r="BF9" s="626" t="s">
        <v>336</v>
      </c>
      <c r="BG9" s="626" t="s">
        <v>336</v>
      </c>
      <c r="BH9" s="626" t="s">
        <v>336</v>
      </c>
      <c r="BI9" s="626" t="s">
        <v>336</v>
      </c>
      <c r="BJ9" s="626" t="s">
        <v>336</v>
      </c>
      <c r="BK9" s="626" t="s">
        <v>393</v>
      </c>
      <c r="BL9" s="626" t="s">
        <v>336</v>
      </c>
      <c r="BM9" s="626" t="s">
        <v>336</v>
      </c>
      <c r="BN9" s="626" t="s">
        <v>336</v>
      </c>
      <c r="BO9" s="626" t="s">
        <v>336</v>
      </c>
      <c r="BP9" s="626" t="s">
        <v>336</v>
      </c>
      <c r="BQ9" s="626" t="s">
        <v>64</v>
      </c>
      <c r="BR9" s="626" t="s">
        <v>340</v>
      </c>
      <c r="BT9" s="631" t="s">
        <v>40</v>
      </c>
      <c r="BU9" s="631" t="s">
        <v>229</v>
      </c>
      <c r="BV9" s="631" t="s">
        <v>43</v>
      </c>
      <c r="BW9" s="631" t="s">
        <v>362</v>
      </c>
      <c r="BX9" s="631" t="s">
        <v>359</v>
      </c>
      <c r="BY9" s="631" t="s">
        <v>346</v>
      </c>
      <c r="BZ9" s="631" t="s">
        <v>360</v>
      </c>
      <c r="CB9" s="632" t="s">
        <v>417</v>
      </c>
      <c r="CC9" s="632" t="s">
        <v>434</v>
      </c>
      <c r="CD9" s="632" t="s">
        <v>431</v>
      </c>
      <c r="CL9" s="559"/>
    </row>
    <row r="10" spans="2:90" ht="13.5" customHeight="1" x14ac:dyDescent="0.2">
      <c r="B10" s="541"/>
      <c r="C10" s="510"/>
      <c r="D10" s="281"/>
      <c r="E10" s="510" t="s">
        <v>351</v>
      </c>
      <c r="F10" s="280" t="s">
        <v>21</v>
      </c>
      <c r="G10" s="280" t="s">
        <v>22</v>
      </c>
      <c r="H10" s="510"/>
      <c r="I10" s="280" t="s">
        <v>375</v>
      </c>
      <c r="J10" s="510" t="s">
        <v>353</v>
      </c>
      <c r="K10" s="280" t="s">
        <v>374</v>
      </c>
      <c r="L10" s="280" t="s">
        <v>375</v>
      </c>
      <c r="M10" s="510" t="s">
        <v>222</v>
      </c>
      <c r="N10" s="510"/>
      <c r="O10" s="510"/>
      <c r="P10" s="510" t="s">
        <v>378</v>
      </c>
      <c r="Q10" s="510"/>
      <c r="R10" s="510"/>
      <c r="S10" s="510" t="s">
        <v>387</v>
      </c>
      <c r="T10" s="510" t="s">
        <v>353</v>
      </c>
      <c r="U10" s="510" t="s">
        <v>389</v>
      </c>
      <c r="V10" s="510" t="s">
        <v>389</v>
      </c>
      <c r="W10" s="510" t="s">
        <v>339</v>
      </c>
      <c r="X10" s="510" t="s">
        <v>391</v>
      </c>
      <c r="Y10" s="510" t="s">
        <v>357</v>
      </c>
      <c r="Z10" s="510" t="s">
        <v>380</v>
      </c>
      <c r="AA10" s="542"/>
      <c r="AB10" s="541"/>
      <c r="AC10" s="280"/>
      <c r="AD10" s="510" t="s">
        <v>365</v>
      </c>
      <c r="AE10" s="602" t="s">
        <v>420</v>
      </c>
      <c r="AF10" s="510"/>
      <c r="AG10" s="510"/>
      <c r="AH10" s="510"/>
      <c r="AI10" s="510" t="s">
        <v>341</v>
      </c>
      <c r="AJ10" s="511" t="s">
        <v>370</v>
      </c>
      <c r="AK10" s="510"/>
      <c r="AL10" s="510"/>
      <c r="AM10" s="510"/>
      <c r="AN10" s="510"/>
      <c r="AO10" s="510"/>
      <c r="AP10" s="623"/>
      <c r="AQ10" s="623"/>
      <c r="AR10" s="623" t="s">
        <v>41</v>
      </c>
      <c r="AS10" s="612"/>
      <c r="AT10" s="616"/>
      <c r="AU10" s="616"/>
      <c r="AV10" s="615" t="s">
        <v>367</v>
      </c>
      <c r="AW10" s="615"/>
      <c r="AX10" s="593"/>
      <c r="AY10" s="594" t="s">
        <v>49</v>
      </c>
      <c r="AZ10" s="594" t="s">
        <v>372</v>
      </c>
      <c r="BA10" s="510"/>
      <c r="BB10" s="511" t="s">
        <v>343</v>
      </c>
      <c r="BC10" s="510"/>
      <c r="BD10" s="542"/>
      <c r="BF10" s="633">
        <f ca="1">NOW()</f>
        <v>41609.617900347221</v>
      </c>
      <c r="BG10" s="626" t="s">
        <v>351</v>
      </c>
      <c r="BH10" s="626" t="s">
        <v>351</v>
      </c>
      <c r="BI10" s="626" t="s">
        <v>355</v>
      </c>
      <c r="BJ10" s="626" t="s">
        <v>355</v>
      </c>
      <c r="BK10" s="634" t="s">
        <v>21</v>
      </c>
      <c r="BL10" s="626" t="s">
        <v>354</v>
      </c>
      <c r="BM10" s="626" t="s">
        <v>350</v>
      </c>
      <c r="BN10" s="626" t="s">
        <v>349</v>
      </c>
      <c r="BO10" s="630" t="s">
        <v>348</v>
      </c>
      <c r="BP10" s="626" t="s">
        <v>249</v>
      </c>
      <c r="BR10" s="626" t="s">
        <v>344</v>
      </c>
      <c r="BV10" s="630" t="s">
        <v>285</v>
      </c>
      <c r="BW10" s="626" t="s">
        <v>363</v>
      </c>
      <c r="BX10" s="626" t="s">
        <v>97</v>
      </c>
      <c r="BY10" s="626" t="s">
        <v>41</v>
      </c>
      <c r="BZ10" s="626" t="s">
        <v>361</v>
      </c>
      <c r="CB10" s="626" t="s">
        <v>418</v>
      </c>
      <c r="CC10" s="626" t="s">
        <v>435</v>
      </c>
      <c r="CD10" s="626" t="s">
        <v>432</v>
      </c>
    </row>
    <row r="11" spans="2:90" ht="13.5" customHeight="1" x14ac:dyDescent="0.2">
      <c r="B11" s="541"/>
      <c r="C11" s="510"/>
      <c r="D11" s="281"/>
      <c r="E11" s="510"/>
      <c r="F11" s="510"/>
      <c r="G11" s="510"/>
      <c r="H11" s="510"/>
      <c r="I11" s="510"/>
      <c r="J11" s="510"/>
      <c r="K11" s="510"/>
      <c r="L11" s="510"/>
      <c r="M11" s="510"/>
      <c r="N11" s="510"/>
      <c r="O11" s="510"/>
      <c r="P11" s="510"/>
      <c r="Q11" s="510"/>
      <c r="R11" s="510"/>
      <c r="S11" s="510"/>
      <c r="T11" s="510"/>
      <c r="U11" s="510"/>
      <c r="V11" s="510"/>
      <c r="W11" s="510"/>
      <c r="X11" s="510"/>
      <c r="Y11" s="510"/>
      <c r="Z11" s="510"/>
      <c r="AA11" s="542"/>
      <c r="AB11" s="541"/>
      <c r="AC11" s="280"/>
      <c r="AD11" s="510"/>
      <c r="AE11" s="510"/>
      <c r="AF11" s="510"/>
      <c r="AG11" s="510"/>
      <c r="AH11" s="510"/>
      <c r="AI11" s="510"/>
      <c r="AJ11" s="510"/>
      <c r="AK11" s="510"/>
      <c r="AL11" s="510"/>
      <c r="AM11" s="510"/>
      <c r="AN11" s="510"/>
      <c r="AO11" s="510"/>
      <c r="AP11" s="510"/>
      <c r="AQ11" s="510"/>
      <c r="AR11" s="510"/>
      <c r="AS11" s="543"/>
      <c r="AT11" s="285"/>
      <c r="AU11" s="285"/>
      <c r="AV11" s="285"/>
      <c r="AW11" s="616"/>
      <c r="AX11" s="285"/>
      <c r="AY11" s="511"/>
      <c r="AZ11" s="511"/>
      <c r="BA11" s="510"/>
      <c r="BB11" s="511"/>
      <c r="BC11" s="510"/>
      <c r="BD11" s="542"/>
      <c r="BF11" s="633"/>
      <c r="CB11" s="626"/>
      <c r="CC11" s="626"/>
      <c r="CD11" s="633"/>
    </row>
    <row r="12" spans="2:90" ht="13.5" customHeight="1" x14ac:dyDescent="0.2">
      <c r="B12" s="541"/>
      <c r="C12" s="560"/>
      <c r="D12" s="561"/>
      <c r="E12" s="560"/>
      <c r="F12" s="560"/>
      <c r="G12" s="560"/>
      <c r="H12" s="560"/>
      <c r="I12" s="560"/>
      <c r="J12" s="560"/>
      <c r="K12" s="560"/>
      <c r="L12" s="560"/>
      <c r="M12" s="560"/>
      <c r="N12" s="560"/>
      <c r="O12" s="560"/>
      <c r="P12" s="560"/>
      <c r="Q12" s="560"/>
      <c r="R12" s="560"/>
      <c r="S12" s="560"/>
      <c r="T12" s="560"/>
      <c r="U12" s="560"/>
      <c r="V12" s="560"/>
      <c r="W12" s="560"/>
      <c r="X12" s="560"/>
      <c r="Y12" s="560"/>
      <c r="Z12" s="560"/>
      <c r="AA12" s="562"/>
      <c r="AB12" s="563"/>
      <c r="AC12" s="564"/>
      <c r="AD12" s="560"/>
      <c r="AE12" s="560"/>
      <c r="AF12" s="560"/>
      <c r="AG12" s="560"/>
      <c r="AH12" s="560"/>
      <c r="AI12" s="560"/>
      <c r="AJ12" s="560"/>
      <c r="AK12" s="560"/>
      <c r="AL12" s="560"/>
      <c r="AM12" s="560"/>
      <c r="AN12" s="560"/>
      <c r="AO12" s="560"/>
      <c r="AP12" s="560"/>
      <c r="AQ12" s="560"/>
      <c r="AR12" s="560"/>
      <c r="AS12" s="565"/>
      <c r="AT12" s="566"/>
      <c r="AU12" s="566"/>
      <c r="AV12" s="566"/>
      <c r="AW12" s="617"/>
      <c r="AX12" s="566"/>
      <c r="AY12" s="560"/>
      <c r="AZ12" s="560"/>
      <c r="BA12" s="560"/>
      <c r="BB12" s="560"/>
      <c r="BC12" s="560"/>
      <c r="BD12" s="542"/>
      <c r="BF12" s="633"/>
      <c r="BK12" s="635"/>
      <c r="CB12" s="626"/>
      <c r="CC12" s="626"/>
      <c r="CD12" s="626"/>
    </row>
    <row r="13" spans="2:90" ht="13.5" customHeight="1" x14ac:dyDescent="0.2">
      <c r="B13" s="541"/>
      <c r="C13" s="560"/>
      <c r="D13" s="289" t="s">
        <v>32</v>
      </c>
      <c r="E13" s="290">
        <v>19511</v>
      </c>
      <c r="F13" s="291" t="s">
        <v>0</v>
      </c>
      <c r="G13" s="291">
        <v>15</v>
      </c>
      <c r="H13" s="293">
        <v>1</v>
      </c>
      <c r="I13" s="291" t="s">
        <v>73</v>
      </c>
      <c r="J13" s="291" t="s">
        <v>73</v>
      </c>
      <c r="K13" s="291" t="s">
        <v>76</v>
      </c>
      <c r="L13" s="291" t="s">
        <v>73</v>
      </c>
      <c r="M13" s="291" t="s">
        <v>73</v>
      </c>
      <c r="N13" s="295">
        <v>1</v>
      </c>
      <c r="O13" s="560"/>
      <c r="P13" s="292">
        <f>IF(F13="",0,(VLOOKUP('wgl tot'!F13,salaristabellen,'wgl tot'!G13+1,FALSE)))</f>
        <v>3274</v>
      </c>
      <c r="Q13" s="294">
        <f>+'wgl tot'!P13*'wgl tot'!H13</f>
        <v>3274</v>
      </c>
      <c r="R13" s="560"/>
      <c r="S13" s="296">
        <f>ROUND(IF(I13="j",VLOOKUP(BK13,uitlooptoeslag,2,FALSE))*IF('wgl tot'!H13&gt;1,1,'wgl tot'!H13),2)</f>
        <v>29.24</v>
      </c>
      <c r="T13" s="296">
        <f>ROUND(IF(OR('wgl tot'!F13="LA",'wgl tot'!F13="LB"),IF(J13="j",tabellen!$C$75*'wgl tot'!H13,0),0),2)</f>
        <v>61</v>
      </c>
      <c r="U13" s="296">
        <f>ROUND(IF(('wgl tot'!Q13+'wgl tot'!S13+'wgl tot'!T13)*BM13&lt;'wgl tot'!H13*tabellen!$D$87,'wgl tot'!H13*tabellen!$D$87,('wgl tot'!Q13+'wgl tot'!S13+'wgl tot'!T13)*BM13),2)</f>
        <v>269.14</v>
      </c>
      <c r="V13" s="296">
        <f>ROUND(+('wgl tot'!Q13+'wgl tot'!S13+'wgl tot'!T13)*BN13,2)</f>
        <v>211.95</v>
      </c>
      <c r="W13" s="296">
        <f>+tabellen!$C$83*'wgl tot'!H13</f>
        <v>32.409999999999997</v>
      </c>
      <c r="X13" s="296">
        <f>VLOOKUP(BO13,eindejaarsuitkering_OOP,2,TRUE)*'wgl tot'!H13/12</f>
        <v>0</v>
      </c>
      <c r="Y13" s="296">
        <f>ROUND(IF(BP13="j",tabellen!$D$96*IF('wgl tot'!H13&gt;1,1,'wgl tot'!H13),0),2)</f>
        <v>0</v>
      </c>
      <c r="Z13" s="297">
        <f>+'wgl tot'!Q13+S13+T13+U13+V13+W13+X13+Y13</f>
        <v>3877.7399999999993</v>
      </c>
      <c r="AA13" s="562"/>
      <c r="AB13" s="563"/>
      <c r="AC13" s="292">
        <f>+'wgl tot'!Z13*12</f>
        <v>46532.87999999999</v>
      </c>
      <c r="AD13" s="296">
        <f>ROUND(IF(L13="j",VLOOKUP(K13,bindingstoelage,2,FALSE))*IF('wgl tot'!H13&gt;1,1,'wgl tot'!H13),2)</f>
        <v>715.21</v>
      </c>
      <c r="AE13" s="296">
        <f>ROUND('wgl tot'!H13*tabellen!$D$94,2)</f>
        <v>200</v>
      </c>
      <c r="AF13" s="292">
        <f>ROUND((AC13+AD13+AE13),0)</f>
        <v>47448</v>
      </c>
      <c r="AG13" s="560"/>
      <c r="AH13" s="296">
        <f>+('wgl tot'!AF13/(1+1.9%))*BQ13</f>
        <v>884.70264965652609</v>
      </c>
      <c r="AI13" s="296">
        <f>IF(F13="",0,(791.85))</f>
        <v>791.85</v>
      </c>
      <c r="AJ13" s="292">
        <f>ROUND('wgl tot'!AF13-IF('wgl tot'!AI13&gt;'wgl tot'!AH13,'wgl tot'!AH13,'wgl tot'!AI13),0)</f>
        <v>46656</v>
      </c>
      <c r="AK13" s="298">
        <f>IF('wgl tot'!E13&lt;1950,0,+('wgl tot'!Q13+'wgl tot'!S13+'wgl tot'!T13)*tabellen!$C$85)*12</f>
        <v>322.96704</v>
      </c>
      <c r="AL13" s="560"/>
      <c r="AM13" s="296">
        <f>+'wgl tot'!AF13/12</f>
        <v>3954</v>
      </c>
      <c r="AN13" s="296">
        <f>IF(F13="",0,(IF('wgl tot'!AJ13/'wgl tot'!H13&lt;tabellen!$E$54,0,('wgl tot'!AJ13-tabellen!$E$54*'wgl tot'!H13)/12)*tabellen!$C$54))</f>
        <v>531.27552500000002</v>
      </c>
      <c r="AO13" s="296">
        <f>IF(F13="",0,(IF('wgl tot'!AJ13/'wgl tot'!H13&lt;tabellen!$E$55,0,(+'wgl tot'!AJ13-tabellen!$E$55*'wgl tot'!H13)/12)*tabellen!$C$55))</f>
        <v>6.9139999999999997</v>
      </c>
      <c r="AP13" s="296">
        <f>'wgl tot'!AJ13/12*tabellen!$C$56</f>
        <v>62.207999999999998</v>
      </c>
      <c r="AQ13" s="296">
        <f ca="1">IF(F13="",0,IF(CD13=0,IF(CB13=0,IF('wgl tot'!BX13&gt;tabellen!$G$57/12,tabellen!$G$57/12,'wgl tot'!BX13)*(tabellen!$C$57+tabellen!$C$58+tabellen!$C$59),IF('wgl tot'!BX13&gt;tabellen!$G$57/12,tabellen!$G$57/12,'wgl tot'!BX13)*(tabellen!$C$58+tabellen!$C$59)),IF('wgl tot'!BX13&gt;tabellen!$G$57/12,tabellen!$G$57/12,'wgl tot'!BX13)*(tabellen!$C$57+tabellen!$C$58+tabellen!$C$59)))</f>
        <v>19.720094103000001</v>
      </c>
      <c r="AR13" s="296">
        <f>IF(F13="",0,('wgl tot'!BY13))</f>
        <v>283.02</v>
      </c>
      <c r="AS13" s="299">
        <f>IF(F13="",0,(IF('wgl tot'!BX13&gt;tabellen!$G$62*'wgl tot'!H13/12,tabellen!$G$62*'wgl tot'!H13/12,'wgl tot'!BX13)*tabellen!$C$62))</f>
        <v>46.743926762666675</v>
      </c>
      <c r="AT13" s="299">
        <f>IF(F13="",0,('wgl tot'!BX13*IF(N13=1,tabellen!$C$63,IF(N13=2,tabellen!C64,IF(N13=3,tabellen!$C$65,tabellen!$C$66)))))</f>
        <v>283.75024292650005</v>
      </c>
      <c r="AU13" s="299">
        <f>IF(F13="",0,('wgl tot'!BX13*tabellen!$C$67))</f>
        <v>109.55607835000001</v>
      </c>
      <c r="AV13" s="299">
        <f>+'wgl tot'!AK13/12</f>
        <v>26.913920000000001</v>
      </c>
      <c r="AW13" s="618">
        <v>0</v>
      </c>
      <c r="AX13" s="299">
        <f ca="1">SUM(AM13:AV13)</f>
        <v>5324.1017871421673</v>
      </c>
      <c r="AY13" s="294">
        <f ca="1">SUM(AM13:AW13)</f>
        <v>5324.1017871421673</v>
      </c>
      <c r="AZ13" s="300">
        <f ca="1">AY13*12</f>
        <v>63889.221445706004</v>
      </c>
      <c r="BA13" s="560"/>
      <c r="BB13" s="301">
        <f ca="1">IF(AY13=0,"",(+'wgl tot'!AY13/'wgl tot'!Q13-1))</f>
        <v>0.62617647744110183</v>
      </c>
      <c r="BC13" s="560"/>
      <c r="BD13" s="542"/>
      <c r="BF13" s="636">
        <f ca="1">YEAR('wgl tot'!$BF$10)-YEAR('wgl tot'!E13)</f>
        <v>60</v>
      </c>
      <c r="BG13" s="637">
        <f ca="1">MONTH('wgl tot'!$BF$10)-MONTH('wgl tot'!E13)</f>
        <v>6</v>
      </c>
      <c r="BH13" s="637">
        <f ca="1">DAY('wgl tot'!$BF$10)-DAY('wgl tot'!E13)</f>
        <v>0</v>
      </c>
      <c r="BI13" s="638">
        <f>IF(AND('wgl tot'!F13&gt;0,'wgl tot'!F13&lt;15),0,100)</f>
        <v>100</v>
      </c>
      <c r="BJ13" s="638">
        <f>VLOOKUP('wgl tot'!F13,salaristabellen,22,FALSE)</f>
        <v>15</v>
      </c>
      <c r="BK13" s="635" t="str">
        <f t="shared" ref="BK13:BK44" si="0">F13</f>
        <v>LA</v>
      </c>
      <c r="BL13" s="639">
        <v>41275</v>
      </c>
      <c r="BM13" s="640">
        <v>0.08</v>
      </c>
      <c r="BN13" s="641">
        <f>+tabellen!$D$88</f>
        <v>6.3E-2</v>
      </c>
      <c r="BO13" s="637">
        <f>IF('wgl tot'!BI13=100,0,'wgl tot'!F13)</f>
        <v>0</v>
      </c>
      <c r="BP13" s="641" t="str">
        <f>IF(OR('wgl tot'!F13="DA",'wgl tot'!F13="DB",'wgl tot'!F13="DBuit",'wgl tot'!F13="DC",'wgl tot'!F13="DCuit",MID('wgl tot'!F13,1,5)="meerh"),"j","n")</f>
        <v>n</v>
      </c>
      <c r="BQ13" s="642">
        <v>1.9E-2</v>
      </c>
      <c r="BR13" s="643">
        <f>IF(AI13&gt;'wgl tot'!AH13,'wgl tot'!AH13,AI13)</f>
        <v>791.85</v>
      </c>
      <c r="BS13" s="643"/>
      <c r="BT13" s="644">
        <f>IF('wgl tot'!AJ13/'wgl tot'!H13&lt;tabellen!$E$54,0,(+'wgl tot'!AJ13-tabellen!$E$54*'wgl tot'!H13)/12*tabellen!$D$54)</f>
        <v>233.427975</v>
      </c>
      <c r="BU13" s="644">
        <f>IF('wgl tot'!AJ13/'wgl tot'!H13&lt;tabellen!$E$55,0,(+'wgl tot'!AJ13-tabellen!$E$55*'wgl tot'!H13)/12*tabellen!$D$55)</f>
        <v>2.3046666666666664</v>
      </c>
      <c r="BV13" s="644">
        <f>'wgl tot'!AJ13/12*tabellen!$D$56</f>
        <v>93.311999999999998</v>
      </c>
      <c r="BW13" s="645">
        <f t="shared" ref="BW13:BW25" si="1">SUM(BT13:BV13)</f>
        <v>329.04464166666668</v>
      </c>
      <c r="BX13" s="646">
        <f>+('wgl tot'!AF13+'wgl tot'!AK13)/12-'wgl tot'!BW13</f>
        <v>3651.8692783333336</v>
      </c>
      <c r="BY13" s="646">
        <f>ROUND(IF('wgl tot'!BX13&gt;tabellen!$H$61,tabellen!$H$61,'wgl tot'!BX13)*tabellen!$C$61,2)</f>
        <v>283.02</v>
      </c>
      <c r="BZ13" s="646">
        <f>+'wgl tot'!BX13</f>
        <v>3651.8692783333336</v>
      </c>
      <c r="CA13" s="643"/>
      <c r="CB13" s="638">
        <f>IF(AND(M13="j",tabellen!$C$118&gt;=E13),1,0)</f>
        <v>1</v>
      </c>
      <c r="CC13" s="647">
        <f>IF(D13="","",DATE((YEAR(E13)+62),MONTH(E13),DAY(E13)))</f>
        <v>42156</v>
      </c>
      <c r="CD13" s="648">
        <f ca="1">IF(CC13="","",IF($BF$10&gt;=CC13,1,0))</f>
        <v>0</v>
      </c>
      <c r="CE13" s="286"/>
      <c r="CF13" s="286"/>
      <c r="CG13" s="286"/>
      <c r="CH13" s="286"/>
      <c r="CI13" s="286"/>
      <c r="CJ13" s="286"/>
    </row>
    <row r="14" spans="2:90" ht="13.5" customHeight="1" x14ac:dyDescent="0.2">
      <c r="B14" s="541"/>
      <c r="C14" s="560"/>
      <c r="D14" s="289" t="s">
        <v>32</v>
      </c>
      <c r="E14" s="290">
        <v>19725</v>
      </c>
      <c r="F14" s="291" t="s">
        <v>0</v>
      </c>
      <c r="G14" s="291">
        <v>15</v>
      </c>
      <c r="H14" s="293">
        <v>1</v>
      </c>
      <c r="I14" s="291" t="s">
        <v>73</v>
      </c>
      <c r="J14" s="291" t="s">
        <v>73</v>
      </c>
      <c r="K14" s="291" t="s">
        <v>76</v>
      </c>
      <c r="L14" s="291" t="s">
        <v>73</v>
      </c>
      <c r="M14" s="291" t="s">
        <v>73</v>
      </c>
      <c r="N14" s="295">
        <v>1</v>
      </c>
      <c r="O14" s="560"/>
      <c r="P14" s="292">
        <f>IF(F14="",0,(VLOOKUP('wgl tot'!F14,salaristabellen,'wgl tot'!G14+1,FALSE)))</f>
        <v>3274</v>
      </c>
      <c r="Q14" s="294">
        <f>+'wgl tot'!P14*'wgl tot'!H14</f>
        <v>3274</v>
      </c>
      <c r="R14" s="560"/>
      <c r="S14" s="296">
        <f>ROUND(IF(I14="j",VLOOKUP(BK14,uitlooptoeslag,2,FALSE))*IF('wgl tot'!H14&gt;1,1,'wgl tot'!H14),2)</f>
        <v>29.24</v>
      </c>
      <c r="T14" s="296">
        <f>ROUND(IF(OR('wgl tot'!F14="LA",'wgl tot'!F14="LB"),IF(J14="j",tabellen!$C$75*'wgl tot'!H14,0),0),2)</f>
        <v>61</v>
      </c>
      <c r="U14" s="296">
        <f>ROUND(IF(('wgl tot'!Q14+'wgl tot'!S14+'wgl tot'!T14)*BM14&lt;'wgl tot'!H14*tabellen!$D$87,'wgl tot'!H14*tabellen!$D$87,('wgl tot'!Q14+'wgl tot'!S14+'wgl tot'!T14)*BM14),2)</f>
        <v>269.14</v>
      </c>
      <c r="V14" s="296">
        <f>ROUND(+('wgl tot'!Q14+'wgl tot'!S14+'wgl tot'!T14)*BN14,2)</f>
        <v>211.95</v>
      </c>
      <c r="W14" s="296">
        <f>+tabellen!$C$83*'wgl tot'!H14</f>
        <v>32.409999999999997</v>
      </c>
      <c r="X14" s="296">
        <f>VLOOKUP(BO14,eindejaarsuitkering_OOP,2,TRUE)*'wgl tot'!H14/12</f>
        <v>0</v>
      </c>
      <c r="Y14" s="296">
        <f>ROUND(IF(BP14="j",tabellen!$D$96*IF('wgl tot'!H14&gt;1,1,'wgl tot'!H14),0),2)</f>
        <v>0</v>
      </c>
      <c r="Z14" s="297">
        <f>+'wgl tot'!Q14+S14+T14+U14+V14+W14+X14+Y14</f>
        <v>3877.7399999999993</v>
      </c>
      <c r="AA14" s="562"/>
      <c r="AB14" s="563"/>
      <c r="AC14" s="292">
        <f>+'wgl tot'!Z14*12</f>
        <v>46532.87999999999</v>
      </c>
      <c r="AD14" s="296">
        <f>ROUND(IF(L14="j",VLOOKUP(K14,bindingstoelage,2,FALSE))*IF('wgl tot'!H14&gt;1,1,'wgl tot'!H14),2)</f>
        <v>715.21</v>
      </c>
      <c r="AE14" s="296">
        <f>ROUND('wgl tot'!H14*tabellen!$D$94,2)</f>
        <v>200</v>
      </c>
      <c r="AF14" s="292">
        <f t="shared" ref="AF14:AF25" si="2">ROUND((AC14+AD14+AE14),0)</f>
        <v>47448</v>
      </c>
      <c r="AG14" s="560"/>
      <c r="AH14" s="296">
        <f>+('wgl tot'!AF14/(1+1.9%))*BQ14</f>
        <v>884.70264965652609</v>
      </c>
      <c r="AI14" s="296">
        <f>IF(F14="",0,(791.85))</f>
        <v>791.85</v>
      </c>
      <c r="AJ14" s="292">
        <f>ROUND('wgl tot'!AF14-IF('wgl tot'!AI14&gt;'wgl tot'!AH14,'wgl tot'!AH14,'wgl tot'!AI14),0)</f>
        <v>46656</v>
      </c>
      <c r="AK14" s="298">
        <f>IF('wgl tot'!E14&lt;1950,0,+('wgl tot'!Q14+'wgl tot'!S14+'wgl tot'!T14)*tabellen!$C$85)*12</f>
        <v>322.96704</v>
      </c>
      <c r="AL14" s="560"/>
      <c r="AM14" s="296">
        <f>+'wgl tot'!AF14/12</f>
        <v>3954</v>
      </c>
      <c r="AN14" s="296">
        <f>IF(F14="",0,(IF('wgl tot'!AJ14/'wgl tot'!H14&lt;tabellen!$E$54,0,('wgl tot'!AJ14-tabellen!$E$54*'wgl tot'!H14)/12)*tabellen!$C$54))</f>
        <v>531.27552500000002</v>
      </c>
      <c r="AO14" s="296">
        <f>IF(F14="",0,(IF('wgl tot'!AJ14/'wgl tot'!H14&lt;tabellen!$E$55,0,(+'wgl tot'!AJ14-tabellen!$E$55*'wgl tot'!H14)/12)*tabellen!$C$55))</f>
        <v>6.9139999999999997</v>
      </c>
      <c r="AP14" s="296">
        <f>'wgl tot'!AJ14/12*tabellen!$C$56</f>
        <v>62.207999999999998</v>
      </c>
      <c r="AQ14" s="296">
        <f ca="1">IF(F14="",0,IF(CD14=0,IF(CB14=0,IF('wgl tot'!BX14&gt;tabellen!$G$57/12,tabellen!$G$57/12,'wgl tot'!BX14)*(tabellen!$C$57+tabellen!$C$58+tabellen!$C$59),IF('wgl tot'!BX14&gt;tabellen!$G$57/12,tabellen!$G$57/12,'wgl tot'!BX14)*(tabellen!$C$58+tabellen!$C$59)),IF('wgl tot'!BX14&gt;tabellen!$G$57/12,tabellen!$G$57/12,'wgl tot'!BX14)*(tabellen!$C$57+tabellen!$C$58+tabellen!$C$59)))</f>
        <v>189.53201554550003</v>
      </c>
      <c r="AR14" s="296">
        <f>IF(F14="",0,('wgl tot'!BY14))</f>
        <v>283.02</v>
      </c>
      <c r="AS14" s="299">
        <f>IF(F14="",0,(IF('wgl tot'!BX14&gt;tabellen!$G$62*'wgl tot'!H14/12,tabellen!$G$62*'wgl tot'!H14/12,'wgl tot'!BX14)*tabellen!$C$62))</f>
        <v>46.743926762666675</v>
      </c>
      <c r="AT14" s="299">
        <f>IF(F14="",0,('wgl tot'!BX14*IF(N14=1,tabellen!$C$63,IF(N14=2,tabellen!C65,IF(N14=3,tabellen!$C$65,tabellen!$C$66)))))</f>
        <v>283.75024292650005</v>
      </c>
      <c r="AU14" s="299">
        <f>IF(F14="",0,('wgl tot'!BX14*tabellen!$C$67))</f>
        <v>109.55607835000001</v>
      </c>
      <c r="AV14" s="299">
        <f>+'wgl tot'!AK14/12</f>
        <v>26.913920000000001</v>
      </c>
      <c r="AW14" s="618">
        <v>0</v>
      </c>
      <c r="AX14" s="299">
        <f t="shared" ref="AX14:AX67" ca="1" si="3">SUM(AM14:AV14)</f>
        <v>5493.9137085846678</v>
      </c>
      <c r="AY14" s="294">
        <f t="shared" ref="AY14:AY67" ca="1" si="4">SUM(AM14:AW14)</f>
        <v>5493.9137085846678</v>
      </c>
      <c r="AZ14" s="300">
        <f t="shared" ref="AZ14:AZ67" ca="1" si="5">AY14*12</f>
        <v>65926.964503016017</v>
      </c>
      <c r="BA14" s="560"/>
      <c r="BB14" s="301">
        <f ca="1">IF(AY14=0,"",(+'wgl tot'!AY14/'wgl tot'!Q14-1))</f>
        <v>0.67804328301303229</v>
      </c>
      <c r="BC14" s="560"/>
      <c r="BD14" s="542"/>
      <c r="BF14" s="649">
        <f ca="1">YEAR('wgl tot'!$BF$10)-YEAR('wgl tot'!E14)</f>
        <v>59</v>
      </c>
      <c r="BG14" s="650">
        <f ca="1">MONTH('wgl tot'!$BF$10)-MONTH('wgl tot'!E14)</f>
        <v>11</v>
      </c>
      <c r="BH14" s="650">
        <f ca="1">DAY('wgl tot'!$BF$10)-DAY('wgl tot'!E14)</f>
        <v>0</v>
      </c>
      <c r="BI14" s="635">
        <f>IF(AND('wgl tot'!F14&gt;0,'wgl tot'!F14&lt;16),0,100)</f>
        <v>100</v>
      </c>
      <c r="BJ14" s="635">
        <f>VLOOKUP('wgl tot'!F14,salaristabellen,22,FALSE)</f>
        <v>15</v>
      </c>
      <c r="BK14" s="635" t="str">
        <f t="shared" si="0"/>
        <v>LA</v>
      </c>
      <c r="BL14" s="651">
        <f>$BL$13</f>
        <v>41275</v>
      </c>
      <c r="BM14" s="652">
        <f>$BM$13</f>
        <v>0.08</v>
      </c>
      <c r="BN14" s="653">
        <f>+tabellen!$D$88</f>
        <v>6.3E-2</v>
      </c>
      <c r="BO14" s="650">
        <f>IF('wgl tot'!BI14=100,0,'wgl tot'!F14)</f>
        <v>0</v>
      </c>
      <c r="BP14" s="653" t="str">
        <f>IF(OR('wgl tot'!F14="DA",'wgl tot'!F14="DB",'wgl tot'!F14="DBuit",'wgl tot'!F14="DC",'wgl tot'!F14="DCuit",MID('wgl tot'!F14,1,5)="meerh"),"j","n")</f>
        <v>n</v>
      </c>
      <c r="BQ14" s="653">
        <f>$BQ$13</f>
        <v>1.9E-2</v>
      </c>
      <c r="BR14" s="654">
        <f>IF(AI14&gt;'wgl tot'!AH14,'wgl tot'!AH14,AI14)</f>
        <v>791.85</v>
      </c>
      <c r="BS14" s="654"/>
      <c r="BT14" s="655">
        <f>IF('wgl tot'!AJ14/'wgl tot'!H14&lt;tabellen!$E$54,0,(+'wgl tot'!AJ14-tabellen!$E$54*'wgl tot'!H14)/12*tabellen!$D$54)</f>
        <v>233.427975</v>
      </c>
      <c r="BU14" s="655">
        <f>IF('wgl tot'!AJ14/'wgl tot'!H14&lt;tabellen!$E$55,0,(+'wgl tot'!AJ14-tabellen!$E$55*'wgl tot'!H14)/12*tabellen!$D$55)</f>
        <v>2.3046666666666664</v>
      </c>
      <c r="BV14" s="655">
        <f>'wgl tot'!AJ14/12*tabellen!$D$56</f>
        <v>93.311999999999998</v>
      </c>
      <c r="BW14" s="656">
        <f t="shared" si="1"/>
        <v>329.04464166666668</v>
      </c>
      <c r="BX14" s="657">
        <f>+('wgl tot'!AF14+'wgl tot'!AK14)/12-'wgl tot'!BW14</f>
        <v>3651.8692783333336</v>
      </c>
      <c r="BY14" s="657">
        <f>ROUND(IF('wgl tot'!BX14&gt;tabellen!$H$61,tabellen!$H$61,'wgl tot'!BX14)*tabellen!$C$61,2)</f>
        <v>283.02</v>
      </c>
      <c r="BZ14" s="646">
        <f>+'wgl tot'!BX14</f>
        <v>3651.8692783333336</v>
      </c>
      <c r="CA14" s="654"/>
      <c r="CB14" s="635">
        <f>IF(AND(M14="j",tabellen!$C$118&gt;=E14),1,0)</f>
        <v>0</v>
      </c>
      <c r="CC14" s="647">
        <f t="shared" ref="CC14:CC67" si="6">IF(D14="","",DATE((YEAR(E14)+62),MONTH(E14),DAY(E14)))</f>
        <v>42370</v>
      </c>
      <c r="CD14" s="648">
        <f t="shared" ref="CD14:CD67" ca="1" si="7">IF(CC14="","",IF($BF$10&gt;=CC14,1,0))</f>
        <v>0</v>
      </c>
      <c r="CE14" s="286"/>
      <c r="CF14" s="286"/>
      <c r="CG14" s="286"/>
      <c r="CH14" s="286"/>
      <c r="CI14" s="286"/>
      <c r="CJ14" s="286"/>
    </row>
    <row r="15" spans="2:90" ht="13.5" customHeight="1" x14ac:dyDescent="0.2">
      <c r="B15" s="541"/>
      <c r="C15" s="560"/>
      <c r="D15" s="289"/>
      <c r="E15" s="290"/>
      <c r="F15" s="291"/>
      <c r="G15" s="291"/>
      <c r="H15" s="293"/>
      <c r="I15" s="291"/>
      <c r="J15" s="291"/>
      <c r="K15" s="291"/>
      <c r="L15" s="291"/>
      <c r="M15" s="291"/>
      <c r="N15" s="295"/>
      <c r="O15" s="560"/>
      <c r="P15" s="292">
        <f>IF(F15="",0,(VLOOKUP('wgl tot'!F15,salaristabellen,'wgl tot'!G15+1,FALSE)))</f>
        <v>0</v>
      </c>
      <c r="Q15" s="294">
        <f>+'wgl tot'!P15*'wgl tot'!H15</f>
        <v>0</v>
      </c>
      <c r="R15" s="560"/>
      <c r="S15" s="296">
        <f>ROUND(IF(I15="j",VLOOKUP(BK15,uitlooptoeslag,2,FALSE))*IF('wgl tot'!H15&gt;1,1,'wgl tot'!H15),2)</f>
        <v>0</v>
      </c>
      <c r="T15" s="296">
        <f>ROUND(IF(OR('wgl tot'!F15="LA",'wgl tot'!F15="LB"),IF(J15="j",tabellen!$C$75*'wgl tot'!H15,0),0),2)</f>
        <v>0</v>
      </c>
      <c r="U15" s="296">
        <f>ROUND(IF(('wgl tot'!Q15+'wgl tot'!S15+'wgl tot'!T15)*BM15&lt;'wgl tot'!H15*tabellen!$D$87,'wgl tot'!H15*tabellen!$D$87,('wgl tot'!Q15+'wgl tot'!S15+'wgl tot'!T15)*BM15),2)</f>
        <v>0</v>
      </c>
      <c r="V15" s="296">
        <f>ROUND(+('wgl tot'!Q15+'wgl tot'!S15+'wgl tot'!T15)*BN15,2)</f>
        <v>0</v>
      </c>
      <c r="W15" s="296">
        <f>+tabellen!$C$83*'wgl tot'!H15</f>
        <v>0</v>
      </c>
      <c r="X15" s="296">
        <f>VLOOKUP(BO15,eindejaarsuitkering_OOP,2,TRUE)*'wgl tot'!H15/12</f>
        <v>0</v>
      </c>
      <c r="Y15" s="296">
        <f>ROUND(IF(BP15="j",tabellen!$D$96*IF('wgl tot'!H15&gt;1,1,'wgl tot'!H15),0),2)</f>
        <v>0</v>
      </c>
      <c r="Z15" s="297">
        <f>+'wgl tot'!Q15+S15+T15+U15+V15+W15+X15+Y15</f>
        <v>0</v>
      </c>
      <c r="AA15" s="562"/>
      <c r="AB15" s="563"/>
      <c r="AC15" s="292">
        <f>+'wgl tot'!Z15*12</f>
        <v>0</v>
      </c>
      <c r="AD15" s="296">
        <f>ROUND(IF(L15="j",VLOOKUP(K15,bindingstoelage,2,FALSE))*IF('wgl tot'!H15&gt;1,1,'wgl tot'!H15),2)</f>
        <v>0</v>
      </c>
      <c r="AE15" s="296">
        <f>ROUND('wgl tot'!H15*tabellen!$D$94,2)</f>
        <v>0</v>
      </c>
      <c r="AF15" s="292">
        <f t="shared" si="2"/>
        <v>0</v>
      </c>
      <c r="AG15" s="560"/>
      <c r="AH15" s="296">
        <f>+('wgl tot'!AF15/(1+1.9%))*BQ15</f>
        <v>0</v>
      </c>
      <c r="AI15" s="296">
        <f>IF(F15="",0,(791.85))</f>
        <v>0</v>
      </c>
      <c r="AJ15" s="292">
        <f>ROUND('wgl tot'!AF15-IF('wgl tot'!AI15&gt;'wgl tot'!AH15,'wgl tot'!AH15,'wgl tot'!AI15),0)</f>
        <v>0</v>
      </c>
      <c r="AK15" s="298">
        <f>IF('wgl tot'!E15&lt;1950,0,+('wgl tot'!Q15+'wgl tot'!S15+'wgl tot'!T15)*tabellen!$C$85)*12</f>
        <v>0</v>
      </c>
      <c r="AL15" s="560"/>
      <c r="AM15" s="296">
        <f>+'wgl tot'!AF15/12</f>
        <v>0</v>
      </c>
      <c r="AN15" s="296">
        <f>IF(F15="",0,(IF('wgl tot'!AJ15/'wgl tot'!H15&lt;tabellen!$E$54,0,('wgl tot'!AJ15-tabellen!$E$54*'wgl tot'!H15)/12)*tabellen!$C$54))</f>
        <v>0</v>
      </c>
      <c r="AO15" s="296">
        <f>IF(F15="",0,(IF('wgl tot'!AJ15/'wgl tot'!H15&lt;tabellen!$E$55,0,(+'wgl tot'!AJ15-tabellen!$E$55*'wgl tot'!H15)/12)*tabellen!$C$55))</f>
        <v>0</v>
      </c>
      <c r="AP15" s="296">
        <f>'wgl tot'!AJ15/12*tabellen!$C$56</f>
        <v>0</v>
      </c>
      <c r="AQ15" s="296">
        <f>IF(F15="",0,IF(CD15=0,IF(CB15=0,IF('wgl tot'!BX15&gt;tabellen!$G$57/12,tabellen!$G$57/12,'wgl tot'!BX15)*(tabellen!$C$57+tabellen!$C$58+tabellen!$C$59),IF('wgl tot'!BX15&gt;tabellen!$G$57/12,tabellen!$G$57/12,'wgl tot'!BX15)*(tabellen!$C$58+tabellen!$C$59)),IF('wgl tot'!BX15&gt;tabellen!$G$57/12,tabellen!$G$57/12,'wgl tot'!BX15)*(tabellen!$C$57+tabellen!$C$58+tabellen!$C$59)))</f>
        <v>0</v>
      </c>
      <c r="AR15" s="296">
        <f>IF(F15="",0,('wgl tot'!BY15))</f>
        <v>0</v>
      </c>
      <c r="AS15" s="299">
        <f>IF(F15="",0,(IF('wgl tot'!BX15&gt;tabellen!$G$62*'wgl tot'!H15/12,tabellen!$G$62*'wgl tot'!H15/12,'wgl tot'!BX15)*tabellen!$C$62))</f>
        <v>0</v>
      </c>
      <c r="AT15" s="299">
        <f>IF(F15="",0,('wgl tot'!BX15*IF(N15=1,tabellen!$C$63,IF(N15=2,tabellen!C66,IF(N15=3,tabellen!$C$65,tabellen!$C$66)))))</f>
        <v>0</v>
      </c>
      <c r="AU15" s="299">
        <f>IF(F15="",0,('wgl tot'!BX15*tabellen!$C$67))</f>
        <v>0</v>
      </c>
      <c r="AV15" s="299">
        <f>+'wgl tot'!AK15/12</f>
        <v>0</v>
      </c>
      <c r="AW15" s="618">
        <v>0</v>
      </c>
      <c r="AX15" s="299">
        <f t="shared" si="3"/>
        <v>0</v>
      </c>
      <c r="AY15" s="294">
        <f t="shared" si="4"/>
        <v>0</v>
      </c>
      <c r="AZ15" s="300">
        <f t="shared" si="5"/>
        <v>0</v>
      </c>
      <c r="BA15" s="560"/>
      <c r="BB15" s="301" t="str">
        <f>IF(AY15=0,"",(+'wgl tot'!AY15/'wgl tot'!Q15-1))</f>
        <v/>
      </c>
      <c r="BC15" s="560"/>
      <c r="BD15" s="542"/>
      <c r="BF15" s="649">
        <f ca="1">YEAR('wgl tot'!$BF$10)-YEAR('wgl tot'!E15)</f>
        <v>113</v>
      </c>
      <c r="BG15" s="650">
        <f ca="1">MONTH('wgl tot'!$BF$10)-MONTH('wgl tot'!E15)</f>
        <v>11</v>
      </c>
      <c r="BH15" s="650">
        <f ca="1">DAY('wgl tot'!$BF$10)-DAY('wgl tot'!E15)</f>
        <v>1</v>
      </c>
      <c r="BI15" s="635">
        <f>IF(AND('wgl tot'!F15&gt;0,'wgl tot'!F15&lt;16),0,100)</f>
        <v>100</v>
      </c>
      <c r="BJ15" s="635" t="e">
        <f>VLOOKUP('wgl tot'!F15,salaristabellen,22,FALSE)</f>
        <v>#N/A</v>
      </c>
      <c r="BK15" s="635">
        <f t="shared" si="0"/>
        <v>0</v>
      </c>
      <c r="BL15" s="651">
        <f t="shared" ref="BL15:BL67" si="8">$BL$13</f>
        <v>41275</v>
      </c>
      <c r="BM15" s="652">
        <f t="shared" ref="BM15:BM67" si="9">$BM$13</f>
        <v>0.08</v>
      </c>
      <c r="BN15" s="653">
        <f>+tabellen!$D$88</f>
        <v>6.3E-2</v>
      </c>
      <c r="BO15" s="650">
        <f>IF('wgl tot'!BI15=100,0,'wgl tot'!F15)</f>
        <v>0</v>
      </c>
      <c r="BP15" s="653" t="str">
        <f>IF(OR('wgl tot'!F15="DA",'wgl tot'!F15="DB",'wgl tot'!F15="DBuit",'wgl tot'!F15="DC",'wgl tot'!F15="DCuit",MID('wgl tot'!F15,1,5)="meerh"),"j","n")</f>
        <v>n</v>
      </c>
      <c r="BQ15" s="653">
        <f t="shared" ref="BQ15:BQ67" si="10">$BQ$13</f>
        <v>1.9E-2</v>
      </c>
      <c r="BR15" s="654">
        <f>IF(AI15&gt;'wgl tot'!AH15,'wgl tot'!AH15,AI15)</f>
        <v>0</v>
      </c>
      <c r="BS15" s="654"/>
      <c r="BT15" s="655" t="e">
        <f>IF('wgl tot'!AJ15/'wgl tot'!H15&lt;tabellen!$E$54,0,(+'wgl tot'!AJ15-tabellen!$E$54*'wgl tot'!H15)/12*tabellen!$D$54)</f>
        <v>#DIV/0!</v>
      </c>
      <c r="BU15" s="655" t="e">
        <f>IF('wgl tot'!AJ15/'wgl tot'!H15&lt;tabellen!$E$55,0,(+'wgl tot'!AJ15-tabellen!$E$55*'wgl tot'!H15)/12*tabellen!$D$55)</f>
        <v>#DIV/0!</v>
      </c>
      <c r="BV15" s="655">
        <f>'wgl tot'!AJ15/12*tabellen!$D$56</f>
        <v>0</v>
      </c>
      <c r="BW15" s="656" t="e">
        <f>SUM(BT15:BV15)</f>
        <v>#DIV/0!</v>
      </c>
      <c r="BX15" s="657" t="e">
        <f>+('wgl tot'!AF15+'wgl tot'!AK15)/12-'wgl tot'!BW15</f>
        <v>#DIV/0!</v>
      </c>
      <c r="BY15" s="657" t="e">
        <f>ROUND(IF('wgl tot'!BX15&gt;tabellen!$H$61,tabellen!$H$61,'wgl tot'!BX15)*tabellen!$C$61,2)</f>
        <v>#DIV/0!</v>
      </c>
      <c r="BZ15" s="646" t="e">
        <f>+'wgl tot'!BX15</f>
        <v>#DIV/0!</v>
      </c>
      <c r="CA15" s="654"/>
      <c r="CB15" s="635">
        <f>IF(AND(M15="j",tabellen!$C$118&gt;=E15),1,0)</f>
        <v>0</v>
      </c>
      <c r="CC15" s="647" t="str">
        <f t="shared" si="6"/>
        <v/>
      </c>
      <c r="CD15" s="648" t="str">
        <f t="shared" si="7"/>
        <v/>
      </c>
      <c r="CE15" s="286"/>
      <c r="CF15" s="286"/>
      <c r="CG15" s="286"/>
      <c r="CH15" s="286"/>
      <c r="CI15" s="286"/>
      <c r="CJ15" s="286"/>
    </row>
    <row r="16" spans="2:90" ht="13.5" customHeight="1" x14ac:dyDescent="0.2">
      <c r="B16" s="541"/>
      <c r="C16" s="560"/>
      <c r="D16" s="289"/>
      <c r="E16" s="290"/>
      <c r="F16" s="291"/>
      <c r="G16" s="291"/>
      <c r="H16" s="293"/>
      <c r="I16" s="291"/>
      <c r="J16" s="291"/>
      <c r="K16" s="291"/>
      <c r="L16" s="291"/>
      <c r="M16" s="291"/>
      <c r="N16" s="295"/>
      <c r="O16" s="560"/>
      <c r="P16" s="292">
        <f>IF(F16="",0,(VLOOKUP('wgl tot'!F16,salaristabellen,'wgl tot'!G16+1,FALSE)))</f>
        <v>0</v>
      </c>
      <c r="Q16" s="294">
        <f>+'wgl tot'!P16*'wgl tot'!H16</f>
        <v>0</v>
      </c>
      <c r="R16" s="560"/>
      <c r="S16" s="296">
        <f>ROUND(IF(I16="j",VLOOKUP(BK16,uitlooptoeslag,2,FALSE))*IF('wgl tot'!H16&gt;1,1,'wgl tot'!H16),2)</f>
        <v>0</v>
      </c>
      <c r="T16" s="296">
        <f>ROUND(IF(OR('wgl tot'!F16="LA",'wgl tot'!F16="LB"),IF(J16="j",tabellen!$C$75*'wgl tot'!H16,0),0),2)</f>
        <v>0</v>
      </c>
      <c r="U16" s="296">
        <f>ROUND(IF(('wgl tot'!Q16+'wgl tot'!S16+'wgl tot'!T16)*BM16&lt;'wgl tot'!H16*tabellen!$D$87,'wgl tot'!H16*tabellen!$D$87,('wgl tot'!Q16+'wgl tot'!S16+'wgl tot'!T16)*BM16),2)</f>
        <v>0</v>
      </c>
      <c r="V16" s="296">
        <f>ROUND(+('wgl tot'!Q16+'wgl tot'!S16+'wgl tot'!T16)*BN16,2)</f>
        <v>0</v>
      </c>
      <c r="W16" s="296">
        <f>+tabellen!$C$83*'wgl tot'!H16</f>
        <v>0</v>
      </c>
      <c r="X16" s="296">
        <f>VLOOKUP(BO16,eindejaarsuitkering_OOP,2,TRUE)*'wgl tot'!H16/12</f>
        <v>0</v>
      </c>
      <c r="Y16" s="296">
        <f>ROUND(IF(BP16="j",tabellen!$D$96*IF('wgl tot'!H16&gt;1,1,'wgl tot'!H16),0),2)</f>
        <v>0</v>
      </c>
      <c r="Z16" s="297">
        <f>+'wgl tot'!Q16+S16+T16+U16+V16+W16+X16+Y16</f>
        <v>0</v>
      </c>
      <c r="AA16" s="562"/>
      <c r="AB16" s="563"/>
      <c r="AC16" s="292">
        <f>+'wgl tot'!Z16*12</f>
        <v>0</v>
      </c>
      <c r="AD16" s="296">
        <f>ROUND(IF(L16="j",VLOOKUP(K16,bindingstoelage,2,FALSE))*IF('wgl tot'!H16&gt;1,1,'wgl tot'!H16),2)</f>
        <v>0</v>
      </c>
      <c r="AE16" s="296">
        <f>ROUND('wgl tot'!H16*tabellen!$D$94,2)</f>
        <v>0</v>
      </c>
      <c r="AF16" s="292">
        <f t="shared" si="2"/>
        <v>0</v>
      </c>
      <c r="AG16" s="560"/>
      <c r="AH16" s="296">
        <f>+('wgl tot'!AF16/(1+1.9%))*BQ16</f>
        <v>0</v>
      </c>
      <c r="AI16" s="296">
        <f t="shared" ref="AI16:AI67" si="11">IF(F16="",0,(791.85))</f>
        <v>0</v>
      </c>
      <c r="AJ16" s="292">
        <f>ROUND('wgl tot'!AF16-IF('wgl tot'!AI16&gt;'wgl tot'!AH16,'wgl tot'!AH16,'wgl tot'!AI16),0)</f>
        <v>0</v>
      </c>
      <c r="AK16" s="298">
        <f>IF('wgl tot'!E16&lt;1950,0,+('wgl tot'!Q16+'wgl tot'!S16+'wgl tot'!T16)*tabellen!$C$85)*12</f>
        <v>0</v>
      </c>
      <c r="AL16" s="560"/>
      <c r="AM16" s="296">
        <f>+'wgl tot'!AF16/12</f>
        <v>0</v>
      </c>
      <c r="AN16" s="296">
        <f>IF(F16="",0,(IF('wgl tot'!AJ16/'wgl tot'!H16&lt;tabellen!$E$54,0,('wgl tot'!AJ16-tabellen!$E$54*'wgl tot'!H16)/12)*tabellen!$C$54))</f>
        <v>0</v>
      </c>
      <c r="AO16" s="296">
        <f>IF(F16="",0,(IF('wgl tot'!AJ16/'wgl tot'!H16&lt;tabellen!$E$55,0,(+'wgl tot'!AJ16-tabellen!$E$55*'wgl tot'!H16)/12)*tabellen!$C$55))</f>
        <v>0</v>
      </c>
      <c r="AP16" s="296">
        <f>'wgl tot'!AJ16/12*tabellen!$C$56</f>
        <v>0</v>
      </c>
      <c r="AQ16" s="296">
        <f>IF(F16="",0,IF(CD16=0,IF(CB16=0,IF('wgl tot'!BX16&gt;tabellen!$G$57/12,tabellen!$G$57/12,'wgl tot'!BX16)*(tabellen!$C$57+tabellen!$C$58+tabellen!$C$59),IF('wgl tot'!BX16&gt;tabellen!$G$57/12,tabellen!$G$57/12,'wgl tot'!BX16)*(tabellen!$C$58+tabellen!$C$59)),IF('wgl tot'!BX16&gt;tabellen!$G$57/12,tabellen!$G$57/12,'wgl tot'!BX16)*(tabellen!$C$57+tabellen!$C$58+tabellen!$C$59)))</f>
        <v>0</v>
      </c>
      <c r="AR16" s="296">
        <f>IF(F16="",0,('wgl tot'!BY16))</f>
        <v>0</v>
      </c>
      <c r="AS16" s="299">
        <f>IF(F16="",0,(IF('wgl tot'!BX16&gt;tabellen!$G$62*'wgl tot'!H16/12,tabellen!$G$62*'wgl tot'!H16/12,'wgl tot'!BX16)*tabellen!$C$62))</f>
        <v>0</v>
      </c>
      <c r="AT16" s="299">
        <f>IF(F16="",0,('wgl tot'!BX16*IF(N16=1,tabellen!$C$63,IF(N16=2,tabellen!C67,IF(N16=3,tabellen!$C$65,tabellen!$C$66)))))</f>
        <v>0</v>
      </c>
      <c r="AU16" s="299">
        <f>IF(F16="",0,('wgl tot'!BX16*tabellen!$C$67))</f>
        <v>0</v>
      </c>
      <c r="AV16" s="299">
        <f>+'wgl tot'!AK16/12</f>
        <v>0</v>
      </c>
      <c r="AW16" s="618">
        <v>0</v>
      </c>
      <c r="AX16" s="299">
        <f t="shared" si="3"/>
        <v>0</v>
      </c>
      <c r="AY16" s="294">
        <f t="shared" si="4"/>
        <v>0</v>
      </c>
      <c r="AZ16" s="300">
        <f t="shared" si="5"/>
        <v>0</v>
      </c>
      <c r="BA16" s="560"/>
      <c r="BB16" s="301" t="str">
        <f>IF(AY16=0,"",(+'wgl tot'!AY16/'wgl tot'!Q16-1))</f>
        <v/>
      </c>
      <c r="BC16" s="560"/>
      <c r="BD16" s="542"/>
      <c r="BF16" s="649">
        <f ca="1">YEAR('wgl tot'!$BF$10)-YEAR('wgl tot'!E16)</f>
        <v>113</v>
      </c>
      <c r="BG16" s="650">
        <f ca="1">MONTH('wgl tot'!$BF$10)-MONTH('wgl tot'!E16)</f>
        <v>11</v>
      </c>
      <c r="BH16" s="650">
        <f ca="1">DAY('wgl tot'!$BF$10)-DAY('wgl tot'!E16)</f>
        <v>1</v>
      </c>
      <c r="BI16" s="635">
        <f>IF(AND('wgl tot'!F16&gt;0,'wgl tot'!F16&lt;16),0,100)</f>
        <v>100</v>
      </c>
      <c r="BJ16" s="635" t="e">
        <f>VLOOKUP('wgl tot'!F16,salaristabellen,22,FALSE)</f>
        <v>#N/A</v>
      </c>
      <c r="BK16" s="635">
        <f t="shared" si="0"/>
        <v>0</v>
      </c>
      <c r="BL16" s="651">
        <f t="shared" si="8"/>
        <v>41275</v>
      </c>
      <c r="BM16" s="652">
        <f t="shared" si="9"/>
        <v>0.08</v>
      </c>
      <c r="BN16" s="653">
        <f>+tabellen!$D$88</f>
        <v>6.3E-2</v>
      </c>
      <c r="BO16" s="650">
        <f>IF('wgl tot'!BI16=100,0,'wgl tot'!F16)</f>
        <v>0</v>
      </c>
      <c r="BP16" s="653" t="str">
        <f>IF(OR('wgl tot'!F16="DA",'wgl tot'!F16="DB",'wgl tot'!F16="DBuit",'wgl tot'!F16="DC",'wgl tot'!F16="DCuit",MID('wgl tot'!F16,1,5)="meerh"),"j","n")</f>
        <v>n</v>
      </c>
      <c r="BQ16" s="653">
        <f t="shared" si="10"/>
        <v>1.9E-2</v>
      </c>
      <c r="BR16" s="654">
        <f>IF(AI16&gt;'wgl tot'!AH16,'wgl tot'!AH16,AI16)</f>
        <v>0</v>
      </c>
      <c r="BS16" s="654"/>
      <c r="BT16" s="655" t="e">
        <f>IF('wgl tot'!AJ16/'wgl tot'!H16&lt;tabellen!$E$54,0,(+'wgl tot'!AJ16-tabellen!$E$54*'wgl tot'!H16)/12*tabellen!$D$54)</f>
        <v>#DIV/0!</v>
      </c>
      <c r="BU16" s="655" t="e">
        <f>IF('wgl tot'!AJ16/'wgl tot'!H16&lt;tabellen!$E$55,0,(+'wgl tot'!AJ16-tabellen!$E$55*'wgl tot'!H16)/12*tabellen!$D$55)</f>
        <v>#DIV/0!</v>
      </c>
      <c r="BV16" s="655">
        <f>'wgl tot'!AJ16/12*tabellen!$D$56</f>
        <v>0</v>
      </c>
      <c r="BW16" s="656" t="e">
        <f t="shared" si="1"/>
        <v>#DIV/0!</v>
      </c>
      <c r="BX16" s="657" t="e">
        <f>+('wgl tot'!AF16+'wgl tot'!AK16)/12-'wgl tot'!BW16</f>
        <v>#DIV/0!</v>
      </c>
      <c r="BY16" s="657" t="e">
        <f>ROUND(IF('wgl tot'!BX16&gt;tabellen!$H$61,tabellen!$H$61,'wgl tot'!BX16)*tabellen!$C$61,2)</f>
        <v>#DIV/0!</v>
      </c>
      <c r="BZ16" s="646" t="e">
        <f>+'wgl tot'!BX16</f>
        <v>#DIV/0!</v>
      </c>
      <c r="CA16" s="654"/>
      <c r="CB16" s="635">
        <f>IF(AND(M16="j",tabellen!$C$118&gt;=E16),1,0)</f>
        <v>0</v>
      </c>
      <c r="CC16" s="647" t="str">
        <f t="shared" si="6"/>
        <v/>
      </c>
      <c r="CD16" s="648" t="str">
        <f t="shared" si="7"/>
        <v/>
      </c>
      <c r="CE16" s="286"/>
      <c r="CF16" s="286"/>
      <c r="CG16" s="286"/>
      <c r="CH16" s="286"/>
      <c r="CI16" s="286"/>
      <c r="CJ16" s="286"/>
    </row>
    <row r="17" spans="2:88" ht="13.5" customHeight="1" x14ac:dyDescent="0.2">
      <c r="B17" s="541"/>
      <c r="C17" s="560"/>
      <c r="D17" s="289"/>
      <c r="E17" s="290"/>
      <c r="F17" s="291"/>
      <c r="G17" s="291"/>
      <c r="H17" s="293"/>
      <c r="I17" s="291"/>
      <c r="J17" s="291"/>
      <c r="K17" s="291"/>
      <c r="L17" s="291"/>
      <c r="M17" s="291"/>
      <c r="N17" s="295"/>
      <c r="O17" s="560"/>
      <c r="P17" s="292">
        <f>IF(F17="",0,(VLOOKUP('wgl tot'!F17,salaristabellen,'wgl tot'!G17+1,FALSE)))</f>
        <v>0</v>
      </c>
      <c r="Q17" s="294">
        <f>+'wgl tot'!P17*'wgl tot'!H17</f>
        <v>0</v>
      </c>
      <c r="R17" s="560"/>
      <c r="S17" s="296">
        <f>ROUND(IF(I17="j",VLOOKUP(BK17,uitlooptoeslag,2,FALSE))*IF('wgl tot'!H17&gt;1,1,'wgl tot'!H17),2)</f>
        <v>0</v>
      </c>
      <c r="T17" s="296">
        <f>ROUND(IF(OR('wgl tot'!F17="LA",'wgl tot'!F17="LB"),IF(J17="j",tabellen!$C$75*'wgl tot'!H17,0),0),2)</f>
        <v>0</v>
      </c>
      <c r="U17" s="296">
        <f>ROUND(IF(('wgl tot'!Q17+'wgl tot'!S17+'wgl tot'!T17)*BM17&lt;'wgl tot'!H17*tabellen!$D$87,'wgl tot'!H17*tabellen!$D$87,('wgl tot'!Q17+'wgl tot'!S17+'wgl tot'!T17)*BM17),2)</f>
        <v>0</v>
      </c>
      <c r="V17" s="296">
        <f>ROUND(+('wgl tot'!Q17+'wgl tot'!S17+'wgl tot'!T17)*BN17,2)</f>
        <v>0</v>
      </c>
      <c r="W17" s="296">
        <f>+tabellen!$C$83*'wgl tot'!H17</f>
        <v>0</v>
      </c>
      <c r="X17" s="296">
        <f>VLOOKUP(BO17,eindejaarsuitkering_OOP,2,TRUE)*'wgl tot'!H17/12</f>
        <v>0</v>
      </c>
      <c r="Y17" s="296">
        <f>ROUND(IF(BP17="j",tabellen!$D$96*IF('wgl tot'!H17&gt;1,1,'wgl tot'!H17),0),2)</f>
        <v>0</v>
      </c>
      <c r="Z17" s="297">
        <f>+'wgl tot'!Q17+S17+T17+U17+V17+W17+X17+Y17</f>
        <v>0</v>
      </c>
      <c r="AA17" s="562"/>
      <c r="AB17" s="563"/>
      <c r="AC17" s="292">
        <f>+'wgl tot'!Z17*12</f>
        <v>0</v>
      </c>
      <c r="AD17" s="296">
        <f>ROUND(IF(L17="j",VLOOKUP(K17,bindingstoelage,2,FALSE))*IF('wgl tot'!H17&gt;1,1,'wgl tot'!H17),2)</f>
        <v>0</v>
      </c>
      <c r="AE17" s="296">
        <f>ROUND('wgl tot'!H17*tabellen!$D$94,2)</f>
        <v>0</v>
      </c>
      <c r="AF17" s="292">
        <f t="shared" si="2"/>
        <v>0</v>
      </c>
      <c r="AG17" s="560"/>
      <c r="AH17" s="296">
        <f>+('wgl tot'!AF17/(1+1.9%))*BQ17</f>
        <v>0</v>
      </c>
      <c r="AI17" s="296">
        <f t="shared" si="11"/>
        <v>0</v>
      </c>
      <c r="AJ17" s="292">
        <f>ROUND('wgl tot'!AF17-IF('wgl tot'!AI17&gt;'wgl tot'!AH17,'wgl tot'!AH17,'wgl tot'!AI17),0)</f>
        <v>0</v>
      </c>
      <c r="AK17" s="298">
        <f>IF('wgl tot'!E17&lt;1950,0,+('wgl tot'!Q17+'wgl tot'!S17+'wgl tot'!T17)*tabellen!$C$85)*12</f>
        <v>0</v>
      </c>
      <c r="AL17" s="560"/>
      <c r="AM17" s="296">
        <f>+'wgl tot'!AF17/12</f>
        <v>0</v>
      </c>
      <c r="AN17" s="296">
        <f>IF(F17="",0,(IF('wgl tot'!AJ17/'wgl tot'!H17&lt;tabellen!$E$54,0,('wgl tot'!AJ17-tabellen!$E$54*'wgl tot'!H17)/12)*tabellen!$C$54))</f>
        <v>0</v>
      </c>
      <c r="AO17" s="296">
        <f>IF(F17="",0,(IF('wgl tot'!AJ17/'wgl tot'!H17&lt;tabellen!$E$55,0,(+'wgl tot'!AJ17-tabellen!$E$55*'wgl tot'!H17)/12)*tabellen!$C$55))</f>
        <v>0</v>
      </c>
      <c r="AP17" s="296">
        <f>'wgl tot'!AJ17/12*tabellen!$C$56</f>
        <v>0</v>
      </c>
      <c r="AQ17" s="296">
        <f>IF(F17="",0,IF(CD17=0,IF(CB17=0,IF('wgl tot'!BX17&gt;tabellen!$G$57/12,tabellen!$G$57/12,'wgl tot'!BX17)*(tabellen!$C$57+tabellen!$C$58+tabellen!$C$59),IF('wgl tot'!BX17&gt;tabellen!$G$57/12,tabellen!$G$57/12,'wgl tot'!BX17)*(tabellen!$C$58+tabellen!$C$59)),IF('wgl tot'!BX17&gt;tabellen!$G$57/12,tabellen!$G$57/12,'wgl tot'!BX17)*(tabellen!$C$57+tabellen!$C$58+tabellen!$C$59)))</f>
        <v>0</v>
      </c>
      <c r="AR17" s="296">
        <f>IF(F17="",0,('wgl tot'!BY17))</f>
        <v>0</v>
      </c>
      <c r="AS17" s="299">
        <f>IF(F17="",0,(IF('wgl tot'!BX17&gt;tabellen!$G$62*'wgl tot'!H17/12,tabellen!$G$62*'wgl tot'!H17/12,'wgl tot'!BX17)*tabellen!$C$62))</f>
        <v>0</v>
      </c>
      <c r="AT17" s="299">
        <f>IF(F17="",0,('wgl tot'!BX17*IF(N17=1,tabellen!$C$63,IF(N17=2,tabellen!C68,IF(N17=3,tabellen!$C$65,tabellen!$C$66)))))</f>
        <v>0</v>
      </c>
      <c r="AU17" s="299">
        <f>IF(F17="",0,('wgl tot'!BX17*tabellen!$C$67))</f>
        <v>0</v>
      </c>
      <c r="AV17" s="299">
        <f>+'wgl tot'!AK17/12</f>
        <v>0</v>
      </c>
      <c r="AW17" s="618">
        <v>0</v>
      </c>
      <c r="AX17" s="299">
        <f t="shared" si="3"/>
        <v>0</v>
      </c>
      <c r="AY17" s="294">
        <f t="shared" si="4"/>
        <v>0</v>
      </c>
      <c r="AZ17" s="300">
        <f t="shared" si="5"/>
        <v>0</v>
      </c>
      <c r="BA17" s="560"/>
      <c r="BB17" s="301" t="str">
        <f>IF(AY17=0,"",(+'wgl tot'!AY17/'wgl tot'!Q17-1))</f>
        <v/>
      </c>
      <c r="BC17" s="560"/>
      <c r="BD17" s="542"/>
      <c r="BF17" s="649">
        <f ca="1">YEAR('wgl tot'!$BF$10)-YEAR('wgl tot'!E17)</f>
        <v>113</v>
      </c>
      <c r="BG17" s="650">
        <f ca="1">MONTH('wgl tot'!$BF$10)-MONTH('wgl tot'!E17)</f>
        <v>11</v>
      </c>
      <c r="BH17" s="650">
        <f ca="1">DAY('wgl tot'!$BF$10)-DAY('wgl tot'!E17)</f>
        <v>1</v>
      </c>
      <c r="BI17" s="635">
        <f>IF(AND('wgl tot'!F17&gt;0,'wgl tot'!F17&lt;16),0,100)</f>
        <v>100</v>
      </c>
      <c r="BJ17" s="635" t="e">
        <f>VLOOKUP('wgl tot'!F17,salaristabellen,22,FALSE)</f>
        <v>#N/A</v>
      </c>
      <c r="BK17" s="635">
        <f t="shared" si="0"/>
        <v>0</v>
      </c>
      <c r="BL17" s="651">
        <f t="shared" si="8"/>
        <v>41275</v>
      </c>
      <c r="BM17" s="652">
        <f t="shared" si="9"/>
        <v>0.08</v>
      </c>
      <c r="BN17" s="653">
        <f>+tabellen!$D$88</f>
        <v>6.3E-2</v>
      </c>
      <c r="BO17" s="650">
        <f>IF('wgl tot'!BI17=100,0,'wgl tot'!F17)</f>
        <v>0</v>
      </c>
      <c r="BP17" s="653" t="str">
        <f>IF(OR('wgl tot'!F17="DA",'wgl tot'!F17="DB",'wgl tot'!F17="DBuit",'wgl tot'!F17="DC",'wgl tot'!F17="DCuit",MID('wgl tot'!F17,1,5)="meerh"),"j","n")</f>
        <v>n</v>
      </c>
      <c r="BQ17" s="653">
        <f t="shared" si="10"/>
        <v>1.9E-2</v>
      </c>
      <c r="BR17" s="654">
        <f>IF(AI17&gt;'wgl tot'!AH17,'wgl tot'!AH17,AI17)</f>
        <v>0</v>
      </c>
      <c r="BS17" s="654"/>
      <c r="BT17" s="655" t="e">
        <f>IF('wgl tot'!AJ17/'wgl tot'!H17&lt;tabellen!$E$54,0,(+'wgl tot'!AJ17-tabellen!$E$54*'wgl tot'!H17)/12*tabellen!$D$54)</f>
        <v>#DIV/0!</v>
      </c>
      <c r="BU17" s="655" t="e">
        <f>IF('wgl tot'!AJ17/'wgl tot'!H17&lt;tabellen!$E$55,0,(+'wgl tot'!AJ17-tabellen!$E$55*'wgl tot'!H17)/12*tabellen!$D$55)</f>
        <v>#DIV/0!</v>
      </c>
      <c r="BV17" s="655">
        <f>'wgl tot'!AJ17/12*tabellen!$D$56</f>
        <v>0</v>
      </c>
      <c r="BW17" s="656" t="e">
        <f t="shared" si="1"/>
        <v>#DIV/0!</v>
      </c>
      <c r="BX17" s="657" t="e">
        <f>+('wgl tot'!AF17+'wgl tot'!AK17)/12-'wgl tot'!BW17</f>
        <v>#DIV/0!</v>
      </c>
      <c r="BY17" s="657" t="e">
        <f>ROUND(IF('wgl tot'!BX17&gt;tabellen!$H$61,tabellen!$H$61,'wgl tot'!BX17)*tabellen!$C$61,2)</f>
        <v>#DIV/0!</v>
      </c>
      <c r="BZ17" s="646" t="e">
        <f>+'wgl tot'!BX17</f>
        <v>#DIV/0!</v>
      </c>
      <c r="CA17" s="654"/>
      <c r="CB17" s="635">
        <f>IF(AND(M17="j",tabellen!$C$118&gt;=E17),1,0)</f>
        <v>0</v>
      </c>
      <c r="CC17" s="647" t="str">
        <f t="shared" si="6"/>
        <v/>
      </c>
      <c r="CD17" s="648" t="str">
        <f t="shared" si="7"/>
        <v/>
      </c>
      <c r="CE17" s="286"/>
      <c r="CF17" s="286"/>
      <c r="CG17" s="286"/>
      <c r="CH17" s="286"/>
      <c r="CI17" s="286"/>
      <c r="CJ17" s="286"/>
    </row>
    <row r="18" spans="2:88" ht="13.5" customHeight="1" x14ac:dyDescent="0.2">
      <c r="B18" s="541"/>
      <c r="C18" s="560"/>
      <c r="D18" s="289"/>
      <c r="E18" s="290"/>
      <c r="F18" s="291"/>
      <c r="G18" s="291"/>
      <c r="H18" s="293"/>
      <c r="I18" s="291"/>
      <c r="J18" s="291"/>
      <c r="K18" s="291"/>
      <c r="L18" s="291"/>
      <c r="M18" s="291"/>
      <c r="N18" s="295"/>
      <c r="O18" s="560"/>
      <c r="P18" s="292">
        <f>IF(F18="",0,(VLOOKUP('wgl tot'!F18,salaristabellen,'wgl tot'!G18+1,FALSE)))</f>
        <v>0</v>
      </c>
      <c r="Q18" s="294">
        <f>+'wgl tot'!P18*'wgl tot'!H18</f>
        <v>0</v>
      </c>
      <c r="R18" s="560"/>
      <c r="S18" s="296">
        <f>ROUND(IF(I18="j",VLOOKUP(BK18,uitlooptoeslag,2,FALSE))*IF('wgl tot'!H18&gt;1,1,'wgl tot'!H18),2)</f>
        <v>0</v>
      </c>
      <c r="T18" s="296">
        <f>ROUND(IF(OR('wgl tot'!F18="LA",'wgl tot'!F18="LB"),IF(J18="j",tabellen!$C$75*'wgl tot'!H18,0),0),2)</f>
        <v>0</v>
      </c>
      <c r="U18" s="296">
        <f>ROUND(IF(('wgl tot'!Q18+'wgl tot'!S18+'wgl tot'!T18)*BM18&lt;'wgl tot'!H18*tabellen!$D$87,'wgl tot'!H18*tabellen!$D$87,('wgl tot'!Q18+'wgl tot'!S18+'wgl tot'!T18)*BM18),2)</f>
        <v>0</v>
      </c>
      <c r="V18" s="296">
        <f>ROUND(+('wgl tot'!Q18+'wgl tot'!S18+'wgl tot'!T18)*BN18,2)</f>
        <v>0</v>
      </c>
      <c r="W18" s="296">
        <f>+tabellen!$C$83*'wgl tot'!H18</f>
        <v>0</v>
      </c>
      <c r="X18" s="296">
        <f>VLOOKUP(BO18,eindejaarsuitkering_OOP,2,TRUE)*'wgl tot'!H18/12</f>
        <v>0</v>
      </c>
      <c r="Y18" s="296">
        <f>ROUND(IF(BP18="j",tabellen!$D$96*IF('wgl tot'!H18&gt;1,1,'wgl tot'!H18),0),2)</f>
        <v>0</v>
      </c>
      <c r="Z18" s="297">
        <f>+'wgl tot'!Q18+S18+T18+U18+V18+W18+X18+Y18</f>
        <v>0</v>
      </c>
      <c r="AA18" s="562"/>
      <c r="AB18" s="563"/>
      <c r="AC18" s="292">
        <f>+'wgl tot'!Z18*12</f>
        <v>0</v>
      </c>
      <c r="AD18" s="296">
        <f>ROUND(IF(L18="j",VLOOKUP(K18,bindingstoelage,2,FALSE))*IF('wgl tot'!H18&gt;1,1,'wgl tot'!H18),2)</f>
        <v>0</v>
      </c>
      <c r="AE18" s="296">
        <f>ROUND('wgl tot'!H18*tabellen!$D$94,2)</f>
        <v>0</v>
      </c>
      <c r="AF18" s="292">
        <f t="shared" si="2"/>
        <v>0</v>
      </c>
      <c r="AG18" s="560"/>
      <c r="AH18" s="296">
        <f>+('wgl tot'!AF18/(1+1.9%))*BQ18</f>
        <v>0</v>
      </c>
      <c r="AI18" s="296">
        <f t="shared" si="11"/>
        <v>0</v>
      </c>
      <c r="AJ18" s="292">
        <f>ROUND('wgl tot'!AF18-IF('wgl tot'!AI18&gt;'wgl tot'!AH18,'wgl tot'!AH18,'wgl tot'!AI18),0)</f>
        <v>0</v>
      </c>
      <c r="AK18" s="298">
        <f>IF('wgl tot'!E18&lt;1950,0,+('wgl tot'!Q18+'wgl tot'!S18+'wgl tot'!T18)*tabellen!$C$85)*12</f>
        <v>0</v>
      </c>
      <c r="AL18" s="560"/>
      <c r="AM18" s="296">
        <f>+'wgl tot'!AF18/12</f>
        <v>0</v>
      </c>
      <c r="AN18" s="296">
        <f>IF(F18="",0,(IF('wgl tot'!AJ18/'wgl tot'!H18&lt;tabellen!$E$54,0,('wgl tot'!AJ18-tabellen!$E$54*'wgl tot'!H18)/12)*tabellen!$C$54))</f>
        <v>0</v>
      </c>
      <c r="AO18" s="296">
        <f>IF(F18="",0,(IF('wgl tot'!AJ18/'wgl tot'!H18&lt;tabellen!$E$55,0,(+'wgl tot'!AJ18-tabellen!$E$55*'wgl tot'!H18)/12)*tabellen!$C$55))</f>
        <v>0</v>
      </c>
      <c r="AP18" s="296">
        <f>'wgl tot'!AJ18/12*tabellen!$C$56</f>
        <v>0</v>
      </c>
      <c r="AQ18" s="296">
        <f>IF(F18="",0,IF(CD18=0,IF(CB18=0,IF('wgl tot'!BX18&gt;tabellen!$G$57/12,tabellen!$G$57/12,'wgl tot'!BX18)*(tabellen!$C$57+tabellen!$C$58+tabellen!$C$59),IF('wgl tot'!BX18&gt;tabellen!$G$57/12,tabellen!$G$57/12,'wgl tot'!BX18)*(tabellen!$C$58+tabellen!$C$59)),IF('wgl tot'!BX18&gt;tabellen!$G$57/12,tabellen!$G$57/12,'wgl tot'!BX18)*(tabellen!$C$57+tabellen!$C$58+tabellen!$C$59)))</f>
        <v>0</v>
      </c>
      <c r="AR18" s="296">
        <f>IF(F18="",0,('wgl tot'!BY18))</f>
        <v>0</v>
      </c>
      <c r="AS18" s="299">
        <f>IF(F18="",0,(IF('wgl tot'!BX18&gt;tabellen!$G$62*'wgl tot'!H18/12,tabellen!$G$62*'wgl tot'!H18/12,'wgl tot'!BX18)*tabellen!$C$62))</f>
        <v>0</v>
      </c>
      <c r="AT18" s="299">
        <f>IF(F18="",0,('wgl tot'!BX18*IF(N18=1,tabellen!$C$63,IF(N18=2,tabellen!C69,IF(N18=3,tabellen!$C$65,tabellen!$C$66)))))</f>
        <v>0</v>
      </c>
      <c r="AU18" s="299">
        <f>IF(F18="",0,('wgl tot'!BX18*tabellen!$C$67))</f>
        <v>0</v>
      </c>
      <c r="AV18" s="299">
        <f>+'wgl tot'!AK18/12</f>
        <v>0</v>
      </c>
      <c r="AW18" s="618">
        <v>0</v>
      </c>
      <c r="AX18" s="299">
        <f t="shared" si="3"/>
        <v>0</v>
      </c>
      <c r="AY18" s="294">
        <f t="shared" si="4"/>
        <v>0</v>
      </c>
      <c r="AZ18" s="300">
        <f t="shared" si="5"/>
        <v>0</v>
      </c>
      <c r="BA18" s="560"/>
      <c r="BB18" s="301" t="str">
        <f>IF(AY18=0,"",(+'wgl tot'!AY18/'wgl tot'!Q18-1))</f>
        <v/>
      </c>
      <c r="BC18" s="560"/>
      <c r="BD18" s="542"/>
      <c r="BF18" s="649">
        <f ca="1">YEAR('wgl tot'!$BF$10)-YEAR('wgl tot'!E18)</f>
        <v>113</v>
      </c>
      <c r="BG18" s="650">
        <f ca="1">MONTH('wgl tot'!$BF$10)-MONTH('wgl tot'!E18)</f>
        <v>11</v>
      </c>
      <c r="BH18" s="650">
        <f ca="1">DAY('wgl tot'!$BF$10)-DAY('wgl tot'!E18)</f>
        <v>1</v>
      </c>
      <c r="BI18" s="635">
        <f>IF(AND('wgl tot'!F18&gt;0,'wgl tot'!F18&lt;16),0,100)</f>
        <v>100</v>
      </c>
      <c r="BJ18" s="635" t="e">
        <f>VLOOKUP('wgl tot'!F18,salaristabellen,22,FALSE)</f>
        <v>#N/A</v>
      </c>
      <c r="BK18" s="635">
        <f t="shared" si="0"/>
        <v>0</v>
      </c>
      <c r="BL18" s="651">
        <f t="shared" si="8"/>
        <v>41275</v>
      </c>
      <c r="BM18" s="652">
        <f t="shared" si="9"/>
        <v>0.08</v>
      </c>
      <c r="BN18" s="653">
        <f>+tabellen!$D$88</f>
        <v>6.3E-2</v>
      </c>
      <c r="BO18" s="650">
        <f>IF('wgl tot'!BI18=100,0,'wgl tot'!F18)</f>
        <v>0</v>
      </c>
      <c r="BP18" s="653" t="str">
        <f>IF(OR('wgl tot'!F18="DA",'wgl tot'!F18="DB",'wgl tot'!F18="DBuit",'wgl tot'!F18="DC",'wgl tot'!F18="DCuit",MID('wgl tot'!F18,1,5)="meerh"),"j","n")</f>
        <v>n</v>
      </c>
      <c r="BQ18" s="653">
        <f t="shared" si="10"/>
        <v>1.9E-2</v>
      </c>
      <c r="BR18" s="654">
        <f>IF(AI18&gt;'wgl tot'!AH18,'wgl tot'!AH18,AI18)</f>
        <v>0</v>
      </c>
      <c r="BS18" s="654"/>
      <c r="BT18" s="655" t="e">
        <f>IF('wgl tot'!AJ18/'wgl tot'!H18&lt;tabellen!$E$54,0,(+'wgl tot'!AJ18-tabellen!$E$54*'wgl tot'!H18)/12*tabellen!$D$54)</f>
        <v>#DIV/0!</v>
      </c>
      <c r="BU18" s="655" t="e">
        <f>IF('wgl tot'!AJ18/'wgl tot'!H18&lt;tabellen!$E$55,0,(+'wgl tot'!AJ18-tabellen!$E$55*'wgl tot'!H18)/12*tabellen!$D$55)</f>
        <v>#DIV/0!</v>
      </c>
      <c r="BV18" s="655">
        <f>'wgl tot'!AJ18/12*tabellen!$D$56</f>
        <v>0</v>
      </c>
      <c r="BW18" s="656" t="e">
        <f t="shared" si="1"/>
        <v>#DIV/0!</v>
      </c>
      <c r="BX18" s="657" t="e">
        <f>+('wgl tot'!AF18+'wgl tot'!AK18)/12-'wgl tot'!BW18</f>
        <v>#DIV/0!</v>
      </c>
      <c r="BY18" s="657" t="e">
        <f>ROUND(IF('wgl tot'!BX18&gt;tabellen!$H$61,tabellen!$H$61,'wgl tot'!BX18)*tabellen!$C$61,2)</f>
        <v>#DIV/0!</v>
      </c>
      <c r="BZ18" s="646" t="e">
        <f>+'wgl tot'!BX18</f>
        <v>#DIV/0!</v>
      </c>
      <c r="CA18" s="654"/>
      <c r="CB18" s="635">
        <f>IF(AND(M18="j",tabellen!$C$118&gt;=E18),1,0)</f>
        <v>0</v>
      </c>
      <c r="CC18" s="647" t="str">
        <f t="shared" si="6"/>
        <v/>
      </c>
      <c r="CD18" s="648" t="str">
        <f t="shared" si="7"/>
        <v/>
      </c>
      <c r="CE18" s="286"/>
      <c r="CF18" s="286"/>
      <c r="CG18" s="286"/>
      <c r="CH18" s="286"/>
      <c r="CI18" s="286"/>
      <c r="CJ18" s="286"/>
    </row>
    <row r="19" spans="2:88" ht="13.5" customHeight="1" x14ac:dyDescent="0.2">
      <c r="B19" s="541"/>
      <c r="C19" s="560"/>
      <c r="D19" s="289"/>
      <c r="E19" s="290"/>
      <c r="F19" s="291"/>
      <c r="G19" s="291"/>
      <c r="H19" s="293"/>
      <c r="I19" s="291"/>
      <c r="J19" s="291"/>
      <c r="K19" s="291"/>
      <c r="L19" s="291"/>
      <c r="M19" s="291"/>
      <c r="N19" s="295"/>
      <c r="O19" s="560"/>
      <c r="P19" s="292">
        <f>IF(F19="",0,(VLOOKUP('wgl tot'!F19,salaristabellen,'wgl tot'!G19+1,FALSE)))</f>
        <v>0</v>
      </c>
      <c r="Q19" s="294">
        <f>+'wgl tot'!P19*'wgl tot'!H19</f>
        <v>0</v>
      </c>
      <c r="R19" s="560"/>
      <c r="S19" s="296">
        <f>ROUND(IF(I19="j",VLOOKUP(BK19,uitlooptoeslag,2,FALSE))*IF('wgl tot'!H19&gt;1,1,'wgl tot'!H19),2)</f>
        <v>0</v>
      </c>
      <c r="T19" s="296">
        <f>ROUND(IF(OR('wgl tot'!F19="LA",'wgl tot'!F19="LB"),IF(J19="j",tabellen!$C$75*'wgl tot'!H19,0),0),2)</f>
        <v>0</v>
      </c>
      <c r="U19" s="296">
        <f>ROUND(IF(('wgl tot'!Q19+'wgl tot'!S19+'wgl tot'!T19)*BM19&lt;'wgl tot'!H19*tabellen!$D$87,'wgl tot'!H19*tabellen!$D$87,('wgl tot'!Q19+'wgl tot'!S19+'wgl tot'!T19)*BM19),2)</f>
        <v>0</v>
      </c>
      <c r="V19" s="296">
        <f>ROUND(+('wgl tot'!Q19+'wgl tot'!S19+'wgl tot'!T19)*BN19,2)</f>
        <v>0</v>
      </c>
      <c r="W19" s="296">
        <f>+tabellen!$C$83*'wgl tot'!H19</f>
        <v>0</v>
      </c>
      <c r="X19" s="296">
        <f>VLOOKUP(BO19,eindejaarsuitkering_OOP,2,TRUE)*'wgl tot'!H19/12</f>
        <v>0</v>
      </c>
      <c r="Y19" s="296">
        <f>ROUND(IF(BP19="j",tabellen!$D$96*IF('wgl tot'!H19&gt;1,1,'wgl tot'!H19),0),2)</f>
        <v>0</v>
      </c>
      <c r="Z19" s="297">
        <f>+'wgl tot'!Q19+S19+T19+U19+V19+W19+X19+Y19</f>
        <v>0</v>
      </c>
      <c r="AA19" s="562"/>
      <c r="AB19" s="563"/>
      <c r="AC19" s="292">
        <f>+'wgl tot'!Z19*12</f>
        <v>0</v>
      </c>
      <c r="AD19" s="296">
        <f>ROUND(IF(L19="j",VLOOKUP(K19,bindingstoelage,2,FALSE))*IF('wgl tot'!H19&gt;1,1,'wgl tot'!H19),2)</f>
        <v>0</v>
      </c>
      <c r="AE19" s="296">
        <f>ROUND('wgl tot'!H19*tabellen!$D$94,2)</f>
        <v>0</v>
      </c>
      <c r="AF19" s="292">
        <f t="shared" si="2"/>
        <v>0</v>
      </c>
      <c r="AG19" s="560"/>
      <c r="AH19" s="296">
        <f>+('wgl tot'!AF19/(1+1.9%))*BQ19</f>
        <v>0</v>
      </c>
      <c r="AI19" s="296">
        <f t="shared" si="11"/>
        <v>0</v>
      </c>
      <c r="AJ19" s="292">
        <f>ROUND('wgl tot'!AF19-IF('wgl tot'!AI19&gt;'wgl tot'!AH19,'wgl tot'!AH19,'wgl tot'!AI19),0)</f>
        <v>0</v>
      </c>
      <c r="AK19" s="298">
        <f>IF('wgl tot'!E19&lt;1950,0,+('wgl tot'!Q19+'wgl tot'!S19+'wgl tot'!T19)*tabellen!$C$85)*12</f>
        <v>0</v>
      </c>
      <c r="AL19" s="560"/>
      <c r="AM19" s="296">
        <f>+'wgl tot'!AF19/12</f>
        <v>0</v>
      </c>
      <c r="AN19" s="296">
        <f>IF(F19="",0,(IF('wgl tot'!AJ19/'wgl tot'!H19&lt;tabellen!$E$54,0,('wgl tot'!AJ19-tabellen!$E$54*'wgl tot'!H19)/12)*tabellen!$C$54))</f>
        <v>0</v>
      </c>
      <c r="AO19" s="296">
        <f>IF(F19="",0,(IF('wgl tot'!AJ19/'wgl tot'!H19&lt;tabellen!$E$55,0,(+'wgl tot'!AJ19-tabellen!$E$55*'wgl tot'!H19)/12)*tabellen!$C$55))</f>
        <v>0</v>
      </c>
      <c r="AP19" s="296">
        <f>'wgl tot'!AJ19/12*tabellen!$C$56</f>
        <v>0</v>
      </c>
      <c r="AQ19" s="296">
        <f>IF(F19="",0,IF(CD19=0,IF(CB19=0,IF('wgl tot'!BX19&gt;tabellen!$G$57/12,tabellen!$G$57/12,'wgl tot'!BX19)*(tabellen!$C$57+tabellen!$C$58+tabellen!$C$59),IF('wgl tot'!BX19&gt;tabellen!$G$57/12,tabellen!$G$57/12,'wgl tot'!BX19)*(tabellen!$C$58+tabellen!$C$59)),IF('wgl tot'!BX19&gt;tabellen!$G$57/12,tabellen!$G$57/12,'wgl tot'!BX19)*(tabellen!$C$57+tabellen!$C$58+tabellen!$C$59)))</f>
        <v>0</v>
      </c>
      <c r="AR19" s="296">
        <f>IF(F19="",0,('wgl tot'!BY19))</f>
        <v>0</v>
      </c>
      <c r="AS19" s="299">
        <f>IF(F19="",0,(IF('wgl tot'!BX19&gt;tabellen!$G$62*'wgl tot'!H19/12,tabellen!$G$62*'wgl tot'!H19/12,'wgl tot'!BX19)*tabellen!$C$62))</f>
        <v>0</v>
      </c>
      <c r="AT19" s="299">
        <f>IF(F19="",0,('wgl tot'!BX19*IF(N19=1,tabellen!$C$63,IF(N19=2,tabellen!C70,IF(N19=3,tabellen!$C$65,tabellen!$C$66)))))</f>
        <v>0</v>
      </c>
      <c r="AU19" s="299">
        <f>IF(F19="",0,('wgl tot'!BX19*tabellen!$C$67))</f>
        <v>0</v>
      </c>
      <c r="AV19" s="299">
        <f>+'wgl tot'!AK19/12</f>
        <v>0</v>
      </c>
      <c r="AW19" s="618">
        <v>0</v>
      </c>
      <c r="AX19" s="299">
        <f t="shared" si="3"/>
        <v>0</v>
      </c>
      <c r="AY19" s="294">
        <f t="shared" si="4"/>
        <v>0</v>
      </c>
      <c r="AZ19" s="300">
        <f t="shared" si="5"/>
        <v>0</v>
      </c>
      <c r="BA19" s="560"/>
      <c r="BB19" s="301" t="str">
        <f>IF(AY19=0,"",(+'wgl tot'!AY19/'wgl tot'!Q19-1))</f>
        <v/>
      </c>
      <c r="BC19" s="560"/>
      <c r="BD19" s="542"/>
      <c r="BF19" s="649">
        <f ca="1">YEAR('wgl tot'!$BF$10)-YEAR('wgl tot'!E19)</f>
        <v>113</v>
      </c>
      <c r="BG19" s="650">
        <f ca="1">MONTH('wgl tot'!$BF$10)-MONTH('wgl tot'!E19)</f>
        <v>11</v>
      </c>
      <c r="BH19" s="650">
        <f ca="1">DAY('wgl tot'!$BF$10)-DAY('wgl tot'!E19)</f>
        <v>1</v>
      </c>
      <c r="BI19" s="635">
        <f>IF(AND('wgl tot'!F19&gt;0,'wgl tot'!F19&lt;16),0,100)</f>
        <v>100</v>
      </c>
      <c r="BJ19" s="635" t="e">
        <f>VLOOKUP('wgl tot'!F19,salaristabellen,22,FALSE)</f>
        <v>#N/A</v>
      </c>
      <c r="BK19" s="635">
        <f t="shared" si="0"/>
        <v>0</v>
      </c>
      <c r="BL19" s="651">
        <f t="shared" si="8"/>
        <v>41275</v>
      </c>
      <c r="BM19" s="652">
        <f t="shared" si="9"/>
        <v>0.08</v>
      </c>
      <c r="BN19" s="653">
        <f>+tabellen!$D$88</f>
        <v>6.3E-2</v>
      </c>
      <c r="BO19" s="650">
        <f>IF('wgl tot'!BI19=100,0,'wgl tot'!F19)</f>
        <v>0</v>
      </c>
      <c r="BP19" s="653" t="str">
        <f>IF(OR('wgl tot'!F19="DA",'wgl tot'!F19="DB",'wgl tot'!F19="DBuit",'wgl tot'!F19="DC",'wgl tot'!F19="DCuit",MID('wgl tot'!F19,1,5)="meerh"),"j","n")</f>
        <v>n</v>
      </c>
      <c r="BQ19" s="653">
        <f t="shared" si="10"/>
        <v>1.9E-2</v>
      </c>
      <c r="BR19" s="654">
        <f>IF(AI19&gt;'wgl tot'!AH19,'wgl tot'!AH19,AI19)</f>
        <v>0</v>
      </c>
      <c r="BS19" s="654"/>
      <c r="BT19" s="655" t="e">
        <f>IF('wgl tot'!AJ19/'wgl tot'!H19&lt;tabellen!$E$54,0,(+'wgl tot'!AJ19-tabellen!$E$54*'wgl tot'!H19)/12*tabellen!$D$54)</f>
        <v>#DIV/0!</v>
      </c>
      <c r="BU19" s="655" t="e">
        <f>IF('wgl tot'!AJ19/'wgl tot'!H19&lt;tabellen!$E$55,0,(+'wgl tot'!AJ19-tabellen!$E$55*'wgl tot'!H19)/12*tabellen!$D$55)</f>
        <v>#DIV/0!</v>
      </c>
      <c r="BV19" s="655">
        <f>'wgl tot'!AJ19/12*tabellen!$D$56</f>
        <v>0</v>
      </c>
      <c r="BW19" s="656" t="e">
        <f t="shared" si="1"/>
        <v>#DIV/0!</v>
      </c>
      <c r="BX19" s="657" t="e">
        <f>+('wgl tot'!AF19+'wgl tot'!AK19)/12-'wgl tot'!BW19</f>
        <v>#DIV/0!</v>
      </c>
      <c r="BY19" s="657" t="e">
        <f>ROUND(IF('wgl tot'!BX19&gt;tabellen!$H$61,tabellen!$H$61,'wgl tot'!BX19)*tabellen!$C$61,2)</f>
        <v>#DIV/0!</v>
      </c>
      <c r="BZ19" s="646" t="e">
        <f>+'wgl tot'!BX19</f>
        <v>#DIV/0!</v>
      </c>
      <c r="CA19" s="654"/>
      <c r="CB19" s="635">
        <f>IF(AND(M19="j",tabellen!$C$118&gt;=E19),1,0)</f>
        <v>0</v>
      </c>
      <c r="CC19" s="647" t="str">
        <f t="shared" si="6"/>
        <v/>
      </c>
      <c r="CD19" s="648" t="str">
        <f t="shared" si="7"/>
        <v/>
      </c>
      <c r="CE19" s="286"/>
      <c r="CF19" s="286"/>
      <c r="CG19" s="286"/>
      <c r="CH19" s="286"/>
      <c r="CI19" s="286"/>
      <c r="CJ19" s="286"/>
    </row>
    <row r="20" spans="2:88" ht="13.5" customHeight="1" x14ac:dyDescent="0.2">
      <c r="B20" s="541"/>
      <c r="C20" s="560"/>
      <c r="D20" s="289"/>
      <c r="E20" s="290"/>
      <c r="F20" s="291"/>
      <c r="G20" s="291"/>
      <c r="H20" s="293"/>
      <c r="I20" s="291"/>
      <c r="J20" s="291"/>
      <c r="K20" s="291"/>
      <c r="L20" s="291"/>
      <c r="M20" s="291"/>
      <c r="N20" s="295"/>
      <c r="O20" s="560"/>
      <c r="P20" s="292">
        <f>IF(F20="",0,(VLOOKUP('wgl tot'!F20,salaristabellen,'wgl tot'!G20+1,FALSE)))</f>
        <v>0</v>
      </c>
      <c r="Q20" s="294">
        <f>+'wgl tot'!P20*'wgl tot'!H20</f>
        <v>0</v>
      </c>
      <c r="R20" s="560"/>
      <c r="S20" s="296">
        <f>ROUND(IF(I20="j",VLOOKUP(BK20,uitlooptoeslag,2,FALSE))*IF('wgl tot'!H20&gt;1,1,'wgl tot'!H20),2)</f>
        <v>0</v>
      </c>
      <c r="T20" s="296">
        <f>ROUND(IF(OR('wgl tot'!F20="LA",'wgl tot'!F20="LB"),IF(J20="j",tabellen!$C$75*'wgl tot'!H20,0),0),2)</f>
        <v>0</v>
      </c>
      <c r="U20" s="296">
        <f>ROUND(IF(('wgl tot'!Q20+'wgl tot'!S20+'wgl tot'!T20)*BM20&lt;'wgl tot'!H20*tabellen!$D$87,'wgl tot'!H20*tabellen!$D$87,('wgl tot'!Q20+'wgl tot'!S20+'wgl tot'!T20)*BM20),2)</f>
        <v>0</v>
      </c>
      <c r="V20" s="296">
        <f>ROUND(+('wgl tot'!Q20+'wgl tot'!S20+'wgl tot'!T20)*BN20,2)</f>
        <v>0</v>
      </c>
      <c r="W20" s="296">
        <f>+tabellen!$C$83*'wgl tot'!H20</f>
        <v>0</v>
      </c>
      <c r="X20" s="296">
        <f>VLOOKUP(BO20,eindejaarsuitkering_OOP,2,TRUE)*'wgl tot'!H20/12</f>
        <v>0</v>
      </c>
      <c r="Y20" s="296">
        <f>ROUND(IF(BP20="j",tabellen!$D$96*IF('wgl tot'!H20&gt;1,1,'wgl tot'!H20),0),2)</f>
        <v>0</v>
      </c>
      <c r="Z20" s="297">
        <f>+'wgl tot'!Q20+S20+T20+U20+V20+W20+X20+Y20</f>
        <v>0</v>
      </c>
      <c r="AA20" s="562"/>
      <c r="AB20" s="563"/>
      <c r="AC20" s="292">
        <f>+'wgl tot'!Z20*12</f>
        <v>0</v>
      </c>
      <c r="AD20" s="296">
        <f>ROUND(IF(L20="j",VLOOKUP(K20,bindingstoelage,2,FALSE))*IF('wgl tot'!H20&gt;1,1,'wgl tot'!H20),2)</f>
        <v>0</v>
      </c>
      <c r="AE20" s="296">
        <f>ROUND('wgl tot'!H20*tabellen!$D$94,2)</f>
        <v>0</v>
      </c>
      <c r="AF20" s="292">
        <f t="shared" si="2"/>
        <v>0</v>
      </c>
      <c r="AG20" s="560"/>
      <c r="AH20" s="296">
        <f>+('wgl tot'!AF20/(1+1.9%))*BQ20</f>
        <v>0</v>
      </c>
      <c r="AI20" s="296">
        <f t="shared" si="11"/>
        <v>0</v>
      </c>
      <c r="AJ20" s="292">
        <f>ROUND('wgl tot'!AF20-IF('wgl tot'!AI20&gt;'wgl tot'!AH20,'wgl tot'!AH20,'wgl tot'!AI20),0)</f>
        <v>0</v>
      </c>
      <c r="AK20" s="298">
        <f>IF('wgl tot'!E20&lt;1950,0,+('wgl tot'!Q20+'wgl tot'!S20+'wgl tot'!T20)*tabellen!$C$85)*12</f>
        <v>0</v>
      </c>
      <c r="AL20" s="560"/>
      <c r="AM20" s="296">
        <f>+'wgl tot'!AF20/12</f>
        <v>0</v>
      </c>
      <c r="AN20" s="296">
        <f>IF(F20="",0,(IF('wgl tot'!AJ20/'wgl tot'!H20&lt;tabellen!$E$54,0,('wgl tot'!AJ20-tabellen!$E$54*'wgl tot'!H20)/12)*tabellen!$C$54))</f>
        <v>0</v>
      </c>
      <c r="AO20" s="296">
        <f>IF(F20="",0,(IF('wgl tot'!AJ20/'wgl tot'!H20&lt;tabellen!$E$55,0,(+'wgl tot'!AJ20-tabellen!$E$55*'wgl tot'!H20)/12)*tabellen!$C$55))</f>
        <v>0</v>
      </c>
      <c r="AP20" s="296">
        <f>'wgl tot'!AJ20/12*tabellen!$C$56</f>
        <v>0</v>
      </c>
      <c r="AQ20" s="296">
        <f>IF(F20="",0,IF(CD20=0,IF(CB20=0,IF('wgl tot'!BX20&gt;tabellen!$G$57/12,tabellen!$G$57/12,'wgl tot'!BX20)*(tabellen!$C$57+tabellen!$C$58+tabellen!$C$59),IF('wgl tot'!BX20&gt;tabellen!$G$57/12,tabellen!$G$57/12,'wgl tot'!BX20)*(tabellen!$C$58+tabellen!$C$59)),IF('wgl tot'!BX20&gt;tabellen!$G$57/12,tabellen!$G$57/12,'wgl tot'!BX20)*(tabellen!$C$57+tabellen!$C$58+tabellen!$C$59)))</f>
        <v>0</v>
      </c>
      <c r="AR20" s="296">
        <f>IF(F20="",0,('wgl tot'!BY20))</f>
        <v>0</v>
      </c>
      <c r="AS20" s="299">
        <f>IF(F20="",0,(IF('wgl tot'!BX20&gt;tabellen!$G$62*'wgl tot'!H20/12,tabellen!$G$62*'wgl tot'!H20/12,'wgl tot'!BX20)*tabellen!$C$62))</f>
        <v>0</v>
      </c>
      <c r="AT20" s="299">
        <f>IF(F20="",0,('wgl tot'!BX20*IF(N20=1,tabellen!$C$63,IF(N20=2,tabellen!C71,IF(N20=3,tabellen!$C$65,tabellen!$C$66)))))</f>
        <v>0</v>
      </c>
      <c r="AU20" s="299">
        <f>IF(F20="",0,('wgl tot'!BX20*tabellen!$C$67))</f>
        <v>0</v>
      </c>
      <c r="AV20" s="299">
        <f>+'wgl tot'!AK20/12</f>
        <v>0</v>
      </c>
      <c r="AW20" s="618">
        <v>0</v>
      </c>
      <c r="AX20" s="299">
        <f t="shared" si="3"/>
        <v>0</v>
      </c>
      <c r="AY20" s="294">
        <f t="shared" si="4"/>
        <v>0</v>
      </c>
      <c r="AZ20" s="300">
        <f t="shared" si="5"/>
        <v>0</v>
      </c>
      <c r="BA20" s="560"/>
      <c r="BB20" s="301" t="str">
        <f>IF(AY20=0,"",(+'wgl tot'!AY20/'wgl tot'!Q20-1))</f>
        <v/>
      </c>
      <c r="BC20" s="560"/>
      <c r="BD20" s="542"/>
      <c r="BF20" s="649">
        <f ca="1">YEAR('wgl tot'!$BF$10)-YEAR('wgl tot'!E20)</f>
        <v>113</v>
      </c>
      <c r="BG20" s="650">
        <f ca="1">MONTH('wgl tot'!$BF$10)-MONTH('wgl tot'!E20)</f>
        <v>11</v>
      </c>
      <c r="BH20" s="650">
        <f ca="1">DAY('wgl tot'!$BF$10)-DAY('wgl tot'!E20)</f>
        <v>1</v>
      </c>
      <c r="BI20" s="635">
        <f>IF(AND('wgl tot'!F20&gt;0,'wgl tot'!F20&lt;16),0,100)</f>
        <v>100</v>
      </c>
      <c r="BJ20" s="635" t="e">
        <f>VLOOKUP('wgl tot'!F20,salaristabellen,22,FALSE)</f>
        <v>#N/A</v>
      </c>
      <c r="BK20" s="635">
        <f t="shared" si="0"/>
        <v>0</v>
      </c>
      <c r="BL20" s="651">
        <f t="shared" si="8"/>
        <v>41275</v>
      </c>
      <c r="BM20" s="652">
        <f t="shared" si="9"/>
        <v>0.08</v>
      </c>
      <c r="BN20" s="653">
        <f>+tabellen!$D$88</f>
        <v>6.3E-2</v>
      </c>
      <c r="BO20" s="650">
        <f>IF('wgl tot'!BI20=100,0,'wgl tot'!F20)</f>
        <v>0</v>
      </c>
      <c r="BP20" s="653" t="str">
        <f>IF(OR('wgl tot'!F20="DA",'wgl tot'!F20="DB",'wgl tot'!F20="DBuit",'wgl tot'!F20="DC",'wgl tot'!F20="DCuit",MID('wgl tot'!F20,1,5)="meerh"),"j","n")</f>
        <v>n</v>
      </c>
      <c r="BQ20" s="653">
        <f t="shared" si="10"/>
        <v>1.9E-2</v>
      </c>
      <c r="BR20" s="654">
        <f>IF(AI20&gt;'wgl tot'!AH20,'wgl tot'!AH20,AI20)</f>
        <v>0</v>
      </c>
      <c r="BS20" s="654"/>
      <c r="BT20" s="655" t="e">
        <f>IF('wgl tot'!AJ20/'wgl tot'!H20&lt;tabellen!$E$54,0,(+'wgl tot'!AJ20-tabellen!$E$54*'wgl tot'!H20)/12*tabellen!$D$54)</f>
        <v>#DIV/0!</v>
      </c>
      <c r="BU20" s="655" t="e">
        <f>IF('wgl tot'!AJ20/'wgl tot'!H20&lt;tabellen!$E$55,0,(+'wgl tot'!AJ20-tabellen!$E$55*'wgl tot'!H20)/12*tabellen!$D$55)</f>
        <v>#DIV/0!</v>
      </c>
      <c r="BV20" s="655">
        <f>'wgl tot'!AJ20/12*tabellen!$D$56</f>
        <v>0</v>
      </c>
      <c r="BW20" s="656" t="e">
        <f t="shared" si="1"/>
        <v>#DIV/0!</v>
      </c>
      <c r="BX20" s="657" t="e">
        <f>+('wgl tot'!AF20+'wgl tot'!AK20)/12-'wgl tot'!BW20</f>
        <v>#DIV/0!</v>
      </c>
      <c r="BY20" s="657" t="e">
        <f>ROUND(IF('wgl tot'!BX20&gt;tabellen!$H$61,tabellen!$H$61,'wgl tot'!BX20)*tabellen!$C$61,2)</f>
        <v>#DIV/0!</v>
      </c>
      <c r="BZ20" s="646" t="e">
        <f>+'wgl tot'!BX20</f>
        <v>#DIV/0!</v>
      </c>
      <c r="CA20" s="654"/>
      <c r="CB20" s="635">
        <f>IF(AND(M20="j",tabellen!$C$118&gt;=E20),1,0)</f>
        <v>0</v>
      </c>
      <c r="CC20" s="647" t="str">
        <f t="shared" si="6"/>
        <v/>
      </c>
      <c r="CD20" s="648" t="str">
        <f t="shared" si="7"/>
        <v/>
      </c>
      <c r="CE20" s="286"/>
      <c r="CF20" s="286"/>
      <c r="CG20" s="286"/>
      <c r="CH20" s="286"/>
      <c r="CI20" s="286"/>
      <c r="CJ20" s="286"/>
    </row>
    <row r="21" spans="2:88" ht="13.5" customHeight="1" x14ac:dyDescent="0.2">
      <c r="B21" s="541"/>
      <c r="C21" s="560"/>
      <c r="D21" s="289"/>
      <c r="E21" s="290"/>
      <c r="F21" s="291"/>
      <c r="G21" s="291"/>
      <c r="H21" s="293"/>
      <c r="I21" s="291"/>
      <c r="J21" s="291"/>
      <c r="K21" s="291"/>
      <c r="L21" s="291"/>
      <c r="M21" s="291"/>
      <c r="N21" s="295"/>
      <c r="O21" s="560"/>
      <c r="P21" s="292">
        <f>IF(F21="",0,(VLOOKUP('wgl tot'!F21,salaristabellen,'wgl tot'!G21+1,FALSE)))</f>
        <v>0</v>
      </c>
      <c r="Q21" s="294">
        <f>+'wgl tot'!P21*'wgl tot'!H21</f>
        <v>0</v>
      </c>
      <c r="R21" s="560"/>
      <c r="S21" s="296">
        <f>ROUND(IF(I21="j",VLOOKUP(BK21,uitlooptoeslag,2,FALSE))*IF('wgl tot'!H21&gt;1,1,'wgl tot'!H21),2)</f>
        <v>0</v>
      </c>
      <c r="T21" s="296">
        <f>ROUND(IF(OR('wgl tot'!F21="LA",'wgl tot'!F21="LB"),IF(J21="j",tabellen!$C$75*'wgl tot'!H21,0),0),2)</f>
        <v>0</v>
      </c>
      <c r="U21" s="296">
        <f>ROUND(IF(('wgl tot'!Q21+'wgl tot'!S21+'wgl tot'!T21)*BM21&lt;'wgl tot'!H21*tabellen!$D$87,'wgl tot'!H21*tabellen!$D$87,('wgl tot'!Q21+'wgl tot'!S21+'wgl tot'!T21)*BM21),2)</f>
        <v>0</v>
      </c>
      <c r="V21" s="296">
        <f>ROUND(+('wgl tot'!Q21+'wgl tot'!S21+'wgl tot'!T21)*BN21,2)</f>
        <v>0</v>
      </c>
      <c r="W21" s="296">
        <f>+tabellen!$C$83*'wgl tot'!H21</f>
        <v>0</v>
      </c>
      <c r="X21" s="296">
        <f>VLOOKUP(BO21,eindejaarsuitkering_OOP,2,TRUE)*'wgl tot'!H21/12</f>
        <v>0</v>
      </c>
      <c r="Y21" s="296">
        <f>ROUND(IF(BP21="j",tabellen!$D$96*IF('wgl tot'!H21&gt;1,1,'wgl tot'!H21),0),2)</f>
        <v>0</v>
      </c>
      <c r="Z21" s="297">
        <f>+'wgl tot'!Q21+S21+T21+U21+V21+W21+X21+Y21</f>
        <v>0</v>
      </c>
      <c r="AA21" s="562"/>
      <c r="AB21" s="563"/>
      <c r="AC21" s="292">
        <f>+'wgl tot'!Z21*12</f>
        <v>0</v>
      </c>
      <c r="AD21" s="296">
        <f>ROUND(IF(L21="j",VLOOKUP(K21,bindingstoelage,2,FALSE))*IF('wgl tot'!H21&gt;1,1,'wgl tot'!H21),2)</f>
        <v>0</v>
      </c>
      <c r="AE21" s="296">
        <f>ROUND('wgl tot'!H21*tabellen!$D$94,2)</f>
        <v>0</v>
      </c>
      <c r="AF21" s="292">
        <f t="shared" si="2"/>
        <v>0</v>
      </c>
      <c r="AG21" s="560"/>
      <c r="AH21" s="296">
        <f>+('wgl tot'!AF21/(1+1.9%))*BQ21</f>
        <v>0</v>
      </c>
      <c r="AI21" s="296">
        <f t="shared" si="11"/>
        <v>0</v>
      </c>
      <c r="AJ21" s="292">
        <f>ROUND('wgl tot'!AF21-IF('wgl tot'!AI21&gt;'wgl tot'!AH21,'wgl tot'!AH21,'wgl tot'!AI21),0)</f>
        <v>0</v>
      </c>
      <c r="AK21" s="298">
        <f>IF('wgl tot'!E21&lt;1950,0,+('wgl tot'!Q21+'wgl tot'!S21+'wgl tot'!T21)*tabellen!$C$85)*12</f>
        <v>0</v>
      </c>
      <c r="AL21" s="560"/>
      <c r="AM21" s="296">
        <f>+'wgl tot'!AF21/12</f>
        <v>0</v>
      </c>
      <c r="AN21" s="296">
        <f>IF(F21="",0,(IF('wgl tot'!AJ21/'wgl tot'!H21&lt;tabellen!$E$54,0,('wgl tot'!AJ21-tabellen!$E$54*'wgl tot'!H21)/12)*tabellen!$C$54))</f>
        <v>0</v>
      </c>
      <c r="AO21" s="296">
        <f>IF(F21="",0,(IF('wgl tot'!AJ21/'wgl tot'!H21&lt;tabellen!$E$55,0,(+'wgl tot'!AJ21-tabellen!$E$55*'wgl tot'!H21)/12)*tabellen!$C$55))</f>
        <v>0</v>
      </c>
      <c r="AP21" s="296">
        <f>'wgl tot'!AJ21/12*tabellen!$C$56</f>
        <v>0</v>
      </c>
      <c r="AQ21" s="296">
        <f>IF(F21="",0,IF(CD21=0,IF(CB21=0,IF('wgl tot'!BX21&gt;tabellen!$G$57/12,tabellen!$G$57/12,'wgl tot'!BX21)*(tabellen!$C$57+tabellen!$C$58+tabellen!$C$59),IF('wgl tot'!BX21&gt;tabellen!$G$57/12,tabellen!$G$57/12,'wgl tot'!BX21)*(tabellen!$C$58+tabellen!$C$59)),IF('wgl tot'!BX21&gt;tabellen!$G$57/12,tabellen!$G$57/12,'wgl tot'!BX21)*(tabellen!$C$57+tabellen!$C$58+tabellen!$C$59)))</f>
        <v>0</v>
      </c>
      <c r="AR21" s="296">
        <f>IF(F21="",0,('wgl tot'!BY21))</f>
        <v>0</v>
      </c>
      <c r="AS21" s="299">
        <f>IF(F21="",0,(IF('wgl tot'!BX21&gt;tabellen!$G$62*'wgl tot'!H21/12,tabellen!$G$62*'wgl tot'!H21/12,'wgl tot'!BX21)*tabellen!$C$62))</f>
        <v>0</v>
      </c>
      <c r="AT21" s="299">
        <f>IF(F21="",0,('wgl tot'!BX21*IF(N21=1,tabellen!$C$63,IF(N21=2,tabellen!C72,IF(N21=3,tabellen!$C$65,tabellen!$C$66)))))</f>
        <v>0</v>
      </c>
      <c r="AU21" s="299">
        <f>IF(F21="",0,('wgl tot'!BX21*tabellen!$C$67))</f>
        <v>0</v>
      </c>
      <c r="AV21" s="299">
        <f>+'wgl tot'!AK21/12</f>
        <v>0</v>
      </c>
      <c r="AW21" s="618">
        <v>0</v>
      </c>
      <c r="AX21" s="299">
        <f t="shared" si="3"/>
        <v>0</v>
      </c>
      <c r="AY21" s="294">
        <f t="shared" si="4"/>
        <v>0</v>
      </c>
      <c r="AZ21" s="300">
        <f t="shared" si="5"/>
        <v>0</v>
      </c>
      <c r="BA21" s="560"/>
      <c r="BB21" s="301" t="str">
        <f>IF(AY21=0,"",(+'wgl tot'!AY21/'wgl tot'!Q21-1))</f>
        <v/>
      </c>
      <c r="BC21" s="560"/>
      <c r="BD21" s="542"/>
      <c r="BF21" s="649">
        <f ca="1">YEAR('wgl tot'!$BF$10)-YEAR('wgl tot'!E21)</f>
        <v>113</v>
      </c>
      <c r="BG21" s="650">
        <f ca="1">MONTH('wgl tot'!$BF$10)-MONTH('wgl tot'!E21)</f>
        <v>11</v>
      </c>
      <c r="BH21" s="650">
        <f ca="1">DAY('wgl tot'!$BF$10)-DAY('wgl tot'!E21)</f>
        <v>1</v>
      </c>
      <c r="BI21" s="635">
        <f>IF(AND('wgl tot'!F21&gt;0,'wgl tot'!F21&lt;16),0,100)</f>
        <v>100</v>
      </c>
      <c r="BJ21" s="635" t="e">
        <f>VLOOKUP('wgl tot'!F21,salaristabellen,22,FALSE)</f>
        <v>#N/A</v>
      </c>
      <c r="BK21" s="635">
        <f t="shared" si="0"/>
        <v>0</v>
      </c>
      <c r="BL21" s="651">
        <f t="shared" si="8"/>
        <v>41275</v>
      </c>
      <c r="BM21" s="652">
        <f t="shared" si="9"/>
        <v>0.08</v>
      </c>
      <c r="BN21" s="653">
        <f>+tabellen!$D$88</f>
        <v>6.3E-2</v>
      </c>
      <c r="BO21" s="650">
        <f>IF('wgl tot'!BI21=100,0,'wgl tot'!F21)</f>
        <v>0</v>
      </c>
      <c r="BP21" s="653" t="str">
        <f>IF(OR('wgl tot'!F21="DA",'wgl tot'!F21="DB",'wgl tot'!F21="DBuit",'wgl tot'!F21="DC",'wgl tot'!F21="DCuit",MID('wgl tot'!F21,1,5)="meerh"),"j","n")</f>
        <v>n</v>
      </c>
      <c r="BQ21" s="653">
        <f t="shared" si="10"/>
        <v>1.9E-2</v>
      </c>
      <c r="BR21" s="654">
        <f>IF(AI21&gt;'wgl tot'!AH21,'wgl tot'!AH21,AI21)</f>
        <v>0</v>
      </c>
      <c r="BS21" s="654"/>
      <c r="BT21" s="655" t="e">
        <f>IF('wgl tot'!AJ21/'wgl tot'!H21&lt;tabellen!$E$54,0,(+'wgl tot'!AJ21-tabellen!$E$54*'wgl tot'!H21)/12*tabellen!$D$54)</f>
        <v>#DIV/0!</v>
      </c>
      <c r="BU21" s="655" t="e">
        <f>IF('wgl tot'!AJ21/'wgl tot'!H21&lt;tabellen!$E$55,0,(+'wgl tot'!AJ21-tabellen!$E$55*'wgl tot'!H21)/12*tabellen!$D$55)</f>
        <v>#DIV/0!</v>
      </c>
      <c r="BV21" s="655">
        <f>'wgl tot'!AJ21/12*tabellen!$D$56</f>
        <v>0</v>
      </c>
      <c r="BW21" s="656" t="e">
        <f t="shared" si="1"/>
        <v>#DIV/0!</v>
      </c>
      <c r="BX21" s="657" t="e">
        <f>+('wgl tot'!AF21+'wgl tot'!AK21)/12-'wgl tot'!BW21</f>
        <v>#DIV/0!</v>
      </c>
      <c r="BY21" s="657" t="e">
        <f>ROUND(IF('wgl tot'!BX21&gt;tabellen!$H$61,tabellen!$H$61,'wgl tot'!BX21)*tabellen!$C$61,2)</f>
        <v>#DIV/0!</v>
      </c>
      <c r="BZ21" s="646" t="e">
        <f>+'wgl tot'!BX21</f>
        <v>#DIV/0!</v>
      </c>
      <c r="CA21" s="654"/>
      <c r="CB21" s="635">
        <f>IF(AND(M21="j",tabellen!$C$118&gt;=E21),1,0)</f>
        <v>0</v>
      </c>
      <c r="CC21" s="647" t="str">
        <f t="shared" si="6"/>
        <v/>
      </c>
      <c r="CD21" s="648" t="str">
        <f t="shared" si="7"/>
        <v/>
      </c>
      <c r="CE21" s="286"/>
      <c r="CF21" s="286"/>
      <c r="CG21" s="286"/>
      <c r="CH21" s="286"/>
      <c r="CI21" s="286"/>
      <c r="CJ21" s="286"/>
    </row>
    <row r="22" spans="2:88" ht="13.5" customHeight="1" x14ac:dyDescent="0.2">
      <c r="B22" s="541"/>
      <c r="C22" s="560"/>
      <c r="D22" s="289"/>
      <c r="E22" s="290"/>
      <c r="F22" s="291"/>
      <c r="G22" s="291"/>
      <c r="H22" s="293"/>
      <c r="I22" s="291"/>
      <c r="J22" s="291"/>
      <c r="K22" s="291"/>
      <c r="L22" s="291"/>
      <c r="M22" s="291"/>
      <c r="N22" s="295"/>
      <c r="O22" s="560"/>
      <c r="P22" s="292">
        <f>IF(F22="",0,(VLOOKUP('wgl tot'!F22,salaristabellen,'wgl tot'!G22+1,FALSE)))</f>
        <v>0</v>
      </c>
      <c r="Q22" s="294">
        <f>+'wgl tot'!P22*'wgl tot'!H22</f>
        <v>0</v>
      </c>
      <c r="R22" s="560"/>
      <c r="S22" s="296">
        <f>ROUND(IF(I22="j",VLOOKUP(BK22,uitlooptoeslag,2,FALSE))*IF('wgl tot'!H22&gt;1,1,'wgl tot'!H22),2)</f>
        <v>0</v>
      </c>
      <c r="T22" s="296">
        <f>ROUND(IF(OR('wgl tot'!F22="LA",'wgl tot'!F22="LB"),IF(J22="j",tabellen!$C$75*'wgl tot'!H22,0),0),2)</f>
        <v>0</v>
      </c>
      <c r="U22" s="296">
        <f>ROUND(IF(('wgl tot'!Q22+'wgl tot'!S22+'wgl tot'!T22)*BM22&lt;'wgl tot'!H22*tabellen!$D$87,'wgl tot'!H22*tabellen!$D$87,('wgl tot'!Q22+'wgl tot'!S22+'wgl tot'!T22)*BM22),2)</f>
        <v>0</v>
      </c>
      <c r="V22" s="296">
        <f>ROUND(+('wgl tot'!Q22+'wgl tot'!S22+'wgl tot'!T22)*BN22,2)</f>
        <v>0</v>
      </c>
      <c r="W22" s="296">
        <f>+tabellen!$C$83*'wgl tot'!H22</f>
        <v>0</v>
      </c>
      <c r="X22" s="296">
        <f>VLOOKUP(BO22,eindejaarsuitkering_OOP,2,TRUE)*'wgl tot'!H22/12</f>
        <v>0</v>
      </c>
      <c r="Y22" s="296">
        <f>ROUND(IF(BP22="j",tabellen!$D$96*IF('wgl tot'!H22&gt;1,1,'wgl tot'!H22),0),2)</f>
        <v>0</v>
      </c>
      <c r="Z22" s="297">
        <f>+'wgl tot'!Q22+S22+T22+U22+V22+W22+X22+Y22</f>
        <v>0</v>
      </c>
      <c r="AA22" s="562"/>
      <c r="AB22" s="563"/>
      <c r="AC22" s="292">
        <f>+'wgl tot'!Z22*12</f>
        <v>0</v>
      </c>
      <c r="AD22" s="296">
        <f>ROUND(IF(L22="j",VLOOKUP(K22,bindingstoelage,2,FALSE))*IF('wgl tot'!H22&gt;1,1,'wgl tot'!H22),2)</f>
        <v>0</v>
      </c>
      <c r="AE22" s="296">
        <f>ROUND('wgl tot'!H22*tabellen!$D$94,2)</f>
        <v>0</v>
      </c>
      <c r="AF22" s="292">
        <f t="shared" si="2"/>
        <v>0</v>
      </c>
      <c r="AG22" s="560"/>
      <c r="AH22" s="296">
        <f>+('wgl tot'!AF22/(1+1.9%))*BQ22</f>
        <v>0</v>
      </c>
      <c r="AI22" s="296">
        <f t="shared" si="11"/>
        <v>0</v>
      </c>
      <c r="AJ22" s="292">
        <f>ROUND('wgl tot'!AF22-IF('wgl tot'!AI22&gt;'wgl tot'!AH22,'wgl tot'!AH22,'wgl tot'!AI22),0)</f>
        <v>0</v>
      </c>
      <c r="AK22" s="298">
        <f>IF('wgl tot'!E22&lt;1950,0,+('wgl tot'!Q22+'wgl tot'!S22+'wgl tot'!T22)*tabellen!$C$85)*12</f>
        <v>0</v>
      </c>
      <c r="AL22" s="560"/>
      <c r="AM22" s="296">
        <f>+'wgl tot'!AF22/12</f>
        <v>0</v>
      </c>
      <c r="AN22" s="296">
        <f>IF(F22="",0,(IF('wgl tot'!AJ22/'wgl tot'!H22&lt;tabellen!$E$54,0,('wgl tot'!AJ22-tabellen!$E$54*'wgl tot'!H22)/12)*tabellen!$C$54))</f>
        <v>0</v>
      </c>
      <c r="AO22" s="296">
        <f>IF(F22="",0,(IF('wgl tot'!AJ22/'wgl tot'!H22&lt;tabellen!$E$55,0,(+'wgl tot'!AJ22-tabellen!$E$55*'wgl tot'!H22)/12)*tabellen!$C$55))</f>
        <v>0</v>
      </c>
      <c r="AP22" s="296">
        <f>'wgl tot'!AJ22/12*tabellen!$C$56</f>
        <v>0</v>
      </c>
      <c r="AQ22" s="296">
        <f>IF(F22="",0,IF(CD22=0,IF(CB22=0,IF('wgl tot'!BX22&gt;tabellen!$G$57/12,tabellen!$G$57/12,'wgl tot'!BX22)*(tabellen!$C$57+tabellen!$C$58+tabellen!$C$59),IF('wgl tot'!BX22&gt;tabellen!$G$57/12,tabellen!$G$57/12,'wgl tot'!BX22)*(tabellen!$C$58+tabellen!$C$59)),IF('wgl tot'!BX22&gt;tabellen!$G$57/12,tabellen!$G$57/12,'wgl tot'!BX22)*(tabellen!$C$57+tabellen!$C$58+tabellen!$C$59)))</f>
        <v>0</v>
      </c>
      <c r="AR22" s="296">
        <f>IF(F22="",0,('wgl tot'!BY22))</f>
        <v>0</v>
      </c>
      <c r="AS22" s="299">
        <f>IF(F22="",0,(IF('wgl tot'!BX22&gt;tabellen!$G$62*'wgl tot'!H22/12,tabellen!$G$62*'wgl tot'!H22/12,'wgl tot'!BX22)*tabellen!$C$62))</f>
        <v>0</v>
      </c>
      <c r="AT22" s="299">
        <f>IF(F22="",0,('wgl tot'!BX22*IF(N22=1,tabellen!$C$63,IF(N22=2,tabellen!C73,IF(N22=3,tabellen!$C$65,tabellen!$C$66)))))</f>
        <v>0</v>
      </c>
      <c r="AU22" s="299">
        <f>IF(F22="",0,('wgl tot'!BX22*tabellen!$C$67))</f>
        <v>0</v>
      </c>
      <c r="AV22" s="299">
        <f>+'wgl tot'!AK22/12</f>
        <v>0</v>
      </c>
      <c r="AW22" s="618">
        <v>0</v>
      </c>
      <c r="AX22" s="299">
        <f t="shared" si="3"/>
        <v>0</v>
      </c>
      <c r="AY22" s="294">
        <f t="shared" si="4"/>
        <v>0</v>
      </c>
      <c r="AZ22" s="300">
        <f t="shared" si="5"/>
        <v>0</v>
      </c>
      <c r="BA22" s="560"/>
      <c r="BB22" s="301" t="str">
        <f>IF(AY22=0,"",(+'wgl tot'!AY22/'wgl tot'!Q22-1))</f>
        <v/>
      </c>
      <c r="BC22" s="560"/>
      <c r="BD22" s="542"/>
      <c r="BF22" s="649">
        <f ca="1">YEAR('wgl tot'!$BF$10)-YEAR('wgl tot'!E22)</f>
        <v>113</v>
      </c>
      <c r="BG22" s="650">
        <f ca="1">MONTH('wgl tot'!$BF$10)-MONTH('wgl tot'!E22)</f>
        <v>11</v>
      </c>
      <c r="BH22" s="650">
        <f ca="1">DAY('wgl tot'!$BF$10)-DAY('wgl tot'!E22)</f>
        <v>1</v>
      </c>
      <c r="BI22" s="635">
        <f>IF(AND('wgl tot'!F22&gt;0,'wgl tot'!F22&lt;16),0,100)</f>
        <v>100</v>
      </c>
      <c r="BJ22" s="635" t="e">
        <f>VLOOKUP('wgl tot'!F22,salaristabellen,22,FALSE)</f>
        <v>#N/A</v>
      </c>
      <c r="BK22" s="635">
        <f t="shared" si="0"/>
        <v>0</v>
      </c>
      <c r="BL22" s="651">
        <f t="shared" si="8"/>
        <v>41275</v>
      </c>
      <c r="BM22" s="652">
        <f t="shared" si="9"/>
        <v>0.08</v>
      </c>
      <c r="BN22" s="653">
        <f>+tabellen!$D$88</f>
        <v>6.3E-2</v>
      </c>
      <c r="BO22" s="650">
        <f>IF('wgl tot'!BI22=100,0,'wgl tot'!F22)</f>
        <v>0</v>
      </c>
      <c r="BP22" s="653" t="str">
        <f>IF(OR('wgl tot'!F22="DA",'wgl tot'!F22="DB",'wgl tot'!F22="DBuit",'wgl tot'!F22="DC",'wgl tot'!F22="DCuit",MID('wgl tot'!F22,1,5)="meerh"),"j","n")</f>
        <v>n</v>
      </c>
      <c r="BQ22" s="653">
        <f t="shared" si="10"/>
        <v>1.9E-2</v>
      </c>
      <c r="BR22" s="654">
        <f>IF(AI22&gt;'wgl tot'!AH22,'wgl tot'!AH22,AI22)</f>
        <v>0</v>
      </c>
      <c r="BS22" s="654"/>
      <c r="BT22" s="655" t="e">
        <f>IF('wgl tot'!AJ22/'wgl tot'!H22&lt;tabellen!$E$54,0,(+'wgl tot'!AJ22-tabellen!$E$54*'wgl tot'!H22)/12*tabellen!$D$54)</f>
        <v>#DIV/0!</v>
      </c>
      <c r="BU22" s="655" t="e">
        <f>IF('wgl tot'!AJ22/'wgl tot'!H22&lt;tabellen!$E$55,0,(+'wgl tot'!AJ22-tabellen!$E$55*'wgl tot'!H22)/12*tabellen!$D$55)</f>
        <v>#DIV/0!</v>
      </c>
      <c r="BV22" s="655">
        <f>'wgl tot'!AJ22/12*tabellen!$D$56</f>
        <v>0</v>
      </c>
      <c r="BW22" s="656" t="e">
        <f t="shared" si="1"/>
        <v>#DIV/0!</v>
      </c>
      <c r="BX22" s="657" t="e">
        <f>+('wgl tot'!AF22+'wgl tot'!AK22)/12-'wgl tot'!BW22</f>
        <v>#DIV/0!</v>
      </c>
      <c r="BY22" s="657" t="e">
        <f>ROUND(IF('wgl tot'!BX22&gt;tabellen!$H$61,tabellen!$H$61,'wgl tot'!BX22)*tabellen!$C$61,2)</f>
        <v>#DIV/0!</v>
      </c>
      <c r="BZ22" s="646" t="e">
        <f>+'wgl tot'!BX22</f>
        <v>#DIV/0!</v>
      </c>
      <c r="CA22" s="654"/>
      <c r="CB22" s="635">
        <f>IF(AND(M22="j",tabellen!$C$118&gt;=E22),1,0)</f>
        <v>0</v>
      </c>
      <c r="CC22" s="647" t="str">
        <f t="shared" si="6"/>
        <v/>
      </c>
      <c r="CD22" s="648" t="str">
        <f t="shared" si="7"/>
        <v/>
      </c>
      <c r="CE22" s="286"/>
      <c r="CF22" s="286"/>
      <c r="CG22" s="286"/>
      <c r="CH22" s="286"/>
      <c r="CI22" s="286"/>
      <c r="CJ22" s="286"/>
    </row>
    <row r="23" spans="2:88" ht="13.5" customHeight="1" x14ac:dyDescent="0.2">
      <c r="B23" s="541"/>
      <c r="C23" s="560"/>
      <c r="D23" s="289"/>
      <c r="E23" s="290"/>
      <c r="F23" s="291"/>
      <c r="G23" s="291"/>
      <c r="H23" s="293"/>
      <c r="I23" s="291"/>
      <c r="J23" s="291"/>
      <c r="K23" s="291"/>
      <c r="L23" s="291"/>
      <c r="M23" s="291"/>
      <c r="N23" s="295"/>
      <c r="O23" s="560"/>
      <c r="P23" s="292">
        <f>IF(F23="",0,(VLOOKUP('wgl tot'!F23,salaristabellen,'wgl tot'!G23+1,FALSE)))</f>
        <v>0</v>
      </c>
      <c r="Q23" s="294">
        <f>+'wgl tot'!P23*'wgl tot'!H23</f>
        <v>0</v>
      </c>
      <c r="R23" s="560"/>
      <c r="S23" s="296">
        <f>ROUND(IF(I23="j",VLOOKUP(BK23,uitlooptoeslag,2,FALSE))*IF('wgl tot'!H23&gt;1,1,'wgl tot'!H23),2)</f>
        <v>0</v>
      </c>
      <c r="T23" s="296">
        <f>ROUND(IF(OR('wgl tot'!F23="LA",'wgl tot'!F23="LB"),IF(J23="j",tabellen!$C$75*'wgl tot'!H23,0),0),2)</f>
        <v>0</v>
      </c>
      <c r="U23" s="296">
        <f>ROUND(IF(('wgl tot'!Q23+'wgl tot'!S23+'wgl tot'!T23)*BM23&lt;'wgl tot'!H23*tabellen!$D$87,'wgl tot'!H23*tabellen!$D$87,('wgl tot'!Q23+'wgl tot'!S23+'wgl tot'!T23)*BM23),2)</f>
        <v>0</v>
      </c>
      <c r="V23" s="296">
        <f>ROUND(+('wgl tot'!Q23+'wgl tot'!S23+'wgl tot'!T23)*BN23,2)</f>
        <v>0</v>
      </c>
      <c r="W23" s="296">
        <f>+tabellen!$C$83*'wgl tot'!H23</f>
        <v>0</v>
      </c>
      <c r="X23" s="296">
        <f>VLOOKUP(BO23,eindejaarsuitkering_OOP,2,TRUE)*'wgl tot'!H23/12</f>
        <v>0</v>
      </c>
      <c r="Y23" s="296">
        <f>ROUND(IF(BP23="j",tabellen!$D$96*IF('wgl tot'!H23&gt;1,1,'wgl tot'!H23),0),2)</f>
        <v>0</v>
      </c>
      <c r="Z23" s="297">
        <f>+'wgl tot'!Q23+S23+T23+U23+V23+W23+X23+Y23</f>
        <v>0</v>
      </c>
      <c r="AA23" s="562"/>
      <c r="AB23" s="563"/>
      <c r="AC23" s="292">
        <f>+'wgl tot'!Z23*12</f>
        <v>0</v>
      </c>
      <c r="AD23" s="296">
        <f>ROUND(IF(L23="j",VLOOKUP(K23,bindingstoelage,2,FALSE))*IF('wgl tot'!H23&gt;1,1,'wgl tot'!H23),2)</f>
        <v>0</v>
      </c>
      <c r="AE23" s="296">
        <f>ROUND('wgl tot'!H23*tabellen!$D$94,2)</f>
        <v>0</v>
      </c>
      <c r="AF23" s="292">
        <f t="shared" si="2"/>
        <v>0</v>
      </c>
      <c r="AG23" s="560"/>
      <c r="AH23" s="296">
        <f>+('wgl tot'!AF23/(1+1.9%))*BQ23</f>
        <v>0</v>
      </c>
      <c r="AI23" s="296">
        <f t="shared" si="11"/>
        <v>0</v>
      </c>
      <c r="AJ23" s="292">
        <f>ROUND('wgl tot'!AF23-IF('wgl tot'!AI23&gt;'wgl tot'!AH23,'wgl tot'!AH23,'wgl tot'!AI23),0)</f>
        <v>0</v>
      </c>
      <c r="AK23" s="298">
        <f>IF('wgl tot'!E23&lt;1950,0,+('wgl tot'!Q23+'wgl tot'!S23+'wgl tot'!T23)*tabellen!$C$85)*12</f>
        <v>0</v>
      </c>
      <c r="AL23" s="560"/>
      <c r="AM23" s="296">
        <f>+'wgl tot'!AF23/12</f>
        <v>0</v>
      </c>
      <c r="AN23" s="296">
        <f>IF(F23="",0,(IF('wgl tot'!AJ23/'wgl tot'!H23&lt;tabellen!$E$54,0,('wgl tot'!AJ23-tabellen!$E$54*'wgl tot'!H23)/12)*tabellen!$C$54))</f>
        <v>0</v>
      </c>
      <c r="AO23" s="296">
        <f>IF(F23="",0,(IF('wgl tot'!AJ23/'wgl tot'!H23&lt;tabellen!$E$55,0,(+'wgl tot'!AJ23-tabellen!$E$55*'wgl tot'!H23)/12)*tabellen!$C$55))</f>
        <v>0</v>
      </c>
      <c r="AP23" s="296">
        <f>'wgl tot'!AJ23/12*tabellen!$C$56</f>
        <v>0</v>
      </c>
      <c r="AQ23" s="296">
        <f>IF(F23="",0,IF(CD23=0,IF(CB23=0,IF('wgl tot'!BX23&gt;tabellen!$G$57/12,tabellen!$G$57/12,'wgl tot'!BX23)*(tabellen!$C$57+tabellen!$C$58+tabellen!$C$59),IF('wgl tot'!BX23&gt;tabellen!$G$57/12,tabellen!$G$57/12,'wgl tot'!BX23)*(tabellen!$C$58+tabellen!$C$59)),IF('wgl tot'!BX23&gt;tabellen!$G$57/12,tabellen!$G$57/12,'wgl tot'!BX23)*(tabellen!$C$57+tabellen!$C$58+tabellen!$C$59)))</f>
        <v>0</v>
      </c>
      <c r="AR23" s="296">
        <f>IF(F23="",0,('wgl tot'!BY23))</f>
        <v>0</v>
      </c>
      <c r="AS23" s="299">
        <f>IF(F23="",0,(IF('wgl tot'!BX23&gt;tabellen!$G$62*'wgl tot'!H23/12,tabellen!$G$62*'wgl tot'!H23/12,'wgl tot'!BX23)*tabellen!$C$62))</f>
        <v>0</v>
      </c>
      <c r="AT23" s="299">
        <f>IF(F23="",0,('wgl tot'!BX23*IF(N23=1,tabellen!$C$63,IF(N23=2,tabellen!C74,IF(N23=3,tabellen!$C$65,tabellen!$C$66)))))</f>
        <v>0</v>
      </c>
      <c r="AU23" s="299">
        <f>IF(F23="",0,('wgl tot'!BX23*tabellen!$C$67))</f>
        <v>0</v>
      </c>
      <c r="AV23" s="299">
        <f>+'wgl tot'!AK23/12</f>
        <v>0</v>
      </c>
      <c r="AW23" s="618">
        <v>0</v>
      </c>
      <c r="AX23" s="299">
        <f t="shared" si="3"/>
        <v>0</v>
      </c>
      <c r="AY23" s="294">
        <f t="shared" si="4"/>
        <v>0</v>
      </c>
      <c r="AZ23" s="300">
        <f t="shared" si="5"/>
        <v>0</v>
      </c>
      <c r="BA23" s="560"/>
      <c r="BB23" s="301" t="str">
        <f>IF(AY23=0,"",(+'wgl tot'!AY23/'wgl tot'!Q23-1))</f>
        <v/>
      </c>
      <c r="BC23" s="560"/>
      <c r="BD23" s="542"/>
      <c r="BF23" s="649">
        <f ca="1">YEAR('wgl tot'!$BF$10)-YEAR('wgl tot'!E23)</f>
        <v>113</v>
      </c>
      <c r="BG23" s="650">
        <f ca="1">MONTH('wgl tot'!$BF$10)-MONTH('wgl tot'!E23)</f>
        <v>11</v>
      </c>
      <c r="BH23" s="650">
        <f ca="1">DAY('wgl tot'!$BF$10)-DAY('wgl tot'!E23)</f>
        <v>1</v>
      </c>
      <c r="BI23" s="635">
        <f>IF(AND('wgl tot'!F23&gt;0,'wgl tot'!F23&lt;16),0,100)</f>
        <v>100</v>
      </c>
      <c r="BJ23" s="635" t="e">
        <f>VLOOKUP('wgl tot'!F23,salaristabellen,22,FALSE)</f>
        <v>#N/A</v>
      </c>
      <c r="BK23" s="635">
        <f t="shared" si="0"/>
        <v>0</v>
      </c>
      <c r="BL23" s="651">
        <f t="shared" si="8"/>
        <v>41275</v>
      </c>
      <c r="BM23" s="652">
        <f t="shared" si="9"/>
        <v>0.08</v>
      </c>
      <c r="BN23" s="653">
        <f>+tabellen!$D$88</f>
        <v>6.3E-2</v>
      </c>
      <c r="BO23" s="650">
        <f>IF('wgl tot'!BI23=100,0,'wgl tot'!F23)</f>
        <v>0</v>
      </c>
      <c r="BP23" s="653" t="str">
        <f>IF(OR('wgl tot'!F23="DA",'wgl tot'!F23="DB",'wgl tot'!F23="DBuit",'wgl tot'!F23="DC",'wgl tot'!F23="DCuit",MID('wgl tot'!F23,1,5)="meerh"),"j","n")</f>
        <v>n</v>
      </c>
      <c r="BQ23" s="653">
        <f t="shared" si="10"/>
        <v>1.9E-2</v>
      </c>
      <c r="BR23" s="654">
        <f>IF(AI23&gt;'wgl tot'!AH23,'wgl tot'!AH23,AI23)</f>
        <v>0</v>
      </c>
      <c r="BS23" s="654"/>
      <c r="BT23" s="655" t="e">
        <f>IF('wgl tot'!AJ23/'wgl tot'!H23&lt;tabellen!$E$54,0,(+'wgl tot'!AJ23-tabellen!$E$54*'wgl tot'!H23)/12*tabellen!$D$54)</f>
        <v>#DIV/0!</v>
      </c>
      <c r="BU23" s="655" t="e">
        <f>IF('wgl tot'!AJ23/'wgl tot'!H23&lt;tabellen!$E$55,0,(+'wgl tot'!AJ23-tabellen!$E$55*'wgl tot'!H23)/12*tabellen!$D$55)</f>
        <v>#DIV/0!</v>
      </c>
      <c r="BV23" s="655">
        <f>'wgl tot'!AJ23/12*tabellen!$D$56</f>
        <v>0</v>
      </c>
      <c r="BW23" s="656" t="e">
        <f t="shared" si="1"/>
        <v>#DIV/0!</v>
      </c>
      <c r="BX23" s="657" t="e">
        <f>+('wgl tot'!AF23+'wgl tot'!AK23)/12-'wgl tot'!BW23</f>
        <v>#DIV/0!</v>
      </c>
      <c r="BY23" s="657" t="e">
        <f>ROUND(IF('wgl tot'!BX23&gt;tabellen!$H$61,tabellen!$H$61,'wgl tot'!BX23)*tabellen!$C$61,2)</f>
        <v>#DIV/0!</v>
      </c>
      <c r="BZ23" s="646" t="e">
        <f>+'wgl tot'!BX23</f>
        <v>#DIV/0!</v>
      </c>
      <c r="CA23" s="654"/>
      <c r="CB23" s="635">
        <f>IF(AND(M23="j",tabellen!$C$118&gt;=E23),1,0)</f>
        <v>0</v>
      </c>
      <c r="CC23" s="647" t="str">
        <f t="shared" si="6"/>
        <v/>
      </c>
      <c r="CD23" s="648" t="str">
        <f t="shared" si="7"/>
        <v/>
      </c>
      <c r="CE23" s="286"/>
      <c r="CF23" s="286"/>
      <c r="CG23" s="286"/>
      <c r="CH23" s="286"/>
      <c r="CI23" s="286"/>
      <c r="CJ23" s="286"/>
    </row>
    <row r="24" spans="2:88" ht="13.5" customHeight="1" x14ac:dyDescent="0.2">
      <c r="B24" s="541"/>
      <c r="C24" s="560"/>
      <c r="D24" s="289"/>
      <c r="E24" s="290"/>
      <c r="F24" s="291"/>
      <c r="G24" s="291"/>
      <c r="H24" s="293"/>
      <c r="I24" s="291"/>
      <c r="J24" s="291"/>
      <c r="K24" s="291"/>
      <c r="L24" s="291"/>
      <c r="M24" s="291"/>
      <c r="N24" s="295"/>
      <c r="O24" s="560"/>
      <c r="P24" s="292">
        <f>IF(F24="",0,(VLOOKUP('wgl tot'!F24,salaristabellen,'wgl tot'!G24+1,FALSE)))</f>
        <v>0</v>
      </c>
      <c r="Q24" s="294">
        <f>+'wgl tot'!P24*'wgl tot'!H24</f>
        <v>0</v>
      </c>
      <c r="R24" s="560"/>
      <c r="S24" s="296">
        <f>ROUND(IF(I24="j",VLOOKUP(BK24,uitlooptoeslag,2,FALSE))*IF('wgl tot'!H24&gt;1,1,'wgl tot'!H24),2)</f>
        <v>0</v>
      </c>
      <c r="T24" s="296">
        <f>ROUND(IF(OR('wgl tot'!F24="LA",'wgl tot'!F24="LB"),IF(J24="j",tabellen!$C$75*'wgl tot'!H24,0),0),2)</f>
        <v>0</v>
      </c>
      <c r="U24" s="296">
        <f>ROUND(IF(('wgl tot'!Q24+'wgl tot'!S24+'wgl tot'!T24)*BM24&lt;'wgl tot'!H24*tabellen!$D$87,'wgl tot'!H24*tabellen!$D$87,('wgl tot'!Q24+'wgl tot'!S24+'wgl tot'!T24)*BM24),2)</f>
        <v>0</v>
      </c>
      <c r="V24" s="296">
        <f>ROUND(+('wgl tot'!Q24+'wgl tot'!S24+'wgl tot'!T24)*BN24,2)</f>
        <v>0</v>
      </c>
      <c r="W24" s="296">
        <f>+tabellen!$C$83*'wgl tot'!H24</f>
        <v>0</v>
      </c>
      <c r="X24" s="296">
        <f>VLOOKUP(BO24,eindejaarsuitkering_OOP,2,TRUE)*'wgl tot'!H24/12</f>
        <v>0</v>
      </c>
      <c r="Y24" s="296">
        <f>ROUND(IF(BP24="j",tabellen!$D$96*IF('wgl tot'!H24&gt;1,1,'wgl tot'!H24),0),2)</f>
        <v>0</v>
      </c>
      <c r="Z24" s="297">
        <f>+'wgl tot'!Q24+S24+T24+U24+V24+W24+X24+Y24</f>
        <v>0</v>
      </c>
      <c r="AA24" s="562"/>
      <c r="AB24" s="563"/>
      <c r="AC24" s="292">
        <f>+'wgl tot'!Z24*12</f>
        <v>0</v>
      </c>
      <c r="AD24" s="296">
        <f>ROUND(IF(L24="j",VLOOKUP(K24,bindingstoelage,2,FALSE))*IF('wgl tot'!H24&gt;1,1,'wgl tot'!H24),2)</f>
        <v>0</v>
      </c>
      <c r="AE24" s="296">
        <f>ROUND('wgl tot'!H24*tabellen!$D$94,2)</f>
        <v>0</v>
      </c>
      <c r="AF24" s="292">
        <f t="shared" si="2"/>
        <v>0</v>
      </c>
      <c r="AG24" s="560"/>
      <c r="AH24" s="296">
        <f>+('wgl tot'!AF24/(1+1.9%))*BQ24</f>
        <v>0</v>
      </c>
      <c r="AI24" s="296">
        <f t="shared" si="11"/>
        <v>0</v>
      </c>
      <c r="AJ24" s="292">
        <f>ROUND('wgl tot'!AF24-IF('wgl tot'!AI24&gt;'wgl tot'!AH24,'wgl tot'!AH24,'wgl tot'!AI24),0)</f>
        <v>0</v>
      </c>
      <c r="AK24" s="298">
        <f>IF('wgl tot'!E24&lt;1950,0,+('wgl tot'!Q24+'wgl tot'!S24+'wgl tot'!T24)*tabellen!$C$85)*12</f>
        <v>0</v>
      </c>
      <c r="AL24" s="560"/>
      <c r="AM24" s="296">
        <f>+'wgl tot'!AF24/12</f>
        <v>0</v>
      </c>
      <c r="AN24" s="296">
        <f>IF(F24="",0,(IF('wgl tot'!AJ24/'wgl tot'!H24&lt;tabellen!$E$54,0,('wgl tot'!AJ24-tabellen!$E$54*'wgl tot'!H24)/12)*tabellen!$C$54))</f>
        <v>0</v>
      </c>
      <c r="AO24" s="296">
        <f>IF(F24="",0,(IF('wgl tot'!AJ24/'wgl tot'!H24&lt;tabellen!$E$55,0,(+'wgl tot'!AJ24-tabellen!$E$55*'wgl tot'!H24)/12)*tabellen!$C$55))</f>
        <v>0</v>
      </c>
      <c r="AP24" s="296">
        <f>'wgl tot'!AJ24/12*tabellen!$C$56</f>
        <v>0</v>
      </c>
      <c r="AQ24" s="296">
        <f>IF(F24="",0,IF(CD24=0,IF(CB24=0,IF('wgl tot'!BX24&gt;tabellen!$G$57/12,tabellen!$G$57/12,'wgl tot'!BX24)*(tabellen!$C$57+tabellen!$C$58+tabellen!$C$59),IF('wgl tot'!BX24&gt;tabellen!$G$57/12,tabellen!$G$57/12,'wgl tot'!BX24)*(tabellen!$C$58+tabellen!$C$59)),IF('wgl tot'!BX24&gt;tabellen!$G$57/12,tabellen!$G$57/12,'wgl tot'!BX24)*(tabellen!$C$57+tabellen!$C$58+tabellen!$C$59)))</f>
        <v>0</v>
      </c>
      <c r="AR24" s="296">
        <f>IF(F24="",0,('wgl tot'!BY24))</f>
        <v>0</v>
      </c>
      <c r="AS24" s="299">
        <f>IF(F24="",0,(IF('wgl tot'!BX24&gt;tabellen!$G$62*'wgl tot'!H24/12,tabellen!$G$62*'wgl tot'!H24/12,'wgl tot'!BX24)*tabellen!$C$62))</f>
        <v>0</v>
      </c>
      <c r="AT24" s="299">
        <f>IF(F24="",0,('wgl tot'!BX24*IF(N24=1,tabellen!$C$63,IF(N24=2,tabellen!C75,IF(N24=3,tabellen!$C$65,tabellen!$C$66)))))</f>
        <v>0</v>
      </c>
      <c r="AU24" s="299">
        <f>IF(F24="",0,('wgl tot'!BX24*tabellen!$C$67))</f>
        <v>0</v>
      </c>
      <c r="AV24" s="299">
        <f>+'wgl tot'!AK24/12</f>
        <v>0</v>
      </c>
      <c r="AW24" s="618">
        <v>0</v>
      </c>
      <c r="AX24" s="299">
        <f t="shared" si="3"/>
        <v>0</v>
      </c>
      <c r="AY24" s="294">
        <f t="shared" si="4"/>
        <v>0</v>
      </c>
      <c r="AZ24" s="300">
        <f t="shared" si="5"/>
        <v>0</v>
      </c>
      <c r="BA24" s="560"/>
      <c r="BB24" s="301" t="str">
        <f>IF(AY24=0,"",(+'wgl tot'!AY24/'wgl tot'!Q24-1))</f>
        <v/>
      </c>
      <c r="BC24" s="560"/>
      <c r="BD24" s="542"/>
      <c r="BF24" s="649">
        <f ca="1">YEAR('wgl tot'!$BF$10)-YEAR('wgl tot'!E24)</f>
        <v>113</v>
      </c>
      <c r="BG24" s="650">
        <f ca="1">MONTH('wgl tot'!$BF$10)-MONTH('wgl tot'!E24)</f>
        <v>11</v>
      </c>
      <c r="BH24" s="650">
        <f ca="1">DAY('wgl tot'!$BF$10)-DAY('wgl tot'!E24)</f>
        <v>1</v>
      </c>
      <c r="BI24" s="635">
        <f>IF(AND('wgl tot'!F24&gt;0,'wgl tot'!F24&lt;16),0,100)</f>
        <v>100</v>
      </c>
      <c r="BJ24" s="635" t="e">
        <f>VLOOKUP('wgl tot'!F24,salaristabellen,22,FALSE)</f>
        <v>#N/A</v>
      </c>
      <c r="BK24" s="635">
        <f t="shared" si="0"/>
        <v>0</v>
      </c>
      <c r="BL24" s="651">
        <f t="shared" si="8"/>
        <v>41275</v>
      </c>
      <c r="BM24" s="652">
        <f t="shared" si="9"/>
        <v>0.08</v>
      </c>
      <c r="BN24" s="653">
        <f>+tabellen!$D$88</f>
        <v>6.3E-2</v>
      </c>
      <c r="BO24" s="650">
        <f>IF('wgl tot'!BI24=100,0,'wgl tot'!F24)</f>
        <v>0</v>
      </c>
      <c r="BP24" s="653" t="str">
        <f>IF(OR('wgl tot'!F24="DA",'wgl tot'!F24="DB",'wgl tot'!F24="DBuit",'wgl tot'!F24="DC",'wgl tot'!F24="DCuit",MID('wgl tot'!F24,1,5)="meerh"),"j","n")</f>
        <v>n</v>
      </c>
      <c r="BQ24" s="653">
        <f t="shared" si="10"/>
        <v>1.9E-2</v>
      </c>
      <c r="BR24" s="654">
        <f>IF(AI24&gt;'wgl tot'!AH24,'wgl tot'!AH24,AI24)</f>
        <v>0</v>
      </c>
      <c r="BS24" s="654"/>
      <c r="BT24" s="655" t="e">
        <f>IF('wgl tot'!AJ24/'wgl tot'!H24&lt;tabellen!$E$54,0,(+'wgl tot'!AJ24-tabellen!$E$54*'wgl tot'!H24)/12*tabellen!$D$54)</f>
        <v>#DIV/0!</v>
      </c>
      <c r="BU24" s="655" t="e">
        <f>IF('wgl tot'!AJ24/'wgl tot'!H24&lt;tabellen!$E$55,0,(+'wgl tot'!AJ24-tabellen!$E$55*'wgl tot'!H24)/12*tabellen!$D$55)</f>
        <v>#DIV/0!</v>
      </c>
      <c r="BV24" s="655">
        <f>'wgl tot'!AJ24/12*tabellen!$D$56</f>
        <v>0</v>
      </c>
      <c r="BW24" s="656" t="e">
        <f t="shared" si="1"/>
        <v>#DIV/0!</v>
      </c>
      <c r="BX24" s="657" t="e">
        <f>+('wgl tot'!AF24+'wgl tot'!AK24)/12-'wgl tot'!BW24</f>
        <v>#DIV/0!</v>
      </c>
      <c r="BY24" s="657" t="e">
        <f>ROUND(IF('wgl tot'!BX24&gt;tabellen!$H$61,tabellen!$H$61,'wgl tot'!BX24)*tabellen!$C$61,2)</f>
        <v>#DIV/0!</v>
      </c>
      <c r="BZ24" s="646" t="e">
        <f>+'wgl tot'!BX24</f>
        <v>#DIV/0!</v>
      </c>
      <c r="CA24" s="654"/>
      <c r="CB24" s="635">
        <f>IF(AND(M24="j",tabellen!$C$118&gt;=E24),1,0)</f>
        <v>0</v>
      </c>
      <c r="CC24" s="647" t="str">
        <f t="shared" si="6"/>
        <v/>
      </c>
      <c r="CD24" s="648" t="str">
        <f t="shared" si="7"/>
        <v/>
      </c>
      <c r="CE24" s="286"/>
      <c r="CF24" s="286"/>
      <c r="CG24" s="286"/>
      <c r="CH24" s="286"/>
      <c r="CI24" s="286"/>
      <c r="CJ24" s="286"/>
    </row>
    <row r="25" spans="2:88" ht="13.5" customHeight="1" x14ac:dyDescent="0.2">
      <c r="B25" s="541"/>
      <c r="C25" s="560"/>
      <c r="D25" s="289"/>
      <c r="E25" s="290"/>
      <c r="F25" s="291"/>
      <c r="G25" s="291"/>
      <c r="H25" s="293"/>
      <c r="I25" s="291"/>
      <c r="J25" s="291"/>
      <c r="K25" s="291"/>
      <c r="L25" s="291"/>
      <c r="M25" s="291"/>
      <c r="N25" s="295"/>
      <c r="O25" s="560"/>
      <c r="P25" s="292">
        <f>IF(F25="",0,(VLOOKUP('wgl tot'!F25,salaristabellen,'wgl tot'!G25+1,FALSE)))</f>
        <v>0</v>
      </c>
      <c r="Q25" s="294">
        <f>+'wgl tot'!P25*'wgl tot'!H25</f>
        <v>0</v>
      </c>
      <c r="R25" s="560"/>
      <c r="S25" s="296">
        <f>ROUND(IF(I25="j",VLOOKUP(BK25,uitlooptoeslag,2,FALSE))*IF('wgl tot'!H25&gt;1,1,'wgl tot'!H25),2)</f>
        <v>0</v>
      </c>
      <c r="T25" s="296">
        <f>ROUND(IF(OR('wgl tot'!F25="LA",'wgl tot'!F25="LB"),IF(J25="j",tabellen!$C$75*'wgl tot'!H25,0),0),2)</f>
        <v>0</v>
      </c>
      <c r="U25" s="296">
        <f>ROUND(IF(('wgl tot'!Q25+'wgl tot'!S25+'wgl tot'!T25)*BM25&lt;'wgl tot'!H25*tabellen!$D$87,'wgl tot'!H25*tabellen!$D$87,('wgl tot'!Q25+'wgl tot'!S25+'wgl tot'!T25)*BM25),2)</f>
        <v>0</v>
      </c>
      <c r="V25" s="296">
        <f>ROUND(+('wgl tot'!Q25+'wgl tot'!S25+'wgl tot'!T25)*BN25,2)</f>
        <v>0</v>
      </c>
      <c r="W25" s="296">
        <f>+tabellen!$C$83*'wgl tot'!H25</f>
        <v>0</v>
      </c>
      <c r="X25" s="296">
        <f>VLOOKUP(BO25,eindejaarsuitkering_OOP,2,TRUE)*'wgl tot'!H25/12</f>
        <v>0</v>
      </c>
      <c r="Y25" s="296">
        <f>ROUND(IF(BP25="j",tabellen!$D$96*IF('wgl tot'!H25&gt;1,1,'wgl tot'!H25),0),2)</f>
        <v>0</v>
      </c>
      <c r="Z25" s="297">
        <f>+'wgl tot'!Q25+S25+T25+U25+V25+W25+X25+Y25</f>
        <v>0</v>
      </c>
      <c r="AA25" s="562"/>
      <c r="AB25" s="563"/>
      <c r="AC25" s="292">
        <f>+'wgl tot'!Z25*12</f>
        <v>0</v>
      </c>
      <c r="AD25" s="296">
        <f>ROUND(IF(L25="j",VLOOKUP(K25,bindingstoelage,2,FALSE))*IF('wgl tot'!H25&gt;1,1,'wgl tot'!H25),2)</f>
        <v>0</v>
      </c>
      <c r="AE25" s="296">
        <f>ROUND('wgl tot'!H25*tabellen!$D$94,2)</f>
        <v>0</v>
      </c>
      <c r="AF25" s="292">
        <f t="shared" si="2"/>
        <v>0</v>
      </c>
      <c r="AG25" s="560"/>
      <c r="AH25" s="296">
        <f>+('wgl tot'!AF25/(1+1.9%))*BQ25</f>
        <v>0</v>
      </c>
      <c r="AI25" s="296">
        <f t="shared" si="11"/>
        <v>0</v>
      </c>
      <c r="AJ25" s="292">
        <f>ROUND('wgl tot'!AF25-IF('wgl tot'!AI25&gt;'wgl tot'!AH25,'wgl tot'!AH25,'wgl tot'!AI25),0)</f>
        <v>0</v>
      </c>
      <c r="AK25" s="298">
        <f>IF('wgl tot'!E25&lt;1950,0,+('wgl tot'!Q25+'wgl tot'!S25+'wgl tot'!T25)*tabellen!$C$85)*12</f>
        <v>0</v>
      </c>
      <c r="AL25" s="560"/>
      <c r="AM25" s="296">
        <f>+'wgl tot'!AF25/12</f>
        <v>0</v>
      </c>
      <c r="AN25" s="296">
        <f>IF(F25="",0,(IF('wgl tot'!AJ25/'wgl tot'!H25&lt;tabellen!$E$54,0,('wgl tot'!AJ25-tabellen!$E$54*'wgl tot'!H25)/12)*tabellen!$C$54))</f>
        <v>0</v>
      </c>
      <c r="AO25" s="296">
        <f>IF(F25="",0,(IF('wgl tot'!AJ25/'wgl tot'!H25&lt;tabellen!$E$55,0,(+'wgl tot'!AJ25-tabellen!$E$55*'wgl tot'!H25)/12)*tabellen!$C$55))</f>
        <v>0</v>
      </c>
      <c r="AP25" s="296">
        <f>'wgl tot'!AJ25/12*tabellen!$C$56</f>
        <v>0</v>
      </c>
      <c r="AQ25" s="296">
        <f>IF(F25="",0,IF(CD25=0,IF(CB25=0,IF('wgl tot'!BX25&gt;tabellen!$G$57/12,tabellen!$G$57/12,'wgl tot'!BX25)*(tabellen!$C$57+tabellen!$C$58+tabellen!$C$59),IF('wgl tot'!BX25&gt;tabellen!$G$57/12,tabellen!$G$57/12,'wgl tot'!BX25)*(tabellen!$C$58+tabellen!$C$59)),IF('wgl tot'!BX25&gt;tabellen!$G$57/12,tabellen!$G$57/12,'wgl tot'!BX25)*(tabellen!$C$57+tabellen!$C$58+tabellen!$C$59)))</f>
        <v>0</v>
      </c>
      <c r="AR25" s="296">
        <f>IF(F25="",0,('wgl tot'!BY25))</f>
        <v>0</v>
      </c>
      <c r="AS25" s="299">
        <f>IF(F25="",0,(IF('wgl tot'!BX25&gt;tabellen!$G$62*'wgl tot'!H25/12,tabellen!$G$62*'wgl tot'!H25/12,'wgl tot'!BX25)*tabellen!$C$62))</f>
        <v>0</v>
      </c>
      <c r="AT25" s="299">
        <f>IF(F25="",0,('wgl tot'!BX25*IF(N25=1,tabellen!$C$63,IF(N25=2,tabellen!C76,IF(N25=3,tabellen!$C$65,tabellen!$C$66)))))</f>
        <v>0</v>
      </c>
      <c r="AU25" s="299">
        <f>IF(F25="",0,('wgl tot'!BX25*tabellen!$C$67))</f>
        <v>0</v>
      </c>
      <c r="AV25" s="299">
        <f>+'wgl tot'!AK25/12</f>
        <v>0</v>
      </c>
      <c r="AW25" s="618">
        <v>0</v>
      </c>
      <c r="AX25" s="299">
        <f t="shared" si="3"/>
        <v>0</v>
      </c>
      <c r="AY25" s="294">
        <f t="shared" si="4"/>
        <v>0</v>
      </c>
      <c r="AZ25" s="300">
        <f t="shared" si="5"/>
        <v>0</v>
      </c>
      <c r="BA25" s="560"/>
      <c r="BB25" s="301" t="str">
        <f>IF(AY25=0,"",(+'wgl tot'!AY25/'wgl tot'!Q25-1))</f>
        <v/>
      </c>
      <c r="BC25" s="560"/>
      <c r="BD25" s="542"/>
      <c r="BF25" s="649">
        <f ca="1">YEAR('wgl tot'!$BF$10)-YEAR('wgl tot'!E25)</f>
        <v>113</v>
      </c>
      <c r="BG25" s="650">
        <f ca="1">MONTH('wgl tot'!$BF$10)-MONTH('wgl tot'!E25)</f>
        <v>11</v>
      </c>
      <c r="BH25" s="650">
        <f ca="1">DAY('wgl tot'!$BF$10)-DAY('wgl tot'!E25)</f>
        <v>1</v>
      </c>
      <c r="BI25" s="635">
        <f>IF(AND('wgl tot'!F25&gt;0,'wgl tot'!F25&lt;16),0,100)</f>
        <v>100</v>
      </c>
      <c r="BJ25" s="635" t="e">
        <f>VLOOKUP('wgl tot'!F25,salaristabellen,22,FALSE)</f>
        <v>#N/A</v>
      </c>
      <c r="BK25" s="635">
        <f t="shared" si="0"/>
        <v>0</v>
      </c>
      <c r="BL25" s="651">
        <f t="shared" si="8"/>
        <v>41275</v>
      </c>
      <c r="BM25" s="652">
        <f t="shared" si="9"/>
        <v>0.08</v>
      </c>
      <c r="BN25" s="653">
        <f>+tabellen!$D$88</f>
        <v>6.3E-2</v>
      </c>
      <c r="BO25" s="650">
        <f>IF('wgl tot'!BI25=100,0,'wgl tot'!F25)</f>
        <v>0</v>
      </c>
      <c r="BP25" s="653" t="str">
        <f>IF(OR('wgl tot'!F25="DA",'wgl tot'!F25="DB",'wgl tot'!F25="DBuit",'wgl tot'!F25="DC",'wgl tot'!F25="DCuit",MID('wgl tot'!F25,1,5)="meerh"),"j","n")</f>
        <v>n</v>
      </c>
      <c r="BQ25" s="653">
        <f t="shared" si="10"/>
        <v>1.9E-2</v>
      </c>
      <c r="BR25" s="654">
        <f>IF(AI25&gt;'wgl tot'!AH25,'wgl tot'!AH25,AI25)</f>
        <v>0</v>
      </c>
      <c r="BS25" s="654"/>
      <c r="BT25" s="655" t="e">
        <f>IF('wgl tot'!AJ25/'wgl tot'!H25&lt;tabellen!$E$54,0,(+'wgl tot'!AJ25-tabellen!$E$54*'wgl tot'!H25)/12*tabellen!$D$54)</f>
        <v>#DIV/0!</v>
      </c>
      <c r="BU25" s="655" t="e">
        <f>IF('wgl tot'!AJ25/'wgl tot'!H25&lt;tabellen!$E$55,0,(+'wgl tot'!AJ25-tabellen!$E$55*'wgl tot'!H25)/12*tabellen!$D$55)</f>
        <v>#DIV/0!</v>
      </c>
      <c r="BV25" s="655">
        <f>'wgl tot'!AJ25/12*tabellen!$D$56</f>
        <v>0</v>
      </c>
      <c r="BW25" s="656" t="e">
        <f t="shared" si="1"/>
        <v>#DIV/0!</v>
      </c>
      <c r="BX25" s="657" t="e">
        <f>+('wgl tot'!AF25+'wgl tot'!AK25)/12-'wgl tot'!BW25</f>
        <v>#DIV/0!</v>
      </c>
      <c r="BY25" s="657" t="e">
        <f>ROUND(IF('wgl tot'!BX25&gt;tabellen!$H$61,tabellen!$H$61,'wgl tot'!BX25)*tabellen!$C$61,2)</f>
        <v>#DIV/0!</v>
      </c>
      <c r="BZ25" s="646" t="e">
        <f>+'wgl tot'!BX25</f>
        <v>#DIV/0!</v>
      </c>
      <c r="CA25" s="654"/>
      <c r="CB25" s="635">
        <f>IF(AND(M25="j",tabellen!$C$118&gt;=E25),1,0)</f>
        <v>0</v>
      </c>
      <c r="CC25" s="647" t="str">
        <f t="shared" si="6"/>
        <v/>
      </c>
      <c r="CD25" s="648" t="str">
        <f t="shared" si="7"/>
        <v/>
      </c>
      <c r="CE25" s="286"/>
      <c r="CF25" s="286"/>
      <c r="CG25" s="286"/>
      <c r="CH25" s="286"/>
      <c r="CI25" s="286"/>
      <c r="CJ25" s="286"/>
    </row>
    <row r="26" spans="2:88" ht="13.5" customHeight="1" x14ac:dyDescent="0.2">
      <c r="B26" s="541"/>
      <c r="C26" s="560"/>
      <c r="D26" s="289"/>
      <c r="E26" s="290"/>
      <c r="F26" s="291"/>
      <c r="G26" s="291"/>
      <c r="H26" s="293"/>
      <c r="I26" s="291"/>
      <c r="J26" s="291"/>
      <c r="K26" s="291"/>
      <c r="L26" s="291"/>
      <c r="M26" s="291"/>
      <c r="N26" s="295"/>
      <c r="O26" s="560"/>
      <c r="P26" s="292">
        <f>IF(F26="",0,(VLOOKUP('wgl tot'!F26,salaristabellen,'wgl tot'!G26+1,FALSE)))</f>
        <v>0</v>
      </c>
      <c r="Q26" s="294">
        <f>+'wgl tot'!P26*'wgl tot'!H26</f>
        <v>0</v>
      </c>
      <c r="R26" s="560"/>
      <c r="S26" s="296">
        <f>ROUND(IF(I26="j",VLOOKUP(BK26,uitlooptoeslag,2,FALSE))*IF('wgl tot'!H26&gt;1,1,'wgl tot'!H26),2)</f>
        <v>0</v>
      </c>
      <c r="T26" s="296">
        <f>ROUND(IF(OR('wgl tot'!F26="LA",'wgl tot'!F26="LB"),IF(J26="j",tabellen!$C$75*'wgl tot'!H26,0),0),2)</f>
        <v>0</v>
      </c>
      <c r="U26" s="296">
        <f>ROUND(IF(('wgl tot'!Q26+'wgl tot'!S26+'wgl tot'!T26)*BM26&lt;'wgl tot'!H26*tabellen!$D$87,'wgl tot'!H26*tabellen!$D$87,('wgl tot'!Q26+'wgl tot'!S26+'wgl tot'!T26)*BM26),2)</f>
        <v>0</v>
      </c>
      <c r="V26" s="296">
        <f>ROUND(+('wgl tot'!Q26+'wgl tot'!S26+'wgl tot'!T26)*BN26,2)</f>
        <v>0</v>
      </c>
      <c r="W26" s="296">
        <f>+tabellen!$C$83*'wgl tot'!H26</f>
        <v>0</v>
      </c>
      <c r="X26" s="296">
        <f>VLOOKUP(BO26,eindejaarsuitkering_OOP,2,TRUE)*'wgl tot'!H26/12</f>
        <v>0</v>
      </c>
      <c r="Y26" s="296">
        <f>ROUND(IF(BP26="j",tabellen!$D$96*IF('wgl tot'!H26&gt;1,1,'wgl tot'!H26),0),2)</f>
        <v>0</v>
      </c>
      <c r="Z26" s="297">
        <f>+'wgl tot'!Q26+S26+T26+U26+V26+W26+X26+Y26</f>
        <v>0</v>
      </c>
      <c r="AA26" s="562"/>
      <c r="AB26" s="563"/>
      <c r="AC26" s="292">
        <f>+'wgl tot'!Z26*12</f>
        <v>0</v>
      </c>
      <c r="AD26" s="296">
        <f>ROUND(IF(L26="j",VLOOKUP(K26,bindingstoelage,2,FALSE))*IF('wgl tot'!H26&gt;1,1,'wgl tot'!H26),2)</f>
        <v>0</v>
      </c>
      <c r="AE26" s="296">
        <f>ROUND('wgl tot'!H26*tabellen!$D$94,2)</f>
        <v>0</v>
      </c>
      <c r="AF26" s="292">
        <f t="shared" ref="AF26:AF67" si="12">ROUND((AC26+AD26+AE26),0)</f>
        <v>0</v>
      </c>
      <c r="AG26" s="560"/>
      <c r="AH26" s="296">
        <f>+('wgl tot'!AF26/(1+1.9%))*BQ26</f>
        <v>0</v>
      </c>
      <c r="AI26" s="296">
        <f t="shared" si="11"/>
        <v>0</v>
      </c>
      <c r="AJ26" s="292">
        <f>ROUND('wgl tot'!AF26-IF('wgl tot'!AI26&gt;'wgl tot'!AH26,'wgl tot'!AH26,'wgl tot'!AI26),0)</f>
        <v>0</v>
      </c>
      <c r="AK26" s="298">
        <f>IF('wgl tot'!E26&lt;1950,0,+('wgl tot'!Q26+'wgl tot'!S26+'wgl tot'!T26)*tabellen!$C$85)*12</f>
        <v>0</v>
      </c>
      <c r="AL26" s="560"/>
      <c r="AM26" s="296">
        <f>+'wgl tot'!AF26/12</f>
        <v>0</v>
      </c>
      <c r="AN26" s="296">
        <f>IF(F26="",0,(IF('wgl tot'!AJ26/'wgl tot'!H26&lt;tabellen!$E$54,0,('wgl tot'!AJ26-tabellen!$E$54*'wgl tot'!H26)/12)*tabellen!$C$54))</f>
        <v>0</v>
      </c>
      <c r="AO26" s="296">
        <f>IF(F26="",0,(IF('wgl tot'!AJ26/'wgl tot'!H26&lt;tabellen!$E$55,0,(+'wgl tot'!AJ26-tabellen!$E$55*'wgl tot'!H26)/12)*tabellen!$C$55))</f>
        <v>0</v>
      </c>
      <c r="AP26" s="296">
        <f>'wgl tot'!AJ26/12*tabellen!$C$56</f>
        <v>0</v>
      </c>
      <c r="AQ26" s="296">
        <f>IF(F26="",0,IF(CD26=0,IF(CB26=0,IF('wgl tot'!BX26&gt;tabellen!$G$57/12,tabellen!$G$57/12,'wgl tot'!BX26)*(tabellen!$C$57+tabellen!$C$58+tabellen!$C$59),IF('wgl tot'!BX26&gt;tabellen!$G$57/12,tabellen!$G$57/12,'wgl tot'!BX26)*(tabellen!$C$58+tabellen!$C$59)),IF('wgl tot'!BX26&gt;tabellen!$G$57/12,tabellen!$G$57/12,'wgl tot'!BX26)*(tabellen!$C$57+tabellen!$C$58+tabellen!$C$59)))</f>
        <v>0</v>
      </c>
      <c r="AR26" s="296">
        <f>IF(F26="",0,('wgl tot'!BY26))</f>
        <v>0</v>
      </c>
      <c r="AS26" s="299">
        <f>IF(F26="",0,(IF('wgl tot'!BX26&gt;tabellen!$G$62*'wgl tot'!H26/12,tabellen!$G$62*'wgl tot'!H26/12,'wgl tot'!BX26)*tabellen!$C$62))</f>
        <v>0</v>
      </c>
      <c r="AT26" s="299">
        <f>IF(F26="",0,('wgl tot'!BX26*IF(N26=1,tabellen!$C$63,IF(N26=2,tabellen!C77,IF(N26=3,tabellen!$C$65,tabellen!$C$66)))))</f>
        <v>0</v>
      </c>
      <c r="AU26" s="299">
        <f>IF(F26="",0,('wgl tot'!BX26*tabellen!$C$67))</f>
        <v>0</v>
      </c>
      <c r="AV26" s="299">
        <f>+'wgl tot'!AK26/12</f>
        <v>0</v>
      </c>
      <c r="AW26" s="618">
        <v>0</v>
      </c>
      <c r="AX26" s="299">
        <f t="shared" si="3"/>
        <v>0</v>
      </c>
      <c r="AY26" s="294">
        <f t="shared" si="4"/>
        <v>0</v>
      </c>
      <c r="AZ26" s="300">
        <f t="shared" si="5"/>
        <v>0</v>
      </c>
      <c r="BA26" s="560"/>
      <c r="BB26" s="301" t="str">
        <f>IF(AY26=0,"",(+'wgl tot'!AY26/'wgl tot'!Q26-1))</f>
        <v/>
      </c>
      <c r="BC26" s="560"/>
      <c r="BD26" s="542"/>
      <c r="BF26" s="649">
        <f ca="1">YEAR('wgl tot'!$BF$10)-YEAR('wgl tot'!E26)</f>
        <v>113</v>
      </c>
      <c r="BG26" s="650">
        <f ca="1">MONTH('wgl tot'!$BF$10)-MONTH('wgl tot'!E26)</f>
        <v>11</v>
      </c>
      <c r="BH26" s="650">
        <f ca="1">DAY('wgl tot'!$BF$10)-DAY('wgl tot'!E26)</f>
        <v>1</v>
      </c>
      <c r="BI26" s="635">
        <f>IF(AND('wgl tot'!F26&gt;0,'wgl tot'!F26&lt;16),0,100)</f>
        <v>100</v>
      </c>
      <c r="BJ26" s="635" t="e">
        <f>VLOOKUP('wgl tot'!F26,salaristabellen,22,FALSE)</f>
        <v>#N/A</v>
      </c>
      <c r="BK26" s="635">
        <f t="shared" si="0"/>
        <v>0</v>
      </c>
      <c r="BL26" s="651">
        <f t="shared" si="8"/>
        <v>41275</v>
      </c>
      <c r="BM26" s="652">
        <f t="shared" si="9"/>
        <v>0.08</v>
      </c>
      <c r="BN26" s="653">
        <f>+tabellen!$D$88</f>
        <v>6.3E-2</v>
      </c>
      <c r="BO26" s="650">
        <f>IF('wgl tot'!BI26=100,0,'wgl tot'!F26)</f>
        <v>0</v>
      </c>
      <c r="BP26" s="653" t="str">
        <f>IF(OR('wgl tot'!F26="DA",'wgl tot'!F26="DB",'wgl tot'!F26="DBuit",'wgl tot'!F26="DC",'wgl tot'!F26="DCuit",MID('wgl tot'!F26,1,5)="meerh"),"j","n")</f>
        <v>n</v>
      </c>
      <c r="BQ26" s="653">
        <f t="shared" si="10"/>
        <v>1.9E-2</v>
      </c>
      <c r="BR26" s="654">
        <f>IF(AI26&gt;'wgl tot'!AH26,'wgl tot'!AH26,AI26)</f>
        <v>0</v>
      </c>
      <c r="BS26" s="654"/>
      <c r="BT26" s="655" t="e">
        <f>IF('wgl tot'!AJ26/'wgl tot'!H26&lt;tabellen!$E$54,0,(+'wgl tot'!AJ26-tabellen!$E$54*'wgl tot'!H26)/12*tabellen!$D$54)</f>
        <v>#DIV/0!</v>
      </c>
      <c r="BU26" s="655" t="e">
        <f>IF('wgl tot'!AJ26/'wgl tot'!H26&lt;tabellen!$E$55,0,(+'wgl tot'!AJ26-tabellen!$E$55*'wgl tot'!H26)/12*tabellen!$D$55)</f>
        <v>#DIV/0!</v>
      </c>
      <c r="BV26" s="655">
        <f>'wgl tot'!AJ26/12*tabellen!$D$56</f>
        <v>0</v>
      </c>
      <c r="BW26" s="656" t="e">
        <f t="shared" ref="BW26:BW67" si="13">SUM(BT26:BV26)</f>
        <v>#DIV/0!</v>
      </c>
      <c r="BX26" s="657" t="e">
        <f>+('wgl tot'!AF26+'wgl tot'!AK26)/12-'wgl tot'!BW26</f>
        <v>#DIV/0!</v>
      </c>
      <c r="BY26" s="657" t="e">
        <f>ROUND(IF('wgl tot'!BX26&gt;tabellen!$H$61,tabellen!$H$61,'wgl tot'!BX26)*tabellen!$C$61,2)</f>
        <v>#DIV/0!</v>
      </c>
      <c r="BZ26" s="646" t="e">
        <f>+'wgl tot'!BX26</f>
        <v>#DIV/0!</v>
      </c>
      <c r="CA26" s="654"/>
      <c r="CB26" s="635">
        <f>IF(AND(M26="j",tabellen!$C$118&gt;=E26),1,0)</f>
        <v>0</v>
      </c>
      <c r="CC26" s="647" t="str">
        <f t="shared" si="6"/>
        <v/>
      </c>
      <c r="CD26" s="648" t="str">
        <f t="shared" si="7"/>
        <v/>
      </c>
      <c r="CE26" s="286"/>
      <c r="CF26" s="286"/>
      <c r="CG26" s="286"/>
      <c r="CH26" s="286"/>
      <c r="CI26" s="286"/>
      <c r="CJ26" s="286"/>
    </row>
    <row r="27" spans="2:88" ht="13.5" customHeight="1" x14ac:dyDescent="0.2">
      <c r="B27" s="541"/>
      <c r="C27" s="560"/>
      <c r="D27" s="289"/>
      <c r="E27" s="290"/>
      <c r="F27" s="291"/>
      <c r="G27" s="291"/>
      <c r="H27" s="293"/>
      <c r="I27" s="291"/>
      <c r="J27" s="291"/>
      <c r="K27" s="291"/>
      <c r="L27" s="291"/>
      <c r="M27" s="291"/>
      <c r="N27" s="295"/>
      <c r="O27" s="560"/>
      <c r="P27" s="292">
        <f>IF(F27="",0,(VLOOKUP('wgl tot'!F27,salaristabellen,'wgl tot'!G27+1,FALSE)))</f>
        <v>0</v>
      </c>
      <c r="Q27" s="294">
        <f>+'wgl tot'!P27*'wgl tot'!H27</f>
        <v>0</v>
      </c>
      <c r="R27" s="560"/>
      <c r="S27" s="296">
        <f>ROUND(IF(I27="j",VLOOKUP(BK27,uitlooptoeslag,2,FALSE))*IF('wgl tot'!H27&gt;1,1,'wgl tot'!H27),2)</f>
        <v>0</v>
      </c>
      <c r="T27" s="296">
        <f>ROUND(IF(OR('wgl tot'!F27="LA",'wgl tot'!F27="LB"),IF(J27="j",tabellen!$C$75*'wgl tot'!H27,0),0),2)</f>
        <v>0</v>
      </c>
      <c r="U27" s="296">
        <f>ROUND(IF(('wgl tot'!Q27+'wgl tot'!S27+'wgl tot'!T27)*BM27&lt;'wgl tot'!H27*tabellen!$D$87,'wgl tot'!H27*tabellen!$D$87,('wgl tot'!Q27+'wgl tot'!S27+'wgl tot'!T27)*BM27),2)</f>
        <v>0</v>
      </c>
      <c r="V27" s="296">
        <f>ROUND(+('wgl tot'!Q27+'wgl tot'!S27+'wgl tot'!T27)*BN27,2)</f>
        <v>0</v>
      </c>
      <c r="W27" s="296">
        <f>+tabellen!$C$83*'wgl tot'!H27</f>
        <v>0</v>
      </c>
      <c r="X27" s="296">
        <f>VLOOKUP(BO27,eindejaarsuitkering_OOP,2,TRUE)*'wgl tot'!H27/12</f>
        <v>0</v>
      </c>
      <c r="Y27" s="296">
        <f>ROUND(IF(BP27="j",tabellen!$D$96*IF('wgl tot'!H27&gt;1,1,'wgl tot'!H27),0),2)</f>
        <v>0</v>
      </c>
      <c r="Z27" s="297">
        <f>+'wgl tot'!Q27+S27+T27+U27+V27+W27+X27+Y27</f>
        <v>0</v>
      </c>
      <c r="AA27" s="562"/>
      <c r="AB27" s="563"/>
      <c r="AC27" s="292">
        <f>+'wgl tot'!Z27*12</f>
        <v>0</v>
      </c>
      <c r="AD27" s="296">
        <f>ROUND(IF(L27="j",VLOOKUP(K27,bindingstoelage,2,FALSE))*IF('wgl tot'!H27&gt;1,1,'wgl tot'!H27),2)</f>
        <v>0</v>
      </c>
      <c r="AE27" s="296">
        <f>ROUND('wgl tot'!H27*tabellen!$D$94,2)</f>
        <v>0</v>
      </c>
      <c r="AF27" s="292">
        <f t="shared" si="12"/>
        <v>0</v>
      </c>
      <c r="AG27" s="560"/>
      <c r="AH27" s="296">
        <f>+('wgl tot'!AF27/(1+1.9%))*BQ27</f>
        <v>0</v>
      </c>
      <c r="AI27" s="296">
        <f t="shared" si="11"/>
        <v>0</v>
      </c>
      <c r="AJ27" s="292">
        <f>ROUND('wgl tot'!AF27-IF('wgl tot'!AI27&gt;'wgl tot'!AH27,'wgl tot'!AH27,'wgl tot'!AI27),0)</f>
        <v>0</v>
      </c>
      <c r="AK27" s="298">
        <f>IF('wgl tot'!E27&lt;1950,0,+('wgl tot'!Q27+'wgl tot'!S27+'wgl tot'!T27)*tabellen!$C$85)*12</f>
        <v>0</v>
      </c>
      <c r="AL27" s="560"/>
      <c r="AM27" s="296">
        <f>+'wgl tot'!AF27/12</f>
        <v>0</v>
      </c>
      <c r="AN27" s="296">
        <f>IF(F27="",0,(IF('wgl tot'!AJ27/'wgl tot'!H27&lt;tabellen!$E$54,0,('wgl tot'!AJ27-tabellen!$E$54*'wgl tot'!H27)/12)*tabellen!$C$54))</f>
        <v>0</v>
      </c>
      <c r="AO27" s="296">
        <f>IF(F27="",0,(IF('wgl tot'!AJ27/'wgl tot'!H27&lt;tabellen!$E$55,0,(+'wgl tot'!AJ27-tabellen!$E$55*'wgl tot'!H27)/12)*tabellen!$C$55))</f>
        <v>0</v>
      </c>
      <c r="AP27" s="296">
        <f>'wgl tot'!AJ27/12*tabellen!$C$56</f>
        <v>0</v>
      </c>
      <c r="AQ27" s="296">
        <f>IF(F27="",0,IF(CD27=0,IF(CB27=0,IF('wgl tot'!BX27&gt;tabellen!$G$57/12,tabellen!$G$57/12,'wgl tot'!BX27)*(tabellen!$C$57+tabellen!$C$58+tabellen!$C$59),IF('wgl tot'!BX27&gt;tabellen!$G$57/12,tabellen!$G$57/12,'wgl tot'!BX27)*(tabellen!$C$58+tabellen!$C$59)),IF('wgl tot'!BX27&gt;tabellen!$G$57/12,tabellen!$G$57/12,'wgl tot'!BX27)*(tabellen!$C$57+tabellen!$C$58+tabellen!$C$59)))</f>
        <v>0</v>
      </c>
      <c r="AR27" s="296">
        <f>IF(F27="",0,('wgl tot'!BY27))</f>
        <v>0</v>
      </c>
      <c r="AS27" s="299">
        <f>IF(F27="",0,(IF('wgl tot'!BX27&gt;tabellen!$G$62*'wgl tot'!H27/12,tabellen!$G$62*'wgl tot'!H27/12,'wgl tot'!BX27)*tabellen!$C$62))</f>
        <v>0</v>
      </c>
      <c r="AT27" s="299">
        <f>IF(F27="",0,('wgl tot'!BX27*IF(N27=1,tabellen!$C$63,IF(N27=2,tabellen!C78,IF(N27=3,tabellen!$C$65,tabellen!$C$66)))))</f>
        <v>0</v>
      </c>
      <c r="AU27" s="299">
        <f>IF(F27="",0,('wgl tot'!BX27*tabellen!$C$67))</f>
        <v>0</v>
      </c>
      <c r="AV27" s="299">
        <f>+'wgl tot'!AK27/12</f>
        <v>0</v>
      </c>
      <c r="AW27" s="618">
        <v>0</v>
      </c>
      <c r="AX27" s="299">
        <f t="shared" si="3"/>
        <v>0</v>
      </c>
      <c r="AY27" s="294">
        <f t="shared" si="4"/>
        <v>0</v>
      </c>
      <c r="AZ27" s="300">
        <f t="shared" si="5"/>
        <v>0</v>
      </c>
      <c r="BA27" s="560"/>
      <c r="BB27" s="301" t="str">
        <f>IF(AY27=0,"",(+'wgl tot'!AY27/'wgl tot'!Q27-1))</f>
        <v/>
      </c>
      <c r="BC27" s="560"/>
      <c r="BD27" s="542"/>
      <c r="BF27" s="649">
        <f ca="1">YEAR('wgl tot'!$BF$10)-YEAR('wgl tot'!E27)</f>
        <v>113</v>
      </c>
      <c r="BG27" s="650">
        <f ca="1">MONTH('wgl tot'!$BF$10)-MONTH('wgl tot'!E27)</f>
        <v>11</v>
      </c>
      <c r="BH27" s="650">
        <f ca="1">DAY('wgl tot'!$BF$10)-DAY('wgl tot'!E27)</f>
        <v>1</v>
      </c>
      <c r="BI27" s="635">
        <f>IF(AND('wgl tot'!F27&gt;0,'wgl tot'!F27&lt;16),0,100)</f>
        <v>100</v>
      </c>
      <c r="BJ27" s="635" t="e">
        <f>VLOOKUP('wgl tot'!F27,salaristabellen,22,FALSE)</f>
        <v>#N/A</v>
      </c>
      <c r="BK27" s="635">
        <f t="shared" si="0"/>
        <v>0</v>
      </c>
      <c r="BL27" s="651">
        <f t="shared" si="8"/>
        <v>41275</v>
      </c>
      <c r="BM27" s="652">
        <f t="shared" si="9"/>
        <v>0.08</v>
      </c>
      <c r="BN27" s="653">
        <f>+tabellen!$D$88</f>
        <v>6.3E-2</v>
      </c>
      <c r="BO27" s="650">
        <f>IF('wgl tot'!BI27=100,0,'wgl tot'!F27)</f>
        <v>0</v>
      </c>
      <c r="BP27" s="653" t="str">
        <f>IF(OR('wgl tot'!F27="DA",'wgl tot'!F27="DB",'wgl tot'!F27="DBuit",'wgl tot'!F27="DC",'wgl tot'!F27="DCuit",MID('wgl tot'!F27,1,5)="meerh"),"j","n")</f>
        <v>n</v>
      </c>
      <c r="BQ27" s="653">
        <f t="shared" si="10"/>
        <v>1.9E-2</v>
      </c>
      <c r="BR27" s="654">
        <f>IF(AI27&gt;'wgl tot'!AH27,'wgl tot'!AH27,AI27)</f>
        <v>0</v>
      </c>
      <c r="BS27" s="654"/>
      <c r="BT27" s="655" t="e">
        <f>IF('wgl tot'!AJ27/'wgl tot'!H27&lt;tabellen!$E$54,0,(+'wgl tot'!AJ27-tabellen!$E$54*'wgl tot'!H27)/12*tabellen!$D$54)</f>
        <v>#DIV/0!</v>
      </c>
      <c r="BU27" s="655" t="e">
        <f>IF('wgl tot'!AJ27/'wgl tot'!H27&lt;tabellen!$E$55,0,(+'wgl tot'!AJ27-tabellen!$E$55*'wgl tot'!H27)/12*tabellen!$D$55)</f>
        <v>#DIV/0!</v>
      </c>
      <c r="BV27" s="655">
        <f>'wgl tot'!AJ27/12*tabellen!$D$56</f>
        <v>0</v>
      </c>
      <c r="BW27" s="656" t="e">
        <f t="shared" si="13"/>
        <v>#DIV/0!</v>
      </c>
      <c r="BX27" s="657" t="e">
        <f>+('wgl tot'!AF27+'wgl tot'!AK27)/12-'wgl tot'!BW27</f>
        <v>#DIV/0!</v>
      </c>
      <c r="BY27" s="657" t="e">
        <f>ROUND(IF('wgl tot'!BX27&gt;tabellen!$H$61,tabellen!$H$61,'wgl tot'!BX27)*tabellen!$C$61,2)</f>
        <v>#DIV/0!</v>
      </c>
      <c r="BZ27" s="646" t="e">
        <f>+'wgl tot'!BX27</f>
        <v>#DIV/0!</v>
      </c>
      <c r="CA27" s="654"/>
      <c r="CB27" s="635">
        <f>IF(AND(M27="j",tabellen!$C$118&gt;=E27),1,0)</f>
        <v>0</v>
      </c>
      <c r="CC27" s="647" t="str">
        <f t="shared" si="6"/>
        <v/>
      </c>
      <c r="CD27" s="648" t="str">
        <f t="shared" si="7"/>
        <v/>
      </c>
      <c r="CE27" s="286"/>
      <c r="CF27" s="286"/>
      <c r="CG27" s="286"/>
      <c r="CH27" s="286"/>
      <c r="CI27" s="286"/>
      <c r="CJ27" s="286"/>
    </row>
    <row r="28" spans="2:88" ht="13.5" customHeight="1" x14ac:dyDescent="0.2">
      <c r="B28" s="541"/>
      <c r="C28" s="560"/>
      <c r="D28" s="289"/>
      <c r="E28" s="290"/>
      <c r="F28" s="291"/>
      <c r="G28" s="291"/>
      <c r="H28" s="293"/>
      <c r="I28" s="291"/>
      <c r="J28" s="291"/>
      <c r="K28" s="291"/>
      <c r="L28" s="291"/>
      <c r="M28" s="291"/>
      <c r="N28" s="295"/>
      <c r="O28" s="560"/>
      <c r="P28" s="292">
        <f>IF(F28="",0,(VLOOKUP('wgl tot'!F28,salaristabellen,'wgl tot'!G28+1,FALSE)))</f>
        <v>0</v>
      </c>
      <c r="Q28" s="294">
        <f>+'wgl tot'!P28*'wgl tot'!H28</f>
        <v>0</v>
      </c>
      <c r="R28" s="560"/>
      <c r="S28" s="296">
        <f>ROUND(IF(I28="j",VLOOKUP(BK28,uitlooptoeslag,2,FALSE))*IF('wgl tot'!H28&gt;1,1,'wgl tot'!H28),2)</f>
        <v>0</v>
      </c>
      <c r="T28" s="296">
        <f>ROUND(IF(OR('wgl tot'!F28="LA",'wgl tot'!F28="LB"),IF(J28="j",tabellen!$C$75*'wgl tot'!H28,0),0),2)</f>
        <v>0</v>
      </c>
      <c r="U28" s="296">
        <f>ROUND(IF(('wgl tot'!Q28+'wgl tot'!S28+'wgl tot'!T28)*BM28&lt;'wgl tot'!H28*tabellen!$D$87,'wgl tot'!H28*tabellen!$D$87,('wgl tot'!Q28+'wgl tot'!S28+'wgl tot'!T28)*BM28),2)</f>
        <v>0</v>
      </c>
      <c r="V28" s="296">
        <f>ROUND(+('wgl tot'!Q28+'wgl tot'!S28+'wgl tot'!T28)*BN28,2)</f>
        <v>0</v>
      </c>
      <c r="W28" s="296">
        <f>+tabellen!$C$83*'wgl tot'!H28</f>
        <v>0</v>
      </c>
      <c r="X28" s="296">
        <f>VLOOKUP(BO28,eindejaarsuitkering_OOP,2,TRUE)*'wgl tot'!H28/12</f>
        <v>0</v>
      </c>
      <c r="Y28" s="296">
        <f>ROUND(IF(BP28="j",tabellen!$D$96*IF('wgl tot'!H28&gt;1,1,'wgl tot'!H28),0),2)</f>
        <v>0</v>
      </c>
      <c r="Z28" s="297">
        <f>+'wgl tot'!Q28+S28+T28+U28+V28+W28+X28+Y28</f>
        <v>0</v>
      </c>
      <c r="AA28" s="562"/>
      <c r="AB28" s="563"/>
      <c r="AC28" s="292">
        <f>+'wgl tot'!Z28*12</f>
        <v>0</v>
      </c>
      <c r="AD28" s="296">
        <f>ROUND(IF(L28="j",VLOOKUP(K28,bindingstoelage,2,FALSE))*IF('wgl tot'!H28&gt;1,1,'wgl tot'!H28),2)</f>
        <v>0</v>
      </c>
      <c r="AE28" s="296">
        <f>ROUND('wgl tot'!H28*tabellen!$D$94,2)</f>
        <v>0</v>
      </c>
      <c r="AF28" s="292">
        <f t="shared" si="12"/>
        <v>0</v>
      </c>
      <c r="AG28" s="560"/>
      <c r="AH28" s="296">
        <f>+('wgl tot'!AF28/(1+1.9%))*BQ28</f>
        <v>0</v>
      </c>
      <c r="AI28" s="296">
        <f t="shared" si="11"/>
        <v>0</v>
      </c>
      <c r="AJ28" s="292">
        <f>ROUND('wgl tot'!AF28-IF('wgl tot'!AI28&gt;'wgl tot'!AH28,'wgl tot'!AH28,'wgl tot'!AI28),0)</f>
        <v>0</v>
      </c>
      <c r="AK28" s="298">
        <f>IF('wgl tot'!E28&lt;1950,0,+('wgl tot'!Q28+'wgl tot'!S28+'wgl tot'!T28)*tabellen!$C$85)*12</f>
        <v>0</v>
      </c>
      <c r="AL28" s="560"/>
      <c r="AM28" s="296">
        <f>+'wgl tot'!AF28/12</f>
        <v>0</v>
      </c>
      <c r="AN28" s="296">
        <f>IF(F28="",0,(IF('wgl tot'!AJ28/'wgl tot'!H28&lt;tabellen!$E$54,0,('wgl tot'!AJ28-tabellen!$E$54*'wgl tot'!H28)/12)*tabellen!$C$54))</f>
        <v>0</v>
      </c>
      <c r="AO28" s="296">
        <f>IF(F28="",0,(IF('wgl tot'!AJ28/'wgl tot'!H28&lt;tabellen!$E$55,0,(+'wgl tot'!AJ28-tabellen!$E$55*'wgl tot'!H28)/12)*tabellen!$C$55))</f>
        <v>0</v>
      </c>
      <c r="AP28" s="296">
        <f>'wgl tot'!AJ28/12*tabellen!$C$56</f>
        <v>0</v>
      </c>
      <c r="AQ28" s="296">
        <f>IF(F28="",0,IF(CD28=0,IF(CB28=0,IF('wgl tot'!BX28&gt;tabellen!$G$57/12,tabellen!$G$57/12,'wgl tot'!BX28)*(tabellen!$C$57+tabellen!$C$58+tabellen!$C$59),IF('wgl tot'!BX28&gt;tabellen!$G$57/12,tabellen!$G$57/12,'wgl tot'!BX28)*(tabellen!$C$58+tabellen!$C$59)),IF('wgl tot'!BX28&gt;tabellen!$G$57/12,tabellen!$G$57/12,'wgl tot'!BX28)*(tabellen!$C$57+tabellen!$C$58+tabellen!$C$59)))</f>
        <v>0</v>
      </c>
      <c r="AR28" s="296">
        <f>IF(F28="",0,('wgl tot'!BY28))</f>
        <v>0</v>
      </c>
      <c r="AS28" s="299">
        <f>IF(F28="",0,(IF('wgl tot'!BX28&gt;tabellen!$G$62*'wgl tot'!H28/12,tabellen!$G$62*'wgl tot'!H28/12,'wgl tot'!BX28)*tabellen!$C$62))</f>
        <v>0</v>
      </c>
      <c r="AT28" s="299">
        <f>IF(F28="",0,('wgl tot'!BX28*IF(N28=1,tabellen!$C$63,IF(N28=2,tabellen!C79,IF(N28=3,tabellen!$C$65,tabellen!$C$66)))))</f>
        <v>0</v>
      </c>
      <c r="AU28" s="299">
        <f>IF(F28="",0,('wgl tot'!BX28*tabellen!$C$67))</f>
        <v>0</v>
      </c>
      <c r="AV28" s="299">
        <f>+'wgl tot'!AK28/12</f>
        <v>0</v>
      </c>
      <c r="AW28" s="618">
        <v>0</v>
      </c>
      <c r="AX28" s="299">
        <f t="shared" si="3"/>
        <v>0</v>
      </c>
      <c r="AY28" s="294">
        <f t="shared" si="4"/>
        <v>0</v>
      </c>
      <c r="AZ28" s="300">
        <f t="shared" si="5"/>
        <v>0</v>
      </c>
      <c r="BA28" s="560"/>
      <c r="BB28" s="301" t="str">
        <f>IF(AY28=0,"",(+'wgl tot'!AY28/'wgl tot'!Q28-1))</f>
        <v/>
      </c>
      <c r="BC28" s="560"/>
      <c r="BD28" s="542"/>
      <c r="BF28" s="649">
        <f ca="1">YEAR('wgl tot'!$BF$10)-YEAR('wgl tot'!E28)</f>
        <v>113</v>
      </c>
      <c r="BG28" s="650">
        <f ca="1">MONTH('wgl tot'!$BF$10)-MONTH('wgl tot'!E28)</f>
        <v>11</v>
      </c>
      <c r="BH28" s="650">
        <f ca="1">DAY('wgl tot'!$BF$10)-DAY('wgl tot'!E28)</f>
        <v>1</v>
      </c>
      <c r="BI28" s="635">
        <f>IF(AND('wgl tot'!F28&gt;0,'wgl tot'!F28&lt;16),0,100)</f>
        <v>100</v>
      </c>
      <c r="BJ28" s="635" t="e">
        <f>VLOOKUP('wgl tot'!F28,salaristabellen,22,FALSE)</f>
        <v>#N/A</v>
      </c>
      <c r="BK28" s="635">
        <f t="shared" si="0"/>
        <v>0</v>
      </c>
      <c r="BL28" s="651">
        <f t="shared" si="8"/>
        <v>41275</v>
      </c>
      <c r="BM28" s="652">
        <f t="shared" si="9"/>
        <v>0.08</v>
      </c>
      <c r="BN28" s="653">
        <f>+tabellen!$D$88</f>
        <v>6.3E-2</v>
      </c>
      <c r="BO28" s="650">
        <f>IF('wgl tot'!BI28=100,0,'wgl tot'!F28)</f>
        <v>0</v>
      </c>
      <c r="BP28" s="653" t="str">
        <f>IF(OR('wgl tot'!F28="DA",'wgl tot'!F28="DB",'wgl tot'!F28="DBuit",'wgl tot'!F28="DC",'wgl tot'!F28="DCuit",MID('wgl tot'!F28,1,5)="meerh"),"j","n")</f>
        <v>n</v>
      </c>
      <c r="BQ28" s="653">
        <f t="shared" si="10"/>
        <v>1.9E-2</v>
      </c>
      <c r="BR28" s="654">
        <f>IF(AI28&gt;'wgl tot'!AH28,'wgl tot'!AH28,AI28)</f>
        <v>0</v>
      </c>
      <c r="BS28" s="654"/>
      <c r="BT28" s="655" t="e">
        <f>IF('wgl tot'!AJ28/'wgl tot'!H28&lt;tabellen!$E$54,0,(+'wgl tot'!AJ28-tabellen!$E$54*'wgl tot'!H28)/12*tabellen!$D$54)</f>
        <v>#DIV/0!</v>
      </c>
      <c r="BU28" s="655" t="e">
        <f>IF('wgl tot'!AJ28/'wgl tot'!H28&lt;tabellen!$E$55,0,(+'wgl tot'!AJ28-tabellen!$E$55*'wgl tot'!H28)/12*tabellen!$D$55)</f>
        <v>#DIV/0!</v>
      </c>
      <c r="BV28" s="655">
        <f>'wgl tot'!AJ28/12*tabellen!$D$56</f>
        <v>0</v>
      </c>
      <c r="BW28" s="656" t="e">
        <f t="shared" si="13"/>
        <v>#DIV/0!</v>
      </c>
      <c r="BX28" s="657" t="e">
        <f>+('wgl tot'!AF28+'wgl tot'!AK28)/12-'wgl tot'!BW28</f>
        <v>#DIV/0!</v>
      </c>
      <c r="BY28" s="657" t="e">
        <f>ROUND(IF('wgl tot'!BX28&gt;tabellen!$H$61,tabellen!$H$61,'wgl tot'!BX28)*tabellen!$C$61,2)</f>
        <v>#DIV/0!</v>
      </c>
      <c r="BZ28" s="646" t="e">
        <f>+'wgl tot'!BX28</f>
        <v>#DIV/0!</v>
      </c>
      <c r="CA28" s="654"/>
      <c r="CB28" s="635">
        <f>IF(AND(M28="j",tabellen!$C$118&gt;=E28),1,0)</f>
        <v>0</v>
      </c>
      <c r="CC28" s="647" t="str">
        <f t="shared" si="6"/>
        <v/>
      </c>
      <c r="CD28" s="648" t="str">
        <f t="shared" si="7"/>
        <v/>
      </c>
      <c r="CE28" s="286"/>
      <c r="CF28" s="286"/>
      <c r="CG28" s="286"/>
      <c r="CH28" s="286"/>
      <c r="CI28" s="286"/>
      <c r="CJ28" s="286"/>
    </row>
    <row r="29" spans="2:88" ht="13.5" customHeight="1" x14ac:dyDescent="0.2">
      <c r="B29" s="541"/>
      <c r="C29" s="560"/>
      <c r="D29" s="289"/>
      <c r="E29" s="290"/>
      <c r="F29" s="291"/>
      <c r="G29" s="291"/>
      <c r="H29" s="293"/>
      <c r="I29" s="291"/>
      <c r="J29" s="291"/>
      <c r="K29" s="291"/>
      <c r="L29" s="291"/>
      <c r="M29" s="291"/>
      <c r="N29" s="295"/>
      <c r="O29" s="560"/>
      <c r="P29" s="292">
        <f>IF(F29="",0,(VLOOKUP('wgl tot'!F29,salaristabellen,'wgl tot'!G29+1,FALSE)))</f>
        <v>0</v>
      </c>
      <c r="Q29" s="294">
        <f>+'wgl tot'!P29*'wgl tot'!H29</f>
        <v>0</v>
      </c>
      <c r="R29" s="560"/>
      <c r="S29" s="296">
        <f>ROUND(IF(I29="j",VLOOKUP(BK29,uitlooptoeslag,2,FALSE))*IF('wgl tot'!H29&gt;1,1,'wgl tot'!H29),2)</f>
        <v>0</v>
      </c>
      <c r="T29" s="296">
        <f>ROUND(IF(OR('wgl tot'!F29="LA",'wgl tot'!F29="LB"),IF(J29="j",tabellen!$C$75*'wgl tot'!H29,0),0),2)</f>
        <v>0</v>
      </c>
      <c r="U29" s="296">
        <f>ROUND(IF(('wgl tot'!Q29+'wgl tot'!S29+'wgl tot'!T29)*BM29&lt;'wgl tot'!H29*tabellen!$D$87,'wgl tot'!H29*tabellen!$D$87,('wgl tot'!Q29+'wgl tot'!S29+'wgl tot'!T29)*BM29),2)</f>
        <v>0</v>
      </c>
      <c r="V29" s="296">
        <f>ROUND(+('wgl tot'!Q29+'wgl tot'!S29+'wgl tot'!T29)*BN29,2)</f>
        <v>0</v>
      </c>
      <c r="W29" s="296">
        <f>+tabellen!$C$83*'wgl tot'!H29</f>
        <v>0</v>
      </c>
      <c r="X29" s="296">
        <f>VLOOKUP(BO29,eindejaarsuitkering_OOP,2,TRUE)*'wgl tot'!H29/12</f>
        <v>0</v>
      </c>
      <c r="Y29" s="296">
        <f>ROUND(IF(BP29="j",tabellen!$D$96*IF('wgl tot'!H29&gt;1,1,'wgl tot'!H29),0),2)</f>
        <v>0</v>
      </c>
      <c r="Z29" s="297">
        <f>+'wgl tot'!Q29+S29+T29+U29+V29+W29+X29+Y29</f>
        <v>0</v>
      </c>
      <c r="AA29" s="562"/>
      <c r="AB29" s="563"/>
      <c r="AC29" s="292">
        <f>+'wgl tot'!Z29*12</f>
        <v>0</v>
      </c>
      <c r="AD29" s="296">
        <f>ROUND(IF(L29="j",VLOOKUP(K29,bindingstoelage,2,FALSE))*IF('wgl tot'!H29&gt;1,1,'wgl tot'!H29),2)</f>
        <v>0</v>
      </c>
      <c r="AE29" s="296">
        <f>ROUND('wgl tot'!H29*tabellen!$D$94,2)</f>
        <v>0</v>
      </c>
      <c r="AF29" s="292">
        <f t="shared" si="12"/>
        <v>0</v>
      </c>
      <c r="AG29" s="560"/>
      <c r="AH29" s="296">
        <f>+('wgl tot'!AF29/(1+1.9%))*BQ29</f>
        <v>0</v>
      </c>
      <c r="AI29" s="296">
        <f t="shared" si="11"/>
        <v>0</v>
      </c>
      <c r="AJ29" s="292">
        <f>ROUND('wgl tot'!AF29-IF('wgl tot'!AI29&gt;'wgl tot'!AH29,'wgl tot'!AH29,'wgl tot'!AI29),0)</f>
        <v>0</v>
      </c>
      <c r="AK29" s="298">
        <f>IF('wgl tot'!E29&lt;1950,0,+('wgl tot'!Q29+'wgl tot'!S29+'wgl tot'!T29)*tabellen!$C$85)*12</f>
        <v>0</v>
      </c>
      <c r="AL29" s="560"/>
      <c r="AM29" s="296">
        <f>+'wgl tot'!AF29/12</f>
        <v>0</v>
      </c>
      <c r="AN29" s="296">
        <f>IF(F29="",0,(IF('wgl tot'!AJ29/'wgl tot'!H29&lt;tabellen!$E$54,0,('wgl tot'!AJ29-tabellen!$E$54*'wgl tot'!H29)/12)*tabellen!$C$54))</f>
        <v>0</v>
      </c>
      <c r="AO29" s="296">
        <f>IF(F29="",0,(IF('wgl tot'!AJ29/'wgl tot'!H29&lt;tabellen!$E$55,0,(+'wgl tot'!AJ29-tabellen!$E$55*'wgl tot'!H29)/12)*tabellen!$C$55))</f>
        <v>0</v>
      </c>
      <c r="AP29" s="296">
        <f>'wgl tot'!AJ29/12*tabellen!$C$56</f>
        <v>0</v>
      </c>
      <c r="AQ29" s="296">
        <f>IF(F29="",0,IF(CD29=0,IF(CB29=0,IF('wgl tot'!BX29&gt;tabellen!$G$57/12,tabellen!$G$57/12,'wgl tot'!BX29)*(tabellen!$C$57+tabellen!$C$58+tabellen!$C$59),IF('wgl tot'!BX29&gt;tabellen!$G$57/12,tabellen!$G$57/12,'wgl tot'!BX29)*(tabellen!$C$58+tabellen!$C$59)),IF('wgl tot'!BX29&gt;tabellen!$G$57/12,tabellen!$G$57/12,'wgl tot'!BX29)*(tabellen!$C$57+tabellen!$C$58+tabellen!$C$59)))</f>
        <v>0</v>
      </c>
      <c r="AR29" s="296">
        <f>IF(F29="",0,('wgl tot'!BY29))</f>
        <v>0</v>
      </c>
      <c r="AS29" s="299">
        <f>IF(F29="",0,(IF('wgl tot'!BX29&gt;tabellen!$G$62*'wgl tot'!H29/12,tabellen!$G$62*'wgl tot'!H29/12,'wgl tot'!BX29)*tabellen!$C$62))</f>
        <v>0</v>
      </c>
      <c r="AT29" s="299">
        <f>IF(F29="",0,('wgl tot'!BX29*IF(N29=1,tabellen!$C$63,IF(N29=2,tabellen!C80,IF(N29=3,tabellen!$C$65,tabellen!$C$66)))))</f>
        <v>0</v>
      </c>
      <c r="AU29" s="299">
        <f>IF(F29="",0,('wgl tot'!BX29*tabellen!$C$67))</f>
        <v>0</v>
      </c>
      <c r="AV29" s="299">
        <f>+'wgl tot'!AK29/12</f>
        <v>0</v>
      </c>
      <c r="AW29" s="618">
        <v>0</v>
      </c>
      <c r="AX29" s="299">
        <f t="shared" si="3"/>
        <v>0</v>
      </c>
      <c r="AY29" s="294">
        <f t="shared" si="4"/>
        <v>0</v>
      </c>
      <c r="AZ29" s="300">
        <f t="shared" si="5"/>
        <v>0</v>
      </c>
      <c r="BA29" s="560"/>
      <c r="BB29" s="301" t="str">
        <f>IF(AY29=0,"",(+'wgl tot'!AY29/'wgl tot'!Q29-1))</f>
        <v/>
      </c>
      <c r="BC29" s="560"/>
      <c r="BD29" s="542"/>
      <c r="BF29" s="649">
        <f ca="1">YEAR('wgl tot'!$BF$10)-YEAR('wgl tot'!E29)</f>
        <v>113</v>
      </c>
      <c r="BG29" s="650">
        <f ca="1">MONTH('wgl tot'!$BF$10)-MONTH('wgl tot'!E29)</f>
        <v>11</v>
      </c>
      <c r="BH29" s="650">
        <f ca="1">DAY('wgl tot'!$BF$10)-DAY('wgl tot'!E29)</f>
        <v>1</v>
      </c>
      <c r="BI29" s="635">
        <f>IF(AND('wgl tot'!F29&gt;0,'wgl tot'!F29&lt;16),0,100)</f>
        <v>100</v>
      </c>
      <c r="BJ29" s="635" t="e">
        <f>VLOOKUP('wgl tot'!F29,salaristabellen,22,FALSE)</f>
        <v>#N/A</v>
      </c>
      <c r="BK29" s="635">
        <f t="shared" si="0"/>
        <v>0</v>
      </c>
      <c r="BL29" s="651">
        <f t="shared" si="8"/>
        <v>41275</v>
      </c>
      <c r="BM29" s="652">
        <f t="shared" si="9"/>
        <v>0.08</v>
      </c>
      <c r="BN29" s="653">
        <f>+tabellen!$D$88</f>
        <v>6.3E-2</v>
      </c>
      <c r="BO29" s="650">
        <f>IF('wgl tot'!BI29=100,0,'wgl tot'!F29)</f>
        <v>0</v>
      </c>
      <c r="BP29" s="653" t="str">
        <f>IF(OR('wgl tot'!F29="DA",'wgl tot'!F29="DB",'wgl tot'!F29="DBuit",'wgl tot'!F29="DC",'wgl tot'!F29="DCuit",MID('wgl tot'!F29,1,5)="meerh"),"j","n")</f>
        <v>n</v>
      </c>
      <c r="BQ29" s="653">
        <f t="shared" si="10"/>
        <v>1.9E-2</v>
      </c>
      <c r="BR29" s="654">
        <f>IF(AI29&gt;'wgl tot'!AH29,'wgl tot'!AH29,AI29)</f>
        <v>0</v>
      </c>
      <c r="BS29" s="654"/>
      <c r="BT29" s="655" t="e">
        <f>IF('wgl tot'!AJ29/'wgl tot'!H29&lt;tabellen!$E$54,0,(+'wgl tot'!AJ29-tabellen!$E$54*'wgl tot'!H29)/12*tabellen!$D$54)</f>
        <v>#DIV/0!</v>
      </c>
      <c r="BU29" s="655" t="e">
        <f>IF('wgl tot'!AJ29/'wgl tot'!H29&lt;tabellen!$E$55,0,(+'wgl tot'!AJ29-tabellen!$E$55*'wgl tot'!H29)/12*tabellen!$D$55)</f>
        <v>#DIV/0!</v>
      </c>
      <c r="BV29" s="655">
        <f>'wgl tot'!AJ29/12*tabellen!$D$56</f>
        <v>0</v>
      </c>
      <c r="BW29" s="656" t="e">
        <f t="shared" si="13"/>
        <v>#DIV/0!</v>
      </c>
      <c r="BX29" s="657" t="e">
        <f>+('wgl tot'!AF29+'wgl tot'!AK29)/12-'wgl tot'!BW29</f>
        <v>#DIV/0!</v>
      </c>
      <c r="BY29" s="657" t="e">
        <f>ROUND(IF('wgl tot'!BX29&gt;tabellen!$H$61,tabellen!$H$61,'wgl tot'!BX29)*tabellen!$C$61,2)</f>
        <v>#DIV/0!</v>
      </c>
      <c r="BZ29" s="646" t="e">
        <f>+'wgl tot'!BX29</f>
        <v>#DIV/0!</v>
      </c>
      <c r="CA29" s="654"/>
      <c r="CB29" s="635">
        <f>IF(AND(M29="j",tabellen!$C$118&gt;=E29),1,0)</f>
        <v>0</v>
      </c>
      <c r="CC29" s="647" t="str">
        <f t="shared" si="6"/>
        <v/>
      </c>
      <c r="CD29" s="648" t="str">
        <f t="shared" si="7"/>
        <v/>
      </c>
      <c r="CE29" s="286"/>
      <c r="CF29" s="286"/>
      <c r="CG29" s="286"/>
      <c r="CH29" s="286"/>
      <c r="CI29" s="286"/>
      <c r="CJ29" s="286"/>
    </row>
    <row r="30" spans="2:88" ht="13.5" customHeight="1" x14ac:dyDescent="0.2">
      <c r="B30" s="541"/>
      <c r="C30" s="560"/>
      <c r="D30" s="289"/>
      <c r="E30" s="290"/>
      <c r="F30" s="291"/>
      <c r="G30" s="291"/>
      <c r="H30" s="293"/>
      <c r="I30" s="291"/>
      <c r="J30" s="291"/>
      <c r="K30" s="291"/>
      <c r="L30" s="291"/>
      <c r="M30" s="291"/>
      <c r="N30" s="295"/>
      <c r="O30" s="560"/>
      <c r="P30" s="292">
        <f>IF(F30="",0,(VLOOKUP('wgl tot'!F30,salaristabellen,'wgl tot'!G30+1,FALSE)))</f>
        <v>0</v>
      </c>
      <c r="Q30" s="294">
        <f>+'wgl tot'!P30*'wgl tot'!H30</f>
        <v>0</v>
      </c>
      <c r="R30" s="560"/>
      <c r="S30" s="296">
        <f>ROUND(IF(I30="j",VLOOKUP(BK30,uitlooptoeslag,2,FALSE))*IF('wgl tot'!H30&gt;1,1,'wgl tot'!H30),2)</f>
        <v>0</v>
      </c>
      <c r="T30" s="296">
        <f>ROUND(IF(OR('wgl tot'!F30="LA",'wgl tot'!F30="LB"),IF(J30="j",tabellen!$C$75*'wgl tot'!H30,0),0),2)</f>
        <v>0</v>
      </c>
      <c r="U30" s="296">
        <f>ROUND(IF(('wgl tot'!Q30+'wgl tot'!S30+'wgl tot'!T30)*BM30&lt;'wgl tot'!H30*tabellen!$D$87,'wgl tot'!H30*tabellen!$D$87,('wgl tot'!Q30+'wgl tot'!S30+'wgl tot'!T30)*BM30),2)</f>
        <v>0</v>
      </c>
      <c r="V30" s="296">
        <f>ROUND(+('wgl tot'!Q30+'wgl tot'!S30+'wgl tot'!T30)*BN30,2)</f>
        <v>0</v>
      </c>
      <c r="W30" s="296">
        <f>+tabellen!$C$83*'wgl tot'!H30</f>
        <v>0</v>
      </c>
      <c r="X30" s="296">
        <f>VLOOKUP(BO30,eindejaarsuitkering_OOP,2,TRUE)*'wgl tot'!H30/12</f>
        <v>0</v>
      </c>
      <c r="Y30" s="296">
        <f>ROUND(IF(BP30="j",tabellen!$D$96*IF('wgl tot'!H30&gt;1,1,'wgl tot'!H30),0),2)</f>
        <v>0</v>
      </c>
      <c r="Z30" s="297">
        <f>+'wgl tot'!Q30+S30+T30+U30+V30+W30+X30+Y30</f>
        <v>0</v>
      </c>
      <c r="AA30" s="562"/>
      <c r="AB30" s="563"/>
      <c r="AC30" s="292">
        <f>+'wgl tot'!Z30*12</f>
        <v>0</v>
      </c>
      <c r="AD30" s="296">
        <f>ROUND(IF(L30="j",VLOOKUP(K30,bindingstoelage,2,FALSE))*IF('wgl tot'!H30&gt;1,1,'wgl tot'!H30),2)</f>
        <v>0</v>
      </c>
      <c r="AE30" s="296">
        <f>ROUND('wgl tot'!H30*tabellen!$D$94,2)</f>
        <v>0</v>
      </c>
      <c r="AF30" s="292">
        <f t="shared" si="12"/>
        <v>0</v>
      </c>
      <c r="AG30" s="560"/>
      <c r="AH30" s="296">
        <f>+('wgl tot'!AF30/(1+1.9%))*BQ30</f>
        <v>0</v>
      </c>
      <c r="AI30" s="296">
        <f t="shared" si="11"/>
        <v>0</v>
      </c>
      <c r="AJ30" s="292">
        <f>ROUND('wgl tot'!AF30-IF('wgl tot'!AI30&gt;'wgl tot'!AH30,'wgl tot'!AH30,'wgl tot'!AI30),0)</f>
        <v>0</v>
      </c>
      <c r="AK30" s="298">
        <f>IF('wgl tot'!E30&lt;1950,0,+('wgl tot'!Q30+'wgl tot'!S30+'wgl tot'!T30)*tabellen!$C$85)*12</f>
        <v>0</v>
      </c>
      <c r="AL30" s="560"/>
      <c r="AM30" s="296">
        <f>+'wgl tot'!AF30/12</f>
        <v>0</v>
      </c>
      <c r="AN30" s="296">
        <f>IF(F30="",0,(IF('wgl tot'!AJ30/'wgl tot'!H30&lt;tabellen!$E$54,0,('wgl tot'!AJ30-tabellen!$E$54*'wgl tot'!H30)/12)*tabellen!$C$54))</f>
        <v>0</v>
      </c>
      <c r="AO30" s="296">
        <f>IF(F30="",0,(IF('wgl tot'!AJ30/'wgl tot'!H30&lt;tabellen!$E$55,0,(+'wgl tot'!AJ30-tabellen!$E$55*'wgl tot'!H30)/12)*tabellen!$C$55))</f>
        <v>0</v>
      </c>
      <c r="AP30" s="296">
        <f>'wgl tot'!AJ30/12*tabellen!$C$56</f>
        <v>0</v>
      </c>
      <c r="AQ30" s="296">
        <f>IF(F30="",0,IF(CD30=0,IF(CB30=0,IF('wgl tot'!BX30&gt;tabellen!$G$57/12,tabellen!$G$57/12,'wgl tot'!BX30)*(tabellen!$C$57+tabellen!$C$58+tabellen!$C$59),IF('wgl tot'!BX30&gt;tabellen!$G$57/12,tabellen!$G$57/12,'wgl tot'!BX30)*(tabellen!$C$58+tabellen!$C$59)),IF('wgl tot'!BX30&gt;tabellen!$G$57/12,tabellen!$G$57/12,'wgl tot'!BX30)*(tabellen!$C$57+tabellen!$C$58+tabellen!$C$59)))</f>
        <v>0</v>
      </c>
      <c r="AR30" s="296">
        <f>IF(F30="",0,('wgl tot'!BY30))</f>
        <v>0</v>
      </c>
      <c r="AS30" s="299">
        <f>IF(F30="",0,(IF('wgl tot'!BX30&gt;tabellen!$G$62*'wgl tot'!H30/12,tabellen!$G$62*'wgl tot'!H30/12,'wgl tot'!BX30)*tabellen!$C$62))</f>
        <v>0</v>
      </c>
      <c r="AT30" s="299">
        <f>IF(F30="",0,('wgl tot'!BX30*IF(N30=1,tabellen!$C$63,IF(N30=2,tabellen!C81,IF(N30=3,tabellen!$C$65,tabellen!$C$66)))))</f>
        <v>0</v>
      </c>
      <c r="AU30" s="299">
        <f>IF(F30="",0,('wgl tot'!BX30*tabellen!$C$67))</f>
        <v>0</v>
      </c>
      <c r="AV30" s="299">
        <f>+'wgl tot'!AK30/12</f>
        <v>0</v>
      </c>
      <c r="AW30" s="618">
        <v>0</v>
      </c>
      <c r="AX30" s="299">
        <f t="shared" si="3"/>
        <v>0</v>
      </c>
      <c r="AY30" s="294">
        <f t="shared" si="4"/>
        <v>0</v>
      </c>
      <c r="AZ30" s="300">
        <f t="shared" si="5"/>
        <v>0</v>
      </c>
      <c r="BA30" s="560"/>
      <c r="BB30" s="301" t="str">
        <f>IF(AY30=0,"",(+'wgl tot'!AY30/'wgl tot'!Q30-1))</f>
        <v/>
      </c>
      <c r="BC30" s="560"/>
      <c r="BD30" s="542"/>
      <c r="BF30" s="649">
        <f ca="1">YEAR('wgl tot'!$BF$10)-YEAR('wgl tot'!E30)</f>
        <v>113</v>
      </c>
      <c r="BG30" s="650">
        <f ca="1">MONTH('wgl tot'!$BF$10)-MONTH('wgl tot'!E30)</f>
        <v>11</v>
      </c>
      <c r="BH30" s="650">
        <f ca="1">DAY('wgl tot'!$BF$10)-DAY('wgl tot'!E30)</f>
        <v>1</v>
      </c>
      <c r="BI30" s="635">
        <f>IF(AND('wgl tot'!F30&gt;0,'wgl tot'!F30&lt;16),0,100)</f>
        <v>100</v>
      </c>
      <c r="BJ30" s="635" t="e">
        <f>VLOOKUP('wgl tot'!F30,salaristabellen,22,FALSE)</f>
        <v>#N/A</v>
      </c>
      <c r="BK30" s="635">
        <f t="shared" si="0"/>
        <v>0</v>
      </c>
      <c r="BL30" s="651">
        <f t="shared" si="8"/>
        <v>41275</v>
      </c>
      <c r="BM30" s="652">
        <f t="shared" si="9"/>
        <v>0.08</v>
      </c>
      <c r="BN30" s="653">
        <f>+tabellen!$D$88</f>
        <v>6.3E-2</v>
      </c>
      <c r="BO30" s="650">
        <f>IF('wgl tot'!BI30=100,0,'wgl tot'!F30)</f>
        <v>0</v>
      </c>
      <c r="BP30" s="653" t="str">
        <f>IF(OR('wgl tot'!F30="DA",'wgl tot'!F30="DB",'wgl tot'!F30="DBuit",'wgl tot'!F30="DC",'wgl tot'!F30="DCuit",MID('wgl tot'!F30,1,5)="meerh"),"j","n")</f>
        <v>n</v>
      </c>
      <c r="BQ30" s="653">
        <f t="shared" si="10"/>
        <v>1.9E-2</v>
      </c>
      <c r="BR30" s="654">
        <f>IF(AI30&gt;'wgl tot'!AH30,'wgl tot'!AH30,AI30)</f>
        <v>0</v>
      </c>
      <c r="BS30" s="654"/>
      <c r="BT30" s="655" t="e">
        <f>IF('wgl tot'!AJ30/'wgl tot'!H30&lt;tabellen!$E$54,0,(+'wgl tot'!AJ30-tabellen!$E$54*'wgl tot'!H30)/12*tabellen!$D$54)</f>
        <v>#DIV/0!</v>
      </c>
      <c r="BU30" s="655" t="e">
        <f>IF('wgl tot'!AJ30/'wgl tot'!H30&lt;tabellen!$E$55,0,(+'wgl tot'!AJ30-tabellen!$E$55*'wgl tot'!H30)/12*tabellen!$D$55)</f>
        <v>#DIV/0!</v>
      </c>
      <c r="BV30" s="655">
        <f>'wgl tot'!AJ30/12*tabellen!$D$56</f>
        <v>0</v>
      </c>
      <c r="BW30" s="656" t="e">
        <f t="shared" si="13"/>
        <v>#DIV/0!</v>
      </c>
      <c r="BX30" s="657" t="e">
        <f>+('wgl tot'!AF30+'wgl tot'!AK30)/12-'wgl tot'!BW30</f>
        <v>#DIV/0!</v>
      </c>
      <c r="BY30" s="657" t="e">
        <f>ROUND(IF('wgl tot'!BX30&gt;tabellen!$H$61,tabellen!$H$61,'wgl tot'!BX30)*tabellen!$C$61,2)</f>
        <v>#DIV/0!</v>
      </c>
      <c r="BZ30" s="646" t="e">
        <f>+'wgl tot'!BX30</f>
        <v>#DIV/0!</v>
      </c>
      <c r="CA30" s="654"/>
      <c r="CB30" s="635">
        <f>IF(AND(M30="j",tabellen!$C$118&gt;=E30),1,0)</f>
        <v>0</v>
      </c>
      <c r="CC30" s="647" t="str">
        <f t="shared" si="6"/>
        <v/>
      </c>
      <c r="CD30" s="648" t="str">
        <f t="shared" si="7"/>
        <v/>
      </c>
      <c r="CE30" s="286"/>
      <c r="CF30" s="286"/>
      <c r="CG30" s="286"/>
      <c r="CH30" s="286"/>
      <c r="CI30" s="286"/>
      <c r="CJ30" s="286"/>
    </row>
    <row r="31" spans="2:88" ht="13.5" customHeight="1" x14ac:dyDescent="0.2">
      <c r="B31" s="541"/>
      <c r="C31" s="560"/>
      <c r="D31" s="289"/>
      <c r="E31" s="290"/>
      <c r="F31" s="291"/>
      <c r="G31" s="291"/>
      <c r="H31" s="293"/>
      <c r="I31" s="291"/>
      <c r="J31" s="291"/>
      <c r="K31" s="291"/>
      <c r="L31" s="291"/>
      <c r="M31" s="291"/>
      <c r="N31" s="295"/>
      <c r="O31" s="560"/>
      <c r="P31" s="292">
        <f>IF(F31="",0,(VLOOKUP('wgl tot'!F31,salaristabellen,'wgl tot'!G31+1,FALSE)))</f>
        <v>0</v>
      </c>
      <c r="Q31" s="294">
        <f>+'wgl tot'!P31*'wgl tot'!H31</f>
        <v>0</v>
      </c>
      <c r="R31" s="560"/>
      <c r="S31" s="296">
        <f>ROUND(IF(I31="j",VLOOKUP(BK31,uitlooptoeslag,2,FALSE))*IF('wgl tot'!H31&gt;1,1,'wgl tot'!H31),2)</f>
        <v>0</v>
      </c>
      <c r="T31" s="296">
        <f>ROUND(IF(OR('wgl tot'!F31="LA",'wgl tot'!F31="LB"),IF(J31="j",tabellen!$C$75*'wgl tot'!H31,0),0),2)</f>
        <v>0</v>
      </c>
      <c r="U31" s="296">
        <f>ROUND(IF(('wgl tot'!Q31+'wgl tot'!S31+'wgl tot'!T31)*BM31&lt;'wgl tot'!H31*tabellen!$D$87,'wgl tot'!H31*tabellen!$D$87,('wgl tot'!Q31+'wgl tot'!S31+'wgl tot'!T31)*BM31),2)</f>
        <v>0</v>
      </c>
      <c r="V31" s="296">
        <f>ROUND(+('wgl tot'!Q31+'wgl tot'!S31+'wgl tot'!T31)*BN31,2)</f>
        <v>0</v>
      </c>
      <c r="W31" s="296">
        <f>+tabellen!$C$83*'wgl tot'!H31</f>
        <v>0</v>
      </c>
      <c r="X31" s="296">
        <f>VLOOKUP(BO31,eindejaarsuitkering_OOP,2,TRUE)*'wgl tot'!H31/12</f>
        <v>0</v>
      </c>
      <c r="Y31" s="296">
        <f>ROUND(IF(BP31="j",tabellen!$D$96*IF('wgl tot'!H31&gt;1,1,'wgl tot'!H31),0),2)</f>
        <v>0</v>
      </c>
      <c r="Z31" s="297">
        <f>+'wgl tot'!Q31+S31+T31+U31+V31+W31+X31+Y31</f>
        <v>0</v>
      </c>
      <c r="AA31" s="562"/>
      <c r="AB31" s="563"/>
      <c r="AC31" s="292">
        <f>+'wgl tot'!Z31*12</f>
        <v>0</v>
      </c>
      <c r="AD31" s="296">
        <f>ROUND(IF(L31="j",VLOOKUP(K31,bindingstoelage,2,FALSE))*IF('wgl tot'!H31&gt;1,1,'wgl tot'!H31),2)</f>
        <v>0</v>
      </c>
      <c r="AE31" s="296">
        <f>ROUND('wgl tot'!H31*tabellen!$D$94,2)</f>
        <v>0</v>
      </c>
      <c r="AF31" s="292">
        <f t="shared" si="12"/>
        <v>0</v>
      </c>
      <c r="AG31" s="560"/>
      <c r="AH31" s="296">
        <f>+('wgl tot'!AF31/(1+1.9%))*BQ31</f>
        <v>0</v>
      </c>
      <c r="AI31" s="296">
        <f t="shared" si="11"/>
        <v>0</v>
      </c>
      <c r="AJ31" s="292">
        <f>ROUND('wgl tot'!AF31-IF('wgl tot'!AI31&gt;'wgl tot'!AH31,'wgl tot'!AH31,'wgl tot'!AI31),0)</f>
        <v>0</v>
      </c>
      <c r="AK31" s="298">
        <f>IF('wgl tot'!E31&lt;1950,0,+('wgl tot'!Q31+'wgl tot'!S31+'wgl tot'!T31)*tabellen!$C$85)*12</f>
        <v>0</v>
      </c>
      <c r="AL31" s="560"/>
      <c r="AM31" s="296">
        <f>+'wgl tot'!AF31/12</f>
        <v>0</v>
      </c>
      <c r="AN31" s="296">
        <f>IF(F31="",0,(IF('wgl tot'!AJ31/'wgl tot'!H31&lt;tabellen!$E$54,0,('wgl tot'!AJ31-tabellen!$E$54*'wgl tot'!H31)/12)*tabellen!$C$54))</f>
        <v>0</v>
      </c>
      <c r="AO31" s="296">
        <f>IF(F31="",0,(IF('wgl tot'!AJ31/'wgl tot'!H31&lt;tabellen!$E$55,0,(+'wgl tot'!AJ31-tabellen!$E$55*'wgl tot'!H31)/12)*tabellen!$C$55))</f>
        <v>0</v>
      </c>
      <c r="AP31" s="296">
        <f>'wgl tot'!AJ31/12*tabellen!$C$56</f>
        <v>0</v>
      </c>
      <c r="AQ31" s="296">
        <f>IF(F31="",0,IF(CD31=0,IF(CB31=0,IF('wgl tot'!BX31&gt;tabellen!$G$57/12,tabellen!$G$57/12,'wgl tot'!BX31)*(tabellen!$C$57+tabellen!$C$58+tabellen!$C$59),IF('wgl tot'!BX31&gt;tabellen!$G$57/12,tabellen!$G$57/12,'wgl tot'!BX31)*(tabellen!$C$58+tabellen!$C$59)),IF('wgl tot'!BX31&gt;tabellen!$G$57/12,tabellen!$G$57/12,'wgl tot'!BX31)*(tabellen!$C$57+tabellen!$C$58+tabellen!$C$59)))</f>
        <v>0</v>
      </c>
      <c r="AR31" s="296">
        <f>IF(F31="",0,('wgl tot'!BY31))</f>
        <v>0</v>
      </c>
      <c r="AS31" s="299">
        <f>IF(F31="",0,(IF('wgl tot'!BX31&gt;tabellen!$G$62*'wgl tot'!H31/12,tabellen!$G$62*'wgl tot'!H31/12,'wgl tot'!BX31)*tabellen!$C$62))</f>
        <v>0</v>
      </c>
      <c r="AT31" s="299">
        <f>IF(F31="",0,('wgl tot'!BX31*IF(N31=1,tabellen!$C$63,IF(N31=2,tabellen!C82,IF(N31=3,tabellen!$C$65,tabellen!$C$66)))))</f>
        <v>0</v>
      </c>
      <c r="AU31" s="299">
        <f>IF(F31="",0,('wgl tot'!BX31*tabellen!$C$67))</f>
        <v>0</v>
      </c>
      <c r="AV31" s="299">
        <f>+'wgl tot'!AK31/12</f>
        <v>0</v>
      </c>
      <c r="AW31" s="618">
        <v>0</v>
      </c>
      <c r="AX31" s="299">
        <f t="shared" si="3"/>
        <v>0</v>
      </c>
      <c r="AY31" s="294">
        <f t="shared" si="4"/>
        <v>0</v>
      </c>
      <c r="AZ31" s="300">
        <f t="shared" si="5"/>
        <v>0</v>
      </c>
      <c r="BA31" s="560"/>
      <c r="BB31" s="301" t="str">
        <f>IF(AY31=0,"",(+'wgl tot'!AY31/'wgl tot'!Q31-1))</f>
        <v/>
      </c>
      <c r="BC31" s="560"/>
      <c r="BD31" s="542"/>
      <c r="BF31" s="649">
        <f ca="1">YEAR('wgl tot'!$BF$10)-YEAR('wgl tot'!E31)</f>
        <v>113</v>
      </c>
      <c r="BG31" s="650">
        <f ca="1">MONTH('wgl tot'!$BF$10)-MONTH('wgl tot'!E31)</f>
        <v>11</v>
      </c>
      <c r="BH31" s="650">
        <f ca="1">DAY('wgl tot'!$BF$10)-DAY('wgl tot'!E31)</f>
        <v>1</v>
      </c>
      <c r="BI31" s="635">
        <f>IF(AND('wgl tot'!F31&gt;0,'wgl tot'!F31&lt;16),0,100)</f>
        <v>100</v>
      </c>
      <c r="BJ31" s="635" t="e">
        <f>VLOOKUP('wgl tot'!F31,salaristabellen,22,FALSE)</f>
        <v>#N/A</v>
      </c>
      <c r="BK31" s="635">
        <f t="shared" si="0"/>
        <v>0</v>
      </c>
      <c r="BL31" s="651">
        <f t="shared" si="8"/>
        <v>41275</v>
      </c>
      <c r="BM31" s="652">
        <f t="shared" si="9"/>
        <v>0.08</v>
      </c>
      <c r="BN31" s="653">
        <f>+tabellen!$D$88</f>
        <v>6.3E-2</v>
      </c>
      <c r="BO31" s="650">
        <f>IF('wgl tot'!BI31=100,0,'wgl tot'!F31)</f>
        <v>0</v>
      </c>
      <c r="BP31" s="653" t="str">
        <f>IF(OR('wgl tot'!F31="DA",'wgl tot'!F31="DB",'wgl tot'!F31="DBuit",'wgl tot'!F31="DC",'wgl tot'!F31="DCuit",MID('wgl tot'!F31,1,5)="meerh"),"j","n")</f>
        <v>n</v>
      </c>
      <c r="BQ31" s="653">
        <f t="shared" si="10"/>
        <v>1.9E-2</v>
      </c>
      <c r="BR31" s="654">
        <f>IF(AI31&gt;'wgl tot'!AH31,'wgl tot'!AH31,AI31)</f>
        <v>0</v>
      </c>
      <c r="BS31" s="654"/>
      <c r="BT31" s="655" t="e">
        <f>IF('wgl tot'!AJ31/'wgl tot'!H31&lt;tabellen!$E$54,0,(+'wgl tot'!AJ31-tabellen!$E$54*'wgl tot'!H31)/12*tabellen!$D$54)</f>
        <v>#DIV/0!</v>
      </c>
      <c r="BU31" s="655" t="e">
        <f>IF('wgl tot'!AJ31/'wgl tot'!H31&lt;tabellen!$E$55,0,(+'wgl tot'!AJ31-tabellen!$E$55*'wgl tot'!H31)/12*tabellen!$D$55)</f>
        <v>#DIV/0!</v>
      </c>
      <c r="BV31" s="655">
        <f>'wgl tot'!AJ31/12*tabellen!$D$56</f>
        <v>0</v>
      </c>
      <c r="BW31" s="656" t="e">
        <f t="shared" si="13"/>
        <v>#DIV/0!</v>
      </c>
      <c r="BX31" s="657" t="e">
        <f>+('wgl tot'!AF31+'wgl tot'!AK31)/12-'wgl tot'!BW31</f>
        <v>#DIV/0!</v>
      </c>
      <c r="BY31" s="657" t="e">
        <f>ROUND(IF('wgl tot'!BX31&gt;tabellen!$H$61,tabellen!$H$61,'wgl tot'!BX31)*tabellen!$C$61,2)</f>
        <v>#DIV/0!</v>
      </c>
      <c r="BZ31" s="646" t="e">
        <f>+'wgl tot'!BX31</f>
        <v>#DIV/0!</v>
      </c>
      <c r="CA31" s="654"/>
      <c r="CB31" s="635">
        <f>IF(AND(M31="j",tabellen!$C$118&gt;=E31),1,0)</f>
        <v>0</v>
      </c>
      <c r="CC31" s="647" t="str">
        <f t="shared" si="6"/>
        <v/>
      </c>
      <c r="CD31" s="648" t="str">
        <f t="shared" si="7"/>
        <v/>
      </c>
      <c r="CE31" s="286"/>
      <c r="CF31" s="286"/>
      <c r="CG31" s="286"/>
      <c r="CH31" s="286"/>
      <c r="CI31" s="286"/>
      <c r="CJ31" s="286"/>
    </row>
    <row r="32" spans="2:88" ht="13.5" customHeight="1" x14ac:dyDescent="0.2">
      <c r="B32" s="541"/>
      <c r="C32" s="560"/>
      <c r="D32" s="289"/>
      <c r="E32" s="290"/>
      <c r="F32" s="291"/>
      <c r="G32" s="291"/>
      <c r="H32" s="293"/>
      <c r="I32" s="291"/>
      <c r="J32" s="291"/>
      <c r="K32" s="291"/>
      <c r="L32" s="291"/>
      <c r="M32" s="291"/>
      <c r="N32" s="295"/>
      <c r="O32" s="560"/>
      <c r="P32" s="292">
        <f>IF(F32="",0,(VLOOKUP('wgl tot'!F32,salaristabellen,'wgl tot'!G32+1,FALSE)))</f>
        <v>0</v>
      </c>
      <c r="Q32" s="294">
        <f>+'wgl tot'!P32*'wgl tot'!H32</f>
        <v>0</v>
      </c>
      <c r="R32" s="560"/>
      <c r="S32" s="296">
        <f>ROUND(IF(I32="j",VLOOKUP(BK32,uitlooptoeslag,2,FALSE))*IF('wgl tot'!H32&gt;1,1,'wgl tot'!H32),2)</f>
        <v>0</v>
      </c>
      <c r="T32" s="296">
        <f>ROUND(IF(OR('wgl tot'!F32="LA",'wgl tot'!F32="LB"),IF(J32="j",tabellen!$C$75*'wgl tot'!H32,0),0),2)</f>
        <v>0</v>
      </c>
      <c r="U32" s="296">
        <f>ROUND(IF(('wgl tot'!Q32+'wgl tot'!S32+'wgl tot'!T32)*BM32&lt;'wgl tot'!H32*tabellen!$D$87,'wgl tot'!H32*tabellen!$D$87,('wgl tot'!Q32+'wgl tot'!S32+'wgl tot'!T32)*BM32),2)</f>
        <v>0</v>
      </c>
      <c r="V32" s="296">
        <f>ROUND(+('wgl tot'!Q32+'wgl tot'!S32+'wgl tot'!T32)*BN32,2)</f>
        <v>0</v>
      </c>
      <c r="W32" s="296">
        <f>+tabellen!$C$83*'wgl tot'!H32</f>
        <v>0</v>
      </c>
      <c r="X32" s="296">
        <f>VLOOKUP(BO32,eindejaarsuitkering_OOP,2,TRUE)*'wgl tot'!H32/12</f>
        <v>0</v>
      </c>
      <c r="Y32" s="296">
        <f>ROUND(IF(BP32="j",tabellen!$D$96*IF('wgl tot'!H32&gt;1,1,'wgl tot'!H32),0),2)</f>
        <v>0</v>
      </c>
      <c r="Z32" s="297">
        <f>+'wgl tot'!Q32+S32+T32+U32+V32+W32+X32+Y32</f>
        <v>0</v>
      </c>
      <c r="AA32" s="562"/>
      <c r="AB32" s="563"/>
      <c r="AC32" s="292">
        <f>+'wgl tot'!Z32*12</f>
        <v>0</v>
      </c>
      <c r="AD32" s="296">
        <f>ROUND(IF(L32="j",VLOOKUP(K32,bindingstoelage,2,FALSE))*IF('wgl tot'!H32&gt;1,1,'wgl tot'!H32),2)</f>
        <v>0</v>
      </c>
      <c r="AE32" s="296">
        <f>ROUND('wgl tot'!H32*tabellen!$D$94,2)</f>
        <v>0</v>
      </c>
      <c r="AF32" s="292">
        <f t="shared" si="12"/>
        <v>0</v>
      </c>
      <c r="AG32" s="560"/>
      <c r="AH32" s="296">
        <f>+('wgl tot'!AF32/(1+1.9%))*BQ32</f>
        <v>0</v>
      </c>
      <c r="AI32" s="296">
        <f t="shared" si="11"/>
        <v>0</v>
      </c>
      <c r="AJ32" s="292">
        <f>ROUND('wgl tot'!AF32-IF('wgl tot'!AI32&gt;'wgl tot'!AH32,'wgl tot'!AH32,'wgl tot'!AI32),0)</f>
        <v>0</v>
      </c>
      <c r="AK32" s="298">
        <f>IF('wgl tot'!E32&lt;1950,0,+('wgl tot'!Q32+'wgl tot'!S32+'wgl tot'!T32)*tabellen!$C$85)*12</f>
        <v>0</v>
      </c>
      <c r="AL32" s="560"/>
      <c r="AM32" s="296">
        <f>+'wgl tot'!AF32/12</f>
        <v>0</v>
      </c>
      <c r="AN32" s="296">
        <f>IF(F32="",0,(IF('wgl tot'!AJ32/'wgl tot'!H32&lt;tabellen!$E$54,0,('wgl tot'!AJ32-tabellen!$E$54*'wgl tot'!H32)/12)*tabellen!$C$54))</f>
        <v>0</v>
      </c>
      <c r="AO32" s="296">
        <f>IF(F32="",0,(IF('wgl tot'!AJ32/'wgl tot'!H32&lt;tabellen!$E$55,0,(+'wgl tot'!AJ32-tabellen!$E$55*'wgl tot'!H32)/12)*tabellen!$C$55))</f>
        <v>0</v>
      </c>
      <c r="AP32" s="296">
        <f>'wgl tot'!AJ32/12*tabellen!$C$56</f>
        <v>0</v>
      </c>
      <c r="AQ32" s="296">
        <f>IF(F32="",0,IF(CD32=0,IF(CB32=0,IF('wgl tot'!BX32&gt;tabellen!$G$57/12,tabellen!$G$57/12,'wgl tot'!BX32)*(tabellen!$C$57+tabellen!$C$58+tabellen!$C$59),IF('wgl tot'!BX32&gt;tabellen!$G$57/12,tabellen!$G$57/12,'wgl tot'!BX32)*(tabellen!$C$58+tabellen!$C$59)),IF('wgl tot'!BX32&gt;tabellen!$G$57/12,tabellen!$G$57/12,'wgl tot'!BX32)*(tabellen!$C$57+tabellen!$C$58+tabellen!$C$59)))</f>
        <v>0</v>
      </c>
      <c r="AR32" s="296">
        <f>IF(F32="",0,('wgl tot'!BY32))</f>
        <v>0</v>
      </c>
      <c r="AS32" s="299">
        <f>IF(F32="",0,(IF('wgl tot'!BX32&gt;tabellen!$G$62*'wgl tot'!H32/12,tabellen!$G$62*'wgl tot'!H32/12,'wgl tot'!BX32)*tabellen!$C$62))</f>
        <v>0</v>
      </c>
      <c r="AT32" s="299">
        <f>IF(F32="",0,('wgl tot'!BX32*IF(N32=1,tabellen!$C$63,IF(N32=2,tabellen!C83,IF(N32=3,tabellen!$C$65,tabellen!$C$66)))))</f>
        <v>0</v>
      </c>
      <c r="AU32" s="299">
        <f>IF(F32="",0,('wgl tot'!BX32*tabellen!$C$67))</f>
        <v>0</v>
      </c>
      <c r="AV32" s="299">
        <f>+'wgl tot'!AK32/12</f>
        <v>0</v>
      </c>
      <c r="AW32" s="618">
        <v>0</v>
      </c>
      <c r="AX32" s="299">
        <f t="shared" si="3"/>
        <v>0</v>
      </c>
      <c r="AY32" s="294">
        <f t="shared" si="4"/>
        <v>0</v>
      </c>
      <c r="AZ32" s="300">
        <f t="shared" si="5"/>
        <v>0</v>
      </c>
      <c r="BA32" s="560"/>
      <c r="BB32" s="301" t="str">
        <f>IF(AY32=0,"",(+'wgl tot'!AY32/'wgl tot'!Q32-1))</f>
        <v/>
      </c>
      <c r="BC32" s="560"/>
      <c r="BD32" s="542"/>
      <c r="BF32" s="649">
        <f ca="1">YEAR('wgl tot'!$BF$10)-YEAR('wgl tot'!E32)</f>
        <v>113</v>
      </c>
      <c r="BG32" s="650">
        <f ca="1">MONTH('wgl tot'!$BF$10)-MONTH('wgl tot'!E32)</f>
        <v>11</v>
      </c>
      <c r="BH32" s="650">
        <f ca="1">DAY('wgl tot'!$BF$10)-DAY('wgl tot'!E32)</f>
        <v>1</v>
      </c>
      <c r="BI32" s="635">
        <f>IF(AND('wgl tot'!F32&gt;0,'wgl tot'!F32&lt;16),0,100)</f>
        <v>100</v>
      </c>
      <c r="BJ32" s="635" t="e">
        <f>VLOOKUP('wgl tot'!F32,salaristabellen,22,FALSE)</f>
        <v>#N/A</v>
      </c>
      <c r="BK32" s="635">
        <f t="shared" si="0"/>
        <v>0</v>
      </c>
      <c r="BL32" s="651">
        <f t="shared" si="8"/>
        <v>41275</v>
      </c>
      <c r="BM32" s="652">
        <f t="shared" si="9"/>
        <v>0.08</v>
      </c>
      <c r="BN32" s="653">
        <f>+tabellen!$D$88</f>
        <v>6.3E-2</v>
      </c>
      <c r="BO32" s="650">
        <f>IF('wgl tot'!BI32=100,0,'wgl tot'!F32)</f>
        <v>0</v>
      </c>
      <c r="BP32" s="653" t="str">
        <f>IF(OR('wgl tot'!F32="DA",'wgl tot'!F32="DB",'wgl tot'!F32="DBuit",'wgl tot'!F32="DC",'wgl tot'!F32="DCuit",MID('wgl tot'!F32,1,5)="meerh"),"j","n")</f>
        <v>n</v>
      </c>
      <c r="BQ32" s="653">
        <f t="shared" si="10"/>
        <v>1.9E-2</v>
      </c>
      <c r="BR32" s="654">
        <f>IF(AI32&gt;'wgl tot'!AH32,'wgl tot'!AH32,AI32)</f>
        <v>0</v>
      </c>
      <c r="BS32" s="654"/>
      <c r="BT32" s="655" t="e">
        <f>IF('wgl tot'!AJ32/'wgl tot'!H32&lt;tabellen!$E$54,0,(+'wgl tot'!AJ32-tabellen!$E$54*'wgl tot'!H32)/12*tabellen!$D$54)</f>
        <v>#DIV/0!</v>
      </c>
      <c r="BU32" s="655" t="e">
        <f>IF('wgl tot'!AJ32/'wgl tot'!H32&lt;tabellen!$E$55,0,(+'wgl tot'!AJ32-tabellen!$E$55*'wgl tot'!H32)/12*tabellen!$D$55)</f>
        <v>#DIV/0!</v>
      </c>
      <c r="BV32" s="655">
        <f>'wgl tot'!AJ32/12*tabellen!$D$56</f>
        <v>0</v>
      </c>
      <c r="BW32" s="656" t="e">
        <f t="shared" si="13"/>
        <v>#DIV/0!</v>
      </c>
      <c r="BX32" s="657" t="e">
        <f>+('wgl tot'!AF32+'wgl tot'!AK32)/12-'wgl tot'!BW32</f>
        <v>#DIV/0!</v>
      </c>
      <c r="BY32" s="657" t="e">
        <f>ROUND(IF('wgl tot'!BX32&gt;tabellen!$H$61,tabellen!$H$61,'wgl tot'!BX32)*tabellen!$C$61,2)</f>
        <v>#DIV/0!</v>
      </c>
      <c r="BZ32" s="646" t="e">
        <f>+'wgl tot'!BX32</f>
        <v>#DIV/0!</v>
      </c>
      <c r="CA32" s="654"/>
      <c r="CB32" s="635">
        <f>IF(AND(M32="j",tabellen!$C$118&gt;=E32),1,0)</f>
        <v>0</v>
      </c>
      <c r="CC32" s="647" t="str">
        <f t="shared" si="6"/>
        <v/>
      </c>
      <c r="CD32" s="648" t="str">
        <f t="shared" si="7"/>
        <v/>
      </c>
      <c r="CE32" s="286"/>
      <c r="CF32" s="286"/>
      <c r="CG32" s="286"/>
      <c r="CH32" s="286"/>
      <c r="CI32" s="286"/>
      <c r="CJ32" s="286"/>
    </row>
    <row r="33" spans="2:88" ht="13.5" customHeight="1" x14ac:dyDescent="0.2">
      <c r="B33" s="541"/>
      <c r="C33" s="560"/>
      <c r="D33" s="289"/>
      <c r="E33" s="290"/>
      <c r="F33" s="291"/>
      <c r="G33" s="291"/>
      <c r="H33" s="293"/>
      <c r="I33" s="291"/>
      <c r="J33" s="291"/>
      <c r="K33" s="291"/>
      <c r="L33" s="291"/>
      <c r="M33" s="291"/>
      <c r="N33" s="295"/>
      <c r="O33" s="560"/>
      <c r="P33" s="292">
        <f>IF(F33="",0,(VLOOKUP('wgl tot'!F33,salaristabellen,'wgl tot'!G33+1,FALSE)))</f>
        <v>0</v>
      </c>
      <c r="Q33" s="294">
        <f>+'wgl tot'!P33*'wgl tot'!H33</f>
        <v>0</v>
      </c>
      <c r="R33" s="560"/>
      <c r="S33" s="296">
        <f>ROUND(IF(I33="j",VLOOKUP(BK33,uitlooptoeslag,2,FALSE))*IF('wgl tot'!H33&gt;1,1,'wgl tot'!H33),2)</f>
        <v>0</v>
      </c>
      <c r="T33" s="296">
        <f>ROUND(IF(OR('wgl tot'!F33="LA",'wgl tot'!F33="LB"),IF(J33="j",tabellen!$C$75*'wgl tot'!H33,0),0),2)</f>
        <v>0</v>
      </c>
      <c r="U33" s="296">
        <f>ROUND(IF(('wgl tot'!Q33+'wgl tot'!S33+'wgl tot'!T33)*BM33&lt;'wgl tot'!H33*tabellen!$D$87,'wgl tot'!H33*tabellen!$D$87,('wgl tot'!Q33+'wgl tot'!S33+'wgl tot'!T33)*BM33),2)</f>
        <v>0</v>
      </c>
      <c r="V33" s="296">
        <f>ROUND(+('wgl tot'!Q33+'wgl tot'!S33+'wgl tot'!T33)*BN33,2)</f>
        <v>0</v>
      </c>
      <c r="W33" s="296">
        <f>+tabellen!$C$83*'wgl tot'!H33</f>
        <v>0</v>
      </c>
      <c r="X33" s="296">
        <f>VLOOKUP(BO33,eindejaarsuitkering_OOP,2,TRUE)*'wgl tot'!H33/12</f>
        <v>0</v>
      </c>
      <c r="Y33" s="296">
        <f>ROUND(IF(BP33="j",tabellen!$D$96*IF('wgl tot'!H33&gt;1,1,'wgl tot'!H33),0),2)</f>
        <v>0</v>
      </c>
      <c r="Z33" s="297">
        <f>+'wgl tot'!Q33+S33+T33+U33+V33+W33+X33+Y33</f>
        <v>0</v>
      </c>
      <c r="AA33" s="562"/>
      <c r="AB33" s="563"/>
      <c r="AC33" s="292">
        <f>+'wgl tot'!Z33*12</f>
        <v>0</v>
      </c>
      <c r="AD33" s="296">
        <f>ROUND(IF(L33="j",VLOOKUP(K33,bindingstoelage,2,FALSE))*IF('wgl tot'!H33&gt;1,1,'wgl tot'!H33),2)</f>
        <v>0</v>
      </c>
      <c r="AE33" s="296">
        <f>ROUND('wgl tot'!H33*tabellen!$D$94,2)</f>
        <v>0</v>
      </c>
      <c r="AF33" s="292">
        <f t="shared" si="12"/>
        <v>0</v>
      </c>
      <c r="AG33" s="560"/>
      <c r="AH33" s="296">
        <f>+('wgl tot'!AF33/(1+1.9%))*BQ33</f>
        <v>0</v>
      </c>
      <c r="AI33" s="296">
        <f t="shared" si="11"/>
        <v>0</v>
      </c>
      <c r="AJ33" s="292">
        <f>ROUND('wgl tot'!AF33-IF('wgl tot'!AI33&gt;'wgl tot'!AH33,'wgl tot'!AH33,'wgl tot'!AI33),0)</f>
        <v>0</v>
      </c>
      <c r="AK33" s="298">
        <f>IF('wgl tot'!E33&lt;1950,0,+('wgl tot'!Q33+'wgl tot'!S33+'wgl tot'!T33)*tabellen!$C$85)*12</f>
        <v>0</v>
      </c>
      <c r="AL33" s="560"/>
      <c r="AM33" s="296">
        <f>+'wgl tot'!AF33/12</f>
        <v>0</v>
      </c>
      <c r="AN33" s="296">
        <f>IF(F33="",0,(IF('wgl tot'!AJ33/'wgl tot'!H33&lt;tabellen!$E$54,0,('wgl tot'!AJ33-tabellen!$E$54*'wgl tot'!H33)/12)*tabellen!$C$54))</f>
        <v>0</v>
      </c>
      <c r="AO33" s="296">
        <f>IF(F33="",0,(IF('wgl tot'!AJ33/'wgl tot'!H33&lt;tabellen!$E$55,0,(+'wgl tot'!AJ33-tabellen!$E$55*'wgl tot'!H33)/12)*tabellen!$C$55))</f>
        <v>0</v>
      </c>
      <c r="AP33" s="296">
        <f>'wgl tot'!AJ33/12*tabellen!$C$56</f>
        <v>0</v>
      </c>
      <c r="AQ33" s="296">
        <f>IF(F33="",0,IF(CD33=0,IF(CB33=0,IF('wgl tot'!BX33&gt;tabellen!$G$57/12,tabellen!$G$57/12,'wgl tot'!BX33)*(tabellen!$C$57+tabellen!$C$58+tabellen!$C$59),IF('wgl tot'!BX33&gt;tabellen!$G$57/12,tabellen!$G$57/12,'wgl tot'!BX33)*(tabellen!$C$58+tabellen!$C$59)),IF('wgl tot'!BX33&gt;tabellen!$G$57/12,tabellen!$G$57/12,'wgl tot'!BX33)*(tabellen!$C$57+tabellen!$C$58+tabellen!$C$59)))</f>
        <v>0</v>
      </c>
      <c r="AR33" s="296">
        <f>IF(F33="",0,('wgl tot'!BY33))</f>
        <v>0</v>
      </c>
      <c r="AS33" s="299">
        <f>IF(F33="",0,(IF('wgl tot'!BX33&gt;tabellen!$G$62*'wgl tot'!H33/12,tabellen!$G$62*'wgl tot'!H33/12,'wgl tot'!BX33)*tabellen!$C$62))</f>
        <v>0</v>
      </c>
      <c r="AT33" s="299">
        <f>IF(F33="",0,('wgl tot'!BX33*IF(N33=1,tabellen!$C$63,IF(N33=2,tabellen!C84,IF(N33=3,tabellen!$C$65,tabellen!$C$66)))))</f>
        <v>0</v>
      </c>
      <c r="AU33" s="299">
        <f>IF(F33="",0,('wgl tot'!BX33*tabellen!$C$67))</f>
        <v>0</v>
      </c>
      <c r="AV33" s="299">
        <f>+'wgl tot'!AK33/12</f>
        <v>0</v>
      </c>
      <c r="AW33" s="618">
        <v>0</v>
      </c>
      <c r="AX33" s="299">
        <f t="shared" si="3"/>
        <v>0</v>
      </c>
      <c r="AY33" s="294">
        <f t="shared" si="4"/>
        <v>0</v>
      </c>
      <c r="AZ33" s="300">
        <f t="shared" si="5"/>
        <v>0</v>
      </c>
      <c r="BA33" s="560"/>
      <c r="BB33" s="301" t="str">
        <f>IF(AY33=0,"",(+'wgl tot'!AY33/'wgl tot'!Q33-1))</f>
        <v/>
      </c>
      <c r="BC33" s="560"/>
      <c r="BD33" s="542"/>
      <c r="BF33" s="649">
        <f ca="1">YEAR('wgl tot'!$BF$10)-YEAR('wgl tot'!E33)</f>
        <v>113</v>
      </c>
      <c r="BG33" s="650">
        <f ca="1">MONTH('wgl tot'!$BF$10)-MONTH('wgl tot'!E33)</f>
        <v>11</v>
      </c>
      <c r="BH33" s="650">
        <f ca="1">DAY('wgl tot'!$BF$10)-DAY('wgl tot'!E33)</f>
        <v>1</v>
      </c>
      <c r="BI33" s="635">
        <f>IF(AND('wgl tot'!F33&gt;0,'wgl tot'!F33&lt;16),0,100)</f>
        <v>100</v>
      </c>
      <c r="BJ33" s="635" t="e">
        <f>VLOOKUP('wgl tot'!F33,salaristabellen,22,FALSE)</f>
        <v>#N/A</v>
      </c>
      <c r="BK33" s="635">
        <f t="shared" si="0"/>
        <v>0</v>
      </c>
      <c r="BL33" s="651">
        <f t="shared" si="8"/>
        <v>41275</v>
      </c>
      <c r="BM33" s="652">
        <f t="shared" si="9"/>
        <v>0.08</v>
      </c>
      <c r="BN33" s="653">
        <f>+tabellen!$D$88</f>
        <v>6.3E-2</v>
      </c>
      <c r="BO33" s="650">
        <f>IF('wgl tot'!BI33=100,0,'wgl tot'!F33)</f>
        <v>0</v>
      </c>
      <c r="BP33" s="653" t="str">
        <f>IF(OR('wgl tot'!F33="DA",'wgl tot'!F33="DB",'wgl tot'!F33="DBuit",'wgl tot'!F33="DC",'wgl tot'!F33="DCuit",MID('wgl tot'!F33,1,5)="meerh"),"j","n")</f>
        <v>n</v>
      </c>
      <c r="BQ33" s="653">
        <f t="shared" si="10"/>
        <v>1.9E-2</v>
      </c>
      <c r="BR33" s="654">
        <f>IF(AI33&gt;'wgl tot'!AH33,'wgl tot'!AH33,AI33)</f>
        <v>0</v>
      </c>
      <c r="BS33" s="654"/>
      <c r="BT33" s="655" t="e">
        <f>IF('wgl tot'!AJ33/'wgl tot'!H33&lt;tabellen!$E$54,0,(+'wgl tot'!AJ33-tabellen!$E$54*'wgl tot'!H33)/12*tabellen!$D$54)</f>
        <v>#DIV/0!</v>
      </c>
      <c r="BU33" s="655" t="e">
        <f>IF('wgl tot'!AJ33/'wgl tot'!H33&lt;tabellen!$E$55,0,(+'wgl tot'!AJ33-tabellen!$E$55*'wgl tot'!H33)/12*tabellen!$D$55)</f>
        <v>#DIV/0!</v>
      </c>
      <c r="BV33" s="655">
        <f>'wgl tot'!AJ33/12*tabellen!$D$56</f>
        <v>0</v>
      </c>
      <c r="BW33" s="656" t="e">
        <f t="shared" si="13"/>
        <v>#DIV/0!</v>
      </c>
      <c r="BX33" s="657" t="e">
        <f>+('wgl tot'!AF33+'wgl tot'!AK33)/12-'wgl tot'!BW33</f>
        <v>#DIV/0!</v>
      </c>
      <c r="BY33" s="657" t="e">
        <f>ROUND(IF('wgl tot'!BX33&gt;tabellen!$H$61,tabellen!$H$61,'wgl tot'!BX33)*tabellen!$C$61,2)</f>
        <v>#DIV/0!</v>
      </c>
      <c r="BZ33" s="646" t="e">
        <f>+'wgl tot'!BX33</f>
        <v>#DIV/0!</v>
      </c>
      <c r="CA33" s="654"/>
      <c r="CB33" s="635">
        <f>IF(AND(M33="j",tabellen!$C$118&gt;=E33),1,0)</f>
        <v>0</v>
      </c>
      <c r="CC33" s="647" t="str">
        <f t="shared" si="6"/>
        <v/>
      </c>
      <c r="CD33" s="648" t="str">
        <f t="shared" si="7"/>
        <v/>
      </c>
      <c r="CE33" s="286"/>
      <c r="CF33" s="286"/>
      <c r="CG33" s="286"/>
      <c r="CH33" s="286"/>
      <c r="CI33" s="286"/>
      <c r="CJ33" s="286"/>
    </row>
    <row r="34" spans="2:88" ht="13.5" customHeight="1" x14ac:dyDescent="0.2">
      <c r="B34" s="541"/>
      <c r="C34" s="560"/>
      <c r="D34" s="289"/>
      <c r="E34" s="290"/>
      <c r="F34" s="291"/>
      <c r="G34" s="291"/>
      <c r="H34" s="293"/>
      <c r="I34" s="291"/>
      <c r="J34" s="291"/>
      <c r="K34" s="291"/>
      <c r="L34" s="291"/>
      <c r="M34" s="291"/>
      <c r="N34" s="295"/>
      <c r="O34" s="560"/>
      <c r="P34" s="292">
        <f>IF(F34="",0,(VLOOKUP('wgl tot'!F34,salaristabellen,'wgl tot'!G34+1,FALSE)))</f>
        <v>0</v>
      </c>
      <c r="Q34" s="294">
        <f>+'wgl tot'!P34*'wgl tot'!H34</f>
        <v>0</v>
      </c>
      <c r="R34" s="560"/>
      <c r="S34" s="296">
        <f>ROUND(IF(I34="j",VLOOKUP(BK34,uitlooptoeslag,2,FALSE))*IF('wgl tot'!H34&gt;1,1,'wgl tot'!H34),2)</f>
        <v>0</v>
      </c>
      <c r="T34" s="296">
        <f>ROUND(IF(OR('wgl tot'!F34="LA",'wgl tot'!F34="LB"),IF(J34="j",tabellen!$C$75*'wgl tot'!H34,0),0),2)</f>
        <v>0</v>
      </c>
      <c r="U34" s="296">
        <f>ROUND(IF(('wgl tot'!Q34+'wgl tot'!S34+'wgl tot'!T34)*BM34&lt;'wgl tot'!H34*tabellen!$D$87,'wgl tot'!H34*tabellen!$D$87,('wgl tot'!Q34+'wgl tot'!S34+'wgl tot'!T34)*BM34),2)</f>
        <v>0</v>
      </c>
      <c r="V34" s="296">
        <f>ROUND(+('wgl tot'!Q34+'wgl tot'!S34+'wgl tot'!T34)*BN34,2)</f>
        <v>0</v>
      </c>
      <c r="W34" s="296">
        <f>+tabellen!$C$83*'wgl tot'!H34</f>
        <v>0</v>
      </c>
      <c r="X34" s="296">
        <f>VLOOKUP(BO34,eindejaarsuitkering_OOP,2,TRUE)*'wgl tot'!H34/12</f>
        <v>0</v>
      </c>
      <c r="Y34" s="296">
        <f>ROUND(IF(BP34="j",tabellen!$D$96*IF('wgl tot'!H34&gt;1,1,'wgl tot'!H34),0),2)</f>
        <v>0</v>
      </c>
      <c r="Z34" s="297">
        <f>+'wgl tot'!Q34+S34+T34+U34+V34+W34+X34+Y34</f>
        <v>0</v>
      </c>
      <c r="AA34" s="562"/>
      <c r="AB34" s="563"/>
      <c r="AC34" s="292">
        <f>+'wgl tot'!Z34*12</f>
        <v>0</v>
      </c>
      <c r="AD34" s="296">
        <f>ROUND(IF(L34="j",VLOOKUP(K34,bindingstoelage,2,FALSE))*IF('wgl tot'!H34&gt;1,1,'wgl tot'!H34),2)</f>
        <v>0</v>
      </c>
      <c r="AE34" s="296">
        <f>ROUND('wgl tot'!H34*tabellen!$D$94,2)</f>
        <v>0</v>
      </c>
      <c r="AF34" s="292">
        <f t="shared" si="12"/>
        <v>0</v>
      </c>
      <c r="AG34" s="560"/>
      <c r="AH34" s="296">
        <f>+('wgl tot'!AF34/(1+1.9%))*BQ34</f>
        <v>0</v>
      </c>
      <c r="AI34" s="296">
        <f t="shared" si="11"/>
        <v>0</v>
      </c>
      <c r="AJ34" s="292">
        <f>ROUND('wgl tot'!AF34-IF('wgl tot'!AI34&gt;'wgl tot'!AH34,'wgl tot'!AH34,'wgl tot'!AI34),0)</f>
        <v>0</v>
      </c>
      <c r="AK34" s="298">
        <f>IF('wgl tot'!E34&lt;1950,0,+('wgl tot'!Q34+'wgl tot'!S34+'wgl tot'!T34)*tabellen!$C$85)*12</f>
        <v>0</v>
      </c>
      <c r="AL34" s="560"/>
      <c r="AM34" s="296">
        <f>+'wgl tot'!AF34/12</f>
        <v>0</v>
      </c>
      <c r="AN34" s="296">
        <f>IF(F34="",0,(IF('wgl tot'!AJ34/'wgl tot'!H34&lt;tabellen!$E$54,0,('wgl tot'!AJ34-tabellen!$E$54*'wgl tot'!H34)/12)*tabellen!$C$54))</f>
        <v>0</v>
      </c>
      <c r="AO34" s="296">
        <f>IF(F34="",0,(IF('wgl tot'!AJ34/'wgl tot'!H34&lt;tabellen!$E$55,0,(+'wgl tot'!AJ34-tabellen!$E$55*'wgl tot'!H34)/12)*tabellen!$C$55))</f>
        <v>0</v>
      </c>
      <c r="AP34" s="296">
        <f>'wgl tot'!AJ34/12*tabellen!$C$56</f>
        <v>0</v>
      </c>
      <c r="AQ34" s="296">
        <f>IF(F34="",0,IF(CD34=0,IF(CB34=0,IF('wgl tot'!BX34&gt;tabellen!$G$57/12,tabellen!$G$57/12,'wgl tot'!BX34)*(tabellen!$C$57+tabellen!$C$58+tabellen!$C$59),IF('wgl tot'!BX34&gt;tabellen!$G$57/12,tabellen!$G$57/12,'wgl tot'!BX34)*(tabellen!$C$58+tabellen!$C$59)),IF('wgl tot'!BX34&gt;tabellen!$G$57/12,tabellen!$G$57/12,'wgl tot'!BX34)*(tabellen!$C$57+tabellen!$C$58+tabellen!$C$59)))</f>
        <v>0</v>
      </c>
      <c r="AR34" s="296">
        <f>IF(F34="",0,('wgl tot'!BY34))</f>
        <v>0</v>
      </c>
      <c r="AS34" s="299">
        <f>IF(F34="",0,(IF('wgl tot'!BX34&gt;tabellen!$G$62*'wgl tot'!H34/12,tabellen!$G$62*'wgl tot'!H34/12,'wgl tot'!BX34)*tabellen!$C$62))</f>
        <v>0</v>
      </c>
      <c r="AT34" s="299">
        <f>IF(F34="",0,('wgl tot'!BX34*IF(N34=1,tabellen!$C$63,IF(N34=2,tabellen!C85,IF(N34=3,tabellen!$C$65,tabellen!$C$66)))))</f>
        <v>0</v>
      </c>
      <c r="AU34" s="299">
        <f>IF(F34="",0,('wgl tot'!BX34*tabellen!$C$67))</f>
        <v>0</v>
      </c>
      <c r="AV34" s="299">
        <f>+'wgl tot'!AK34/12</f>
        <v>0</v>
      </c>
      <c r="AW34" s="618">
        <v>0</v>
      </c>
      <c r="AX34" s="299">
        <f t="shared" si="3"/>
        <v>0</v>
      </c>
      <c r="AY34" s="294">
        <f t="shared" si="4"/>
        <v>0</v>
      </c>
      <c r="AZ34" s="300">
        <f t="shared" si="5"/>
        <v>0</v>
      </c>
      <c r="BA34" s="560"/>
      <c r="BB34" s="301" t="str">
        <f>IF(AY34=0,"",(+'wgl tot'!AY34/'wgl tot'!Q34-1))</f>
        <v/>
      </c>
      <c r="BC34" s="560"/>
      <c r="BD34" s="542"/>
      <c r="BF34" s="649">
        <f ca="1">YEAR('wgl tot'!$BF$10)-YEAR('wgl tot'!E34)</f>
        <v>113</v>
      </c>
      <c r="BG34" s="650">
        <f ca="1">MONTH('wgl tot'!$BF$10)-MONTH('wgl tot'!E34)</f>
        <v>11</v>
      </c>
      <c r="BH34" s="650">
        <f ca="1">DAY('wgl tot'!$BF$10)-DAY('wgl tot'!E34)</f>
        <v>1</v>
      </c>
      <c r="BI34" s="635">
        <f>IF(AND('wgl tot'!F34&gt;0,'wgl tot'!F34&lt;16),0,100)</f>
        <v>100</v>
      </c>
      <c r="BJ34" s="635" t="e">
        <f>VLOOKUP('wgl tot'!F34,salaristabellen,22,FALSE)</f>
        <v>#N/A</v>
      </c>
      <c r="BK34" s="635">
        <f t="shared" si="0"/>
        <v>0</v>
      </c>
      <c r="BL34" s="651">
        <f t="shared" si="8"/>
        <v>41275</v>
      </c>
      <c r="BM34" s="652">
        <f t="shared" si="9"/>
        <v>0.08</v>
      </c>
      <c r="BN34" s="653">
        <f>+tabellen!$D$88</f>
        <v>6.3E-2</v>
      </c>
      <c r="BO34" s="650">
        <f>IF('wgl tot'!BI34=100,0,'wgl tot'!F34)</f>
        <v>0</v>
      </c>
      <c r="BP34" s="653" t="str">
        <f>IF(OR('wgl tot'!F34="DA",'wgl tot'!F34="DB",'wgl tot'!F34="DBuit",'wgl tot'!F34="DC",'wgl tot'!F34="DCuit",MID('wgl tot'!F34,1,5)="meerh"),"j","n")</f>
        <v>n</v>
      </c>
      <c r="BQ34" s="653">
        <f t="shared" si="10"/>
        <v>1.9E-2</v>
      </c>
      <c r="BR34" s="654">
        <f>IF(AI34&gt;'wgl tot'!AH34,'wgl tot'!AH34,AI34)</f>
        <v>0</v>
      </c>
      <c r="BS34" s="654"/>
      <c r="BT34" s="655" t="e">
        <f>IF('wgl tot'!AJ34/'wgl tot'!H34&lt;tabellen!$E$54,0,(+'wgl tot'!AJ34-tabellen!$E$54*'wgl tot'!H34)/12*tabellen!$D$54)</f>
        <v>#DIV/0!</v>
      </c>
      <c r="BU34" s="655" t="e">
        <f>IF('wgl tot'!AJ34/'wgl tot'!H34&lt;tabellen!$E$55,0,(+'wgl tot'!AJ34-tabellen!$E$55*'wgl tot'!H34)/12*tabellen!$D$55)</f>
        <v>#DIV/0!</v>
      </c>
      <c r="BV34" s="655">
        <f>'wgl tot'!AJ34/12*tabellen!$D$56</f>
        <v>0</v>
      </c>
      <c r="BW34" s="656" t="e">
        <f t="shared" si="13"/>
        <v>#DIV/0!</v>
      </c>
      <c r="BX34" s="657" t="e">
        <f>+('wgl tot'!AF34+'wgl tot'!AK34)/12-'wgl tot'!BW34</f>
        <v>#DIV/0!</v>
      </c>
      <c r="BY34" s="657" t="e">
        <f>ROUND(IF('wgl tot'!BX34&gt;tabellen!$H$61,tabellen!$H$61,'wgl tot'!BX34)*tabellen!$C$61,2)</f>
        <v>#DIV/0!</v>
      </c>
      <c r="BZ34" s="646" t="e">
        <f>+'wgl tot'!BX34</f>
        <v>#DIV/0!</v>
      </c>
      <c r="CA34" s="654"/>
      <c r="CB34" s="635">
        <f>IF(AND(M34="j",tabellen!$C$118&gt;=E34),1,0)</f>
        <v>0</v>
      </c>
      <c r="CC34" s="647" t="str">
        <f t="shared" si="6"/>
        <v/>
      </c>
      <c r="CD34" s="648" t="str">
        <f t="shared" si="7"/>
        <v/>
      </c>
      <c r="CE34" s="286"/>
      <c r="CF34" s="286"/>
      <c r="CG34" s="286"/>
      <c r="CH34" s="286"/>
      <c r="CI34" s="286"/>
      <c r="CJ34" s="286"/>
    </row>
    <row r="35" spans="2:88" ht="13.5" customHeight="1" x14ac:dyDescent="0.2">
      <c r="B35" s="541"/>
      <c r="C35" s="560"/>
      <c r="D35" s="289"/>
      <c r="E35" s="290"/>
      <c r="F35" s="291"/>
      <c r="G35" s="291"/>
      <c r="H35" s="293"/>
      <c r="I35" s="291"/>
      <c r="J35" s="291"/>
      <c r="K35" s="291"/>
      <c r="L35" s="291"/>
      <c r="M35" s="291"/>
      <c r="N35" s="295"/>
      <c r="O35" s="560"/>
      <c r="P35" s="292">
        <f>IF(F35="",0,(VLOOKUP('wgl tot'!F35,salaristabellen,'wgl tot'!G35+1,FALSE)))</f>
        <v>0</v>
      </c>
      <c r="Q35" s="294">
        <f>+'wgl tot'!P35*'wgl tot'!H35</f>
        <v>0</v>
      </c>
      <c r="R35" s="560"/>
      <c r="S35" s="296">
        <f>ROUND(IF(I35="j",VLOOKUP(BK35,uitlooptoeslag,2,FALSE))*IF('wgl tot'!H35&gt;1,1,'wgl tot'!H35),2)</f>
        <v>0</v>
      </c>
      <c r="T35" s="296">
        <f>ROUND(IF(OR('wgl tot'!F35="LA",'wgl tot'!F35="LB"),IF(J35="j",tabellen!$C$75*'wgl tot'!H35,0),0),2)</f>
        <v>0</v>
      </c>
      <c r="U35" s="296">
        <f>ROUND(IF(('wgl tot'!Q35+'wgl tot'!S35+'wgl tot'!T35)*BM35&lt;'wgl tot'!H35*tabellen!$D$87,'wgl tot'!H35*tabellen!$D$87,('wgl tot'!Q35+'wgl tot'!S35+'wgl tot'!T35)*BM35),2)</f>
        <v>0</v>
      </c>
      <c r="V35" s="296">
        <f>ROUND(+('wgl tot'!Q35+'wgl tot'!S35+'wgl tot'!T35)*BN35,2)</f>
        <v>0</v>
      </c>
      <c r="W35" s="296">
        <f>+tabellen!$C$83*'wgl tot'!H35</f>
        <v>0</v>
      </c>
      <c r="X35" s="296">
        <f>VLOOKUP(BO35,eindejaarsuitkering_OOP,2,TRUE)*'wgl tot'!H35/12</f>
        <v>0</v>
      </c>
      <c r="Y35" s="296">
        <f>ROUND(IF(BP35="j",tabellen!$D$96*IF('wgl tot'!H35&gt;1,1,'wgl tot'!H35),0),2)</f>
        <v>0</v>
      </c>
      <c r="Z35" s="297">
        <f>+'wgl tot'!Q35+S35+T35+U35+V35+W35+X35+Y35</f>
        <v>0</v>
      </c>
      <c r="AA35" s="562"/>
      <c r="AB35" s="563"/>
      <c r="AC35" s="292">
        <f>+'wgl tot'!Z35*12</f>
        <v>0</v>
      </c>
      <c r="AD35" s="296">
        <f>ROUND(IF(L35="j",VLOOKUP(K35,bindingstoelage,2,FALSE))*IF('wgl tot'!H35&gt;1,1,'wgl tot'!H35),2)</f>
        <v>0</v>
      </c>
      <c r="AE35" s="296">
        <f>ROUND('wgl tot'!H35*tabellen!$D$94,2)</f>
        <v>0</v>
      </c>
      <c r="AF35" s="292">
        <f t="shared" si="12"/>
        <v>0</v>
      </c>
      <c r="AG35" s="560"/>
      <c r="AH35" s="296">
        <f>+('wgl tot'!AF35/(1+1.9%))*BQ35</f>
        <v>0</v>
      </c>
      <c r="AI35" s="296">
        <f t="shared" si="11"/>
        <v>0</v>
      </c>
      <c r="AJ35" s="292">
        <f>ROUND('wgl tot'!AF35-IF('wgl tot'!AI35&gt;'wgl tot'!AH35,'wgl tot'!AH35,'wgl tot'!AI35),0)</f>
        <v>0</v>
      </c>
      <c r="AK35" s="298">
        <f>IF('wgl tot'!E35&lt;1950,0,+('wgl tot'!Q35+'wgl tot'!S35+'wgl tot'!T35)*tabellen!$C$85)*12</f>
        <v>0</v>
      </c>
      <c r="AL35" s="560"/>
      <c r="AM35" s="296">
        <f>+'wgl tot'!AF35/12</f>
        <v>0</v>
      </c>
      <c r="AN35" s="296">
        <f>IF(F35="",0,(IF('wgl tot'!AJ35/'wgl tot'!H35&lt;tabellen!$E$54,0,('wgl tot'!AJ35-tabellen!$E$54*'wgl tot'!H35)/12)*tabellen!$C$54))</f>
        <v>0</v>
      </c>
      <c r="AO35" s="296">
        <f>IF(F35="",0,(IF('wgl tot'!AJ35/'wgl tot'!H35&lt;tabellen!$E$55,0,(+'wgl tot'!AJ35-tabellen!$E$55*'wgl tot'!H35)/12)*tabellen!$C$55))</f>
        <v>0</v>
      </c>
      <c r="AP35" s="296">
        <f>'wgl tot'!AJ35/12*tabellen!$C$56</f>
        <v>0</v>
      </c>
      <c r="AQ35" s="296">
        <f>IF(F35="",0,IF(CD35=0,IF(CB35=0,IF('wgl tot'!BX35&gt;tabellen!$G$57/12,tabellen!$G$57/12,'wgl tot'!BX35)*(tabellen!$C$57+tabellen!$C$58+tabellen!$C$59),IF('wgl tot'!BX35&gt;tabellen!$G$57/12,tabellen!$G$57/12,'wgl tot'!BX35)*(tabellen!$C$58+tabellen!$C$59)),IF('wgl tot'!BX35&gt;tabellen!$G$57/12,tabellen!$G$57/12,'wgl tot'!BX35)*(tabellen!$C$57+tabellen!$C$58+tabellen!$C$59)))</f>
        <v>0</v>
      </c>
      <c r="AR35" s="296">
        <f>IF(F35="",0,('wgl tot'!BY35))</f>
        <v>0</v>
      </c>
      <c r="AS35" s="299">
        <f>IF(F35="",0,(IF('wgl tot'!BX35&gt;tabellen!$G$62*'wgl tot'!H35/12,tabellen!$G$62*'wgl tot'!H35/12,'wgl tot'!BX35)*tabellen!$C$62))</f>
        <v>0</v>
      </c>
      <c r="AT35" s="299">
        <f>IF(F35="",0,('wgl tot'!BX35*IF(N35=1,tabellen!$C$63,IF(N35=2,tabellen!C86,IF(N35=3,tabellen!$C$65,tabellen!$C$66)))))</f>
        <v>0</v>
      </c>
      <c r="AU35" s="299">
        <f>IF(F35="",0,('wgl tot'!BX35*tabellen!$C$67))</f>
        <v>0</v>
      </c>
      <c r="AV35" s="299">
        <f>+'wgl tot'!AK35/12</f>
        <v>0</v>
      </c>
      <c r="AW35" s="618">
        <v>0</v>
      </c>
      <c r="AX35" s="299">
        <f t="shared" si="3"/>
        <v>0</v>
      </c>
      <c r="AY35" s="294">
        <f t="shared" si="4"/>
        <v>0</v>
      </c>
      <c r="AZ35" s="300">
        <f t="shared" si="5"/>
        <v>0</v>
      </c>
      <c r="BA35" s="560"/>
      <c r="BB35" s="301" t="str">
        <f>IF(AY35=0,"",(+'wgl tot'!AY35/'wgl tot'!Q35-1))</f>
        <v/>
      </c>
      <c r="BC35" s="560"/>
      <c r="BD35" s="542"/>
      <c r="BF35" s="649">
        <f ca="1">YEAR('wgl tot'!$BF$10)-YEAR('wgl tot'!E35)</f>
        <v>113</v>
      </c>
      <c r="BG35" s="650">
        <f ca="1">MONTH('wgl tot'!$BF$10)-MONTH('wgl tot'!E35)</f>
        <v>11</v>
      </c>
      <c r="BH35" s="650">
        <f ca="1">DAY('wgl tot'!$BF$10)-DAY('wgl tot'!E35)</f>
        <v>1</v>
      </c>
      <c r="BI35" s="635">
        <f>IF(AND('wgl tot'!F35&gt;0,'wgl tot'!F35&lt;16),0,100)</f>
        <v>100</v>
      </c>
      <c r="BJ35" s="635" t="e">
        <f>VLOOKUP('wgl tot'!F35,salaristabellen,22,FALSE)</f>
        <v>#N/A</v>
      </c>
      <c r="BK35" s="635">
        <f t="shared" si="0"/>
        <v>0</v>
      </c>
      <c r="BL35" s="651">
        <f t="shared" si="8"/>
        <v>41275</v>
      </c>
      <c r="BM35" s="652">
        <f t="shared" si="9"/>
        <v>0.08</v>
      </c>
      <c r="BN35" s="653">
        <f>+tabellen!$D$88</f>
        <v>6.3E-2</v>
      </c>
      <c r="BO35" s="650">
        <f>IF('wgl tot'!BI35=100,0,'wgl tot'!F35)</f>
        <v>0</v>
      </c>
      <c r="BP35" s="653" t="str">
        <f>IF(OR('wgl tot'!F35="DA",'wgl tot'!F35="DB",'wgl tot'!F35="DBuit",'wgl tot'!F35="DC",'wgl tot'!F35="DCuit",MID('wgl tot'!F35,1,5)="meerh"),"j","n")</f>
        <v>n</v>
      </c>
      <c r="BQ35" s="653">
        <f t="shared" si="10"/>
        <v>1.9E-2</v>
      </c>
      <c r="BR35" s="654">
        <f>IF(AI35&gt;'wgl tot'!AH35,'wgl tot'!AH35,AI35)</f>
        <v>0</v>
      </c>
      <c r="BS35" s="654"/>
      <c r="BT35" s="655" t="e">
        <f>IF('wgl tot'!AJ35/'wgl tot'!H35&lt;tabellen!$E$54,0,(+'wgl tot'!AJ35-tabellen!$E$54*'wgl tot'!H35)/12*tabellen!$D$54)</f>
        <v>#DIV/0!</v>
      </c>
      <c r="BU35" s="655" t="e">
        <f>IF('wgl tot'!AJ35/'wgl tot'!H35&lt;tabellen!$E$55,0,(+'wgl tot'!AJ35-tabellen!$E$55*'wgl tot'!H35)/12*tabellen!$D$55)</f>
        <v>#DIV/0!</v>
      </c>
      <c r="BV35" s="655">
        <f>'wgl tot'!AJ35/12*tabellen!$D$56</f>
        <v>0</v>
      </c>
      <c r="BW35" s="656" t="e">
        <f t="shared" si="13"/>
        <v>#DIV/0!</v>
      </c>
      <c r="BX35" s="657" t="e">
        <f>+('wgl tot'!AF35+'wgl tot'!AK35)/12-'wgl tot'!BW35</f>
        <v>#DIV/0!</v>
      </c>
      <c r="BY35" s="657" t="e">
        <f>ROUND(IF('wgl tot'!BX35&gt;tabellen!$H$61,tabellen!$H$61,'wgl tot'!BX35)*tabellen!$C$61,2)</f>
        <v>#DIV/0!</v>
      </c>
      <c r="BZ35" s="646" t="e">
        <f>+'wgl tot'!BX35</f>
        <v>#DIV/0!</v>
      </c>
      <c r="CA35" s="654"/>
      <c r="CB35" s="635">
        <f>IF(AND(M35="j",tabellen!$C$118&gt;=E35),1,0)</f>
        <v>0</v>
      </c>
      <c r="CC35" s="647" t="str">
        <f t="shared" si="6"/>
        <v/>
      </c>
      <c r="CD35" s="648" t="str">
        <f t="shared" si="7"/>
        <v/>
      </c>
      <c r="CE35" s="286"/>
      <c r="CF35" s="286"/>
      <c r="CG35" s="286"/>
      <c r="CH35" s="286"/>
      <c r="CI35" s="286"/>
      <c r="CJ35" s="286"/>
    </row>
    <row r="36" spans="2:88" ht="13.5" customHeight="1" x14ac:dyDescent="0.2">
      <c r="B36" s="541"/>
      <c r="C36" s="560"/>
      <c r="D36" s="289"/>
      <c r="E36" s="290"/>
      <c r="F36" s="291"/>
      <c r="G36" s="291"/>
      <c r="H36" s="293"/>
      <c r="I36" s="291"/>
      <c r="J36" s="291"/>
      <c r="K36" s="291"/>
      <c r="L36" s="291"/>
      <c r="M36" s="291"/>
      <c r="N36" s="295"/>
      <c r="O36" s="560"/>
      <c r="P36" s="292">
        <f>IF(F36="",0,(VLOOKUP('wgl tot'!F36,salaristabellen,'wgl tot'!G36+1,FALSE)))</f>
        <v>0</v>
      </c>
      <c r="Q36" s="294">
        <f>+'wgl tot'!P36*'wgl tot'!H36</f>
        <v>0</v>
      </c>
      <c r="R36" s="560"/>
      <c r="S36" s="296">
        <f>ROUND(IF(I36="j",VLOOKUP(BK36,uitlooptoeslag,2,FALSE))*IF('wgl tot'!H36&gt;1,1,'wgl tot'!H36),2)</f>
        <v>0</v>
      </c>
      <c r="T36" s="296">
        <f>ROUND(IF(OR('wgl tot'!F36="LA",'wgl tot'!F36="LB"),IF(J36="j",tabellen!$C$75*'wgl tot'!H36,0),0),2)</f>
        <v>0</v>
      </c>
      <c r="U36" s="296">
        <f>ROUND(IF(('wgl tot'!Q36+'wgl tot'!S36+'wgl tot'!T36)*BM36&lt;'wgl tot'!H36*tabellen!$D$87,'wgl tot'!H36*tabellen!$D$87,('wgl tot'!Q36+'wgl tot'!S36+'wgl tot'!T36)*BM36),2)</f>
        <v>0</v>
      </c>
      <c r="V36" s="296">
        <f>ROUND(+('wgl tot'!Q36+'wgl tot'!S36+'wgl tot'!T36)*BN36,2)</f>
        <v>0</v>
      </c>
      <c r="W36" s="296">
        <f>+tabellen!$C$83*'wgl tot'!H36</f>
        <v>0</v>
      </c>
      <c r="X36" s="296">
        <f>VLOOKUP(BO36,eindejaarsuitkering_OOP,2,TRUE)*'wgl tot'!H36/12</f>
        <v>0</v>
      </c>
      <c r="Y36" s="296">
        <f>ROUND(IF(BP36="j",tabellen!$D$96*IF('wgl tot'!H36&gt;1,1,'wgl tot'!H36),0),2)</f>
        <v>0</v>
      </c>
      <c r="Z36" s="297">
        <f>+'wgl tot'!Q36+S36+T36+U36+V36+W36+X36+Y36</f>
        <v>0</v>
      </c>
      <c r="AA36" s="562"/>
      <c r="AB36" s="563"/>
      <c r="AC36" s="292">
        <f>+'wgl tot'!Z36*12</f>
        <v>0</v>
      </c>
      <c r="AD36" s="296">
        <f>ROUND(IF(L36="j",VLOOKUP(K36,bindingstoelage,2,FALSE))*IF('wgl tot'!H36&gt;1,1,'wgl tot'!H36),2)</f>
        <v>0</v>
      </c>
      <c r="AE36" s="296">
        <f>ROUND('wgl tot'!H36*tabellen!$D$94,2)</f>
        <v>0</v>
      </c>
      <c r="AF36" s="292">
        <f t="shared" si="12"/>
        <v>0</v>
      </c>
      <c r="AG36" s="560"/>
      <c r="AH36" s="296">
        <f>+('wgl tot'!AF36/(1+1.9%))*BQ36</f>
        <v>0</v>
      </c>
      <c r="AI36" s="296">
        <f t="shared" si="11"/>
        <v>0</v>
      </c>
      <c r="AJ36" s="292">
        <f>ROUND('wgl tot'!AF36-IF('wgl tot'!AI36&gt;'wgl tot'!AH36,'wgl tot'!AH36,'wgl tot'!AI36),0)</f>
        <v>0</v>
      </c>
      <c r="AK36" s="298">
        <f>IF('wgl tot'!E36&lt;1950,0,+('wgl tot'!Q36+'wgl tot'!S36+'wgl tot'!T36)*tabellen!$C$85)*12</f>
        <v>0</v>
      </c>
      <c r="AL36" s="560"/>
      <c r="AM36" s="296">
        <f>+'wgl tot'!AF36/12</f>
        <v>0</v>
      </c>
      <c r="AN36" s="296">
        <f>IF(F36="",0,(IF('wgl tot'!AJ36/'wgl tot'!H36&lt;tabellen!$E$54,0,('wgl tot'!AJ36-tabellen!$E$54*'wgl tot'!H36)/12)*tabellen!$C$54))</f>
        <v>0</v>
      </c>
      <c r="AO36" s="296">
        <f>IF(F36="",0,(IF('wgl tot'!AJ36/'wgl tot'!H36&lt;tabellen!$E$55,0,(+'wgl tot'!AJ36-tabellen!$E$55*'wgl tot'!H36)/12)*tabellen!$C$55))</f>
        <v>0</v>
      </c>
      <c r="AP36" s="296">
        <f>'wgl tot'!AJ36/12*tabellen!$C$56</f>
        <v>0</v>
      </c>
      <c r="AQ36" s="296">
        <f>IF(F36="",0,IF(CD36=0,IF(CB36=0,IF('wgl tot'!BX36&gt;tabellen!$G$57/12,tabellen!$G$57/12,'wgl tot'!BX36)*(tabellen!$C$57+tabellen!$C$58+tabellen!$C$59),IF('wgl tot'!BX36&gt;tabellen!$G$57/12,tabellen!$G$57/12,'wgl tot'!BX36)*(tabellen!$C$58+tabellen!$C$59)),IF('wgl tot'!BX36&gt;tabellen!$G$57/12,tabellen!$G$57/12,'wgl tot'!BX36)*(tabellen!$C$57+tabellen!$C$58+tabellen!$C$59)))</f>
        <v>0</v>
      </c>
      <c r="AR36" s="296">
        <f>IF(F36="",0,('wgl tot'!BY36))</f>
        <v>0</v>
      </c>
      <c r="AS36" s="299">
        <f>IF(F36="",0,(IF('wgl tot'!BX36&gt;tabellen!$G$62*'wgl tot'!H36/12,tabellen!$G$62*'wgl tot'!H36/12,'wgl tot'!BX36)*tabellen!$C$62))</f>
        <v>0</v>
      </c>
      <c r="AT36" s="299">
        <f>IF(F36="",0,('wgl tot'!BX36*IF(N36=1,tabellen!$C$63,IF(N36=2,tabellen!C87,IF(N36=3,tabellen!$C$65,tabellen!$C$66)))))</f>
        <v>0</v>
      </c>
      <c r="AU36" s="299">
        <f>IF(F36="",0,('wgl tot'!BX36*tabellen!$C$67))</f>
        <v>0</v>
      </c>
      <c r="AV36" s="299">
        <f>+'wgl tot'!AK36/12</f>
        <v>0</v>
      </c>
      <c r="AW36" s="618">
        <v>0</v>
      </c>
      <c r="AX36" s="299">
        <f t="shared" si="3"/>
        <v>0</v>
      </c>
      <c r="AY36" s="294">
        <f t="shared" si="4"/>
        <v>0</v>
      </c>
      <c r="AZ36" s="300">
        <f t="shared" si="5"/>
        <v>0</v>
      </c>
      <c r="BA36" s="560"/>
      <c r="BB36" s="301" t="str">
        <f>IF(AY36=0,"",(+'wgl tot'!AY36/'wgl tot'!Q36-1))</f>
        <v/>
      </c>
      <c r="BC36" s="560"/>
      <c r="BD36" s="542"/>
      <c r="BF36" s="649">
        <f ca="1">YEAR('wgl tot'!$BF$10)-YEAR('wgl tot'!E36)</f>
        <v>113</v>
      </c>
      <c r="BG36" s="650">
        <f ca="1">MONTH('wgl tot'!$BF$10)-MONTH('wgl tot'!E36)</f>
        <v>11</v>
      </c>
      <c r="BH36" s="650">
        <f ca="1">DAY('wgl tot'!$BF$10)-DAY('wgl tot'!E36)</f>
        <v>1</v>
      </c>
      <c r="BI36" s="635">
        <f>IF(AND('wgl tot'!F36&gt;0,'wgl tot'!F36&lt;16),0,100)</f>
        <v>100</v>
      </c>
      <c r="BJ36" s="635" t="e">
        <f>VLOOKUP('wgl tot'!F36,salaristabellen,22,FALSE)</f>
        <v>#N/A</v>
      </c>
      <c r="BK36" s="635">
        <f t="shared" si="0"/>
        <v>0</v>
      </c>
      <c r="BL36" s="651">
        <f t="shared" si="8"/>
        <v>41275</v>
      </c>
      <c r="BM36" s="652">
        <f t="shared" si="9"/>
        <v>0.08</v>
      </c>
      <c r="BN36" s="653">
        <f>+tabellen!$D$88</f>
        <v>6.3E-2</v>
      </c>
      <c r="BO36" s="650">
        <f>IF('wgl tot'!BI36=100,0,'wgl tot'!F36)</f>
        <v>0</v>
      </c>
      <c r="BP36" s="653" t="str">
        <f>IF(OR('wgl tot'!F36="DA",'wgl tot'!F36="DB",'wgl tot'!F36="DBuit",'wgl tot'!F36="DC",'wgl tot'!F36="DCuit",MID('wgl tot'!F36,1,5)="meerh"),"j","n")</f>
        <v>n</v>
      </c>
      <c r="BQ36" s="653">
        <f t="shared" si="10"/>
        <v>1.9E-2</v>
      </c>
      <c r="BR36" s="654">
        <f>IF(AI36&gt;'wgl tot'!AH36,'wgl tot'!AH36,AI36)</f>
        <v>0</v>
      </c>
      <c r="BS36" s="654"/>
      <c r="BT36" s="655" t="e">
        <f>IF('wgl tot'!AJ36/'wgl tot'!H36&lt;tabellen!$E$54,0,(+'wgl tot'!AJ36-tabellen!$E$54*'wgl tot'!H36)/12*tabellen!$D$54)</f>
        <v>#DIV/0!</v>
      </c>
      <c r="BU36" s="655" t="e">
        <f>IF('wgl tot'!AJ36/'wgl tot'!H36&lt;tabellen!$E$55,0,(+'wgl tot'!AJ36-tabellen!$E$55*'wgl tot'!H36)/12*tabellen!$D$55)</f>
        <v>#DIV/0!</v>
      </c>
      <c r="BV36" s="655">
        <f>'wgl tot'!AJ36/12*tabellen!$D$56</f>
        <v>0</v>
      </c>
      <c r="BW36" s="656" t="e">
        <f t="shared" si="13"/>
        <v>#DIV/0!</v>
      </c>
      <c r="BX36" s="657" t="e">
        <f>+('wgl tot'!AF36+'wgl tot'!AK36)/12-'wgl tot'!BW36</f>
        <v>#DIV/0!</v>
      </c>
      <c r="BY36" s="657" t="e">
        <f>ROUND(IF('wgl tot'!BX36&gt;tabellen!$H$61,tabellen!$H$61,'wgl tot'!BX36)*tabellen!$C$61,2)</f>
        <v>#DIV/0!</v>
      </c>
      <c r="BZ36" s="646" t="e">
        <f>+'wgl tot'!BX36</f>
        <v>#DIV/0!</v>
      </c>
      <c r="CA36" s="654"/>
      <c r="CB36" s="635">
        <f>IF(AND(M36="j",tabellen!$C$118&gt;=E36),1,0)</f>
        <v>0</v>
      </c>
      <c r="CC36" s="647" t="str">
        <f t="shared" si="6"/>
        <v/>
      </c>
      <c r="CD36" s="648" t="str">
        <f t="shared" si="7"/>
        <v/>
      </c>
      <c r="CE36" s="286"/>
      <c r="CF36" s="286"/>
      <c r="CG36" s="286"/>
      <c r="CH36" s="286"/>
      <c r="CI36" s="286"/>
      <c r="CJ36" s="286"/>
    </row>
    <row r="37" spans="2:88" ht="13.5" customHeight="1" x14ac:dyDescent="0.2">
      <c r="B37" s="541"/>
      <c r="C37" s="560"/>
      <c r="D37" s="289"/>
      <c r="E37" s="290"/>
      <c r="F37" s="291"/>
      <c r="G37" s="291"/>
      <c r="H37" s="293"/>
      <c r="I37" s="291"/>
      <c r="J37" s="291"/>
      <c r="K37" s="291"/>
      <c r="L37" s="291"/>
      <c r="M37" s="291"/>
      <c r="N37" s="295"/>
      <c r="O37" s="560"/>
      <c r="P37" s="292">
        <f>IF(F37="",0,(VLOOKUP('wgl tot'!F37,salaristabellen,'wgl tot'!G37+1,FALSE)))</f>
        <v>0</v>
      </c>
      <c r="Q37" s="294">
        <f>+'wgl tot'!P37*'wgl tot'!H37</f>
        <v>0</v>
      </c>
      <c r="R37" s="560"/>
      <c r="S37" s="296">
        <f>ROUND(IF(I37="j",VLOOKUP(BK37,uitlooptoeslag,2,FALSE))*IF('wgl tot'!H37&gt;1,1,'wgl tot'!H37),2)</f>
        <v>0</v>
      </c>
      <c r="T37" s="296">
        <f>ROUND(IF(OR('wgl tot'!F37="LA",'wgl tot'!F37="LB"),IF(J37="j",tabellen!$C$75*'wgl tot'!H37,0),0),2)</f>
        <v>0</v>
      </c>
      <c r="U37" s="296">
        <f>ROUND(IF(('wgl tot'!Q37+'wgl tot'!S37+'wgl tot'!T37)*BM37&lt;'wgl tot'!H37*tabellen!$D$87,'wgl tot'!H37*tabellen!$D$87,('wgl tot'!Q37+'wgl tot'!S37+'wgl tot'!T37)*BM37),2)</f>
        <v>0</v>
      </c>
      <c r="V37" s="296">
        <f>ROUND(+('wgl tot'!Q37+'wgl tot'!S37+'wgl tot'!T37)*BN37,2)</f>
        <v>0</v>
      </c>
      <c r="W37" s="296">
        <f>+tabellen!$C$83*'wgl tot'!H37</f>
        <v>0</v>
      </c>
      <c r="X37" s="296">
        <f>VLOOKUP(BO37,eindejaarsuitkering_OOP,2,TRUE)*'wgl tot'!H37/12</f>
        <v>0</v>
      </c>
      <c r="Y37" s="296">
        <f>ROUND(IF(BP37="j",tabellen!$D$96*IF('wgl tot'!H37&gt;1,1,'wgl tot'!H37),0),2)</f>
        <v>0</v>
      </c>
      <c r="Z37" s="297">
        <f>+'wgl tot'!Q37+S37+T37+U37+V37+W37+X37+Y37</f>
        <v>0</v>
      </c>
      <c r="AA37" s="562"/>
      <c r="AB37" s="563"/>
      <c r="AC37" s="292">
        <f>+'wgl tot'!Z37*12</f>
        <v>0</v>
      </c>
      <c r="AD37" s="296">
        <f>ROUND(IF(L37="j",VLOOKUP(K37,bindingstoelage,2,FALSE))*IF('wgl tot'!H37&gt;1,1,'wgl tot'!H37),2)</f>
        <v>0</v>
      </c>
      <c r="AE37" s="296">
        <f>ROUND('wgl tot'!H37*tabellen!$D$94,2)</f>
        <v>0</v>
      </c>
      <c r="AF37" s="292">
        <f t="shared" si="12"/>
        <v>0</v>
      </c>
      <c r="AG37" s="560"/>
      <c r="AH37" s="296">
        <f>+('wgl tot'!AF37/(1+1.9%))*BQ37</f>
        <v>0</v>
      </c>
      <c r="AI37" s="296">
        <f t="shared" si="11"/>
        <v>0</v>
      </c>
      <c r="AJ37" s="292">
        <f>ROUND('wgl tot'!AF37-IF('wgl tot'!AI37&gt;'wgl tot'!AH37,'wgl tot'!AH37,'wgl tot'!AI37),0)</f>
        <v>0</v>
      </c>
      <c r="AK37" s="298">
        <f>IF('wgl tot'!E37&lt;1950,0,+('wgl tot'!Q37+'wgl tot'!S37+'wgl tot'!T37)*tabellen!$C$85)*12</f>
        <v>0</v>
      </c>
      <c r="AL37" s="560"/>
      <c r="AM37" s="296">
        <f>+'wgl tot'!AF37/12</f>
        <v>0</v>
      </c>
      <c r="AN37" s="296">
        <f>IF(F37="",0,(IF('wgl tot'!AJ37/'wgl tot'!H37&lt;tabellen!$E$54,0,('wgl tot'!AJ37-tabellen!$E$54*'wgl tot'!H37)/12)*tabellen!$C$54))</f>
        <v>0</v>
      </c>
      <c r="AO37" s="296">
        <f>IF(F37="",0,(IF('wgl tot'!AJ37/'wgl tot'!H37&lt;tabellen!$E$55,0,(+'wgl tot'!AJ37-tabellen!$E$55*'wgl tot'!H37)/12)*tabellen!$C$55))</f>
        <v>0</v>
      </c>
      <c r="AP37" s="296">
        <f>'wgl tot'!AJ37/12*tabellen!$C$56</f>
        <v>0</v>
      </c>
      <c r="AQ37" s="296">
        <f>IF(F37="",0,IF(CD37=0,IF(CB37=0,IF('wgl tot'!BX37&gt;tabellen!$G$57/12,tabellen!$G$57/12,'wgl tot'!BX37)*(tabellen!$C$57+tabellen!$C$58+tabellen!$C$59),IF('wgl tot'!BX37&gt;tabellen!$G$57/12,tabellen!$G$57/12,'wgl tot'!BX37)*(tabellen!$C$58+tabellen!$C$59)),IF('wgl tot'!BX37&gt;tabellen!$G$57/12,tabellen!$G$57/12,'wgl tot'!BX37)*(tabellen!$C$57+tabellen!$C$58+tabellen!$C$59)))</f>
        <v>0</v>
      </c>
      <c r="AR37" s="296">
        <f>IF(F37="",0,('wgl tot'!BY37))</f>
        <v>0</v>
      </c>
      <c r="AS37" s="299">
        <f>IF(F37="",0,(IF('wgl tot'!BX37&gt;tabellen!$G$62*'wgl tot'!H37/12,tabellen!$G$62*'wgl tot'!H37/12,'wgl tot'!BX37)*tabellen!$C$62))</f>
        <v>0</v>
      </c>
      <c r="AT37" s="299">
        <f>IF(F37="",0,('wgl tot'!BX37*IF(N37=1,tabellen!$C$63,IF(N37=2,tabellen!C88,IF(N37=3,tabellen!$C$65,tabellen!$C$66)))))</f>
        <v>0</v>
      </c>
      <c r="AU37" s="299">
        <f>IF(F37="",0,('wgl tot'!BX37*tabellen!$C$67))</f>
        <v>0</v>
      </c>
      <c r="AV37" s="299">
        <f>+'wgl tot'!AK37/12</f>
        <v>0</v>
      </c>
      <c r="AW37" s="618">
        <v>0</v>
      </c>
      <c r="AX37" s="299">
        <f t="shared" si="3"/>
        <v>0</v>
      </c>
      <c r="AY37" s="294">
        <f t="shared" si="4"/>
        <v>0</v>
      </c>
      <c r="AZ37" s="300">
        <f t="shared" si="5"/>
        <v>0</v>
      </c>
      <c r="BA37" s="560"/>
      <c r="BB37" s="301" t="str">
        <f>IF(AY37=0,"",(+'wgl tot'!AY37/'wgl tot'!Q37-1))</f>
        <v/>
      </c>
      <c r="BC37" s="560"/>
      <c r="BD37" s="542"/>
      <c r="BF37" s="649">
        <f ca="1">YEAR('wgl tot'!$BF$10)-YEAR('wgl tot'!E37)</f>
        <v>113</v>
      </c>
      <c r="BG37" s="650">
        <f ca="1">MONTH('wgl tot'!$BF$10)-MONTH('wgl tot'!E37)</f>
        <v>11</v>
      </c>
      <c r="BH37" s="650">
        <f ca="1">DAY('wgl tot'!$BF$10)-DAY('wgl tot'!E37)</f>
        <v>1</v>
      </c>
      <c r="BI37" s="635">
        <f>IF(AND('wgl tot'!F37&gt;0,'wgl tot'!F37&lt;16),0,100)</f>
        <v>100</v>
      </c>
      <c r="BJ37" s="635" t="e">
        <f>VLOOKUP('wgl tot'!F37,salaristabellen,22,FALSE)</f>
        <v>#N/A</v>
      </c>
      <c r="BK37" s="635">
        <f t="shared" si="0"/>
        <v>0</v>
      </c>
      <c r="BL37" s="651">
        <f t="shared" si="8"/>
        <v>41275</v>
      </c>
      <c r="BM37" s="652">
        <f t="shared" si="9"/>
        <v>0.08</v>
      </c>
      <c r="BN37" s="653">
        <f>+tabellen!$D$88</f>
        <v>6.3E-2</v>
      </c>
      <c r="BO37" s="650">
        <f>IF('wgl tot'!BI37=100,0,'wgl tot'!F37)</f>
        <v>0</v>
      </c>
      <c r="BP37" s="653" t="str">
        <f>IF(OR('wgl tot'!F37="DA",'wgl tot'!F37="DB",'wgl tot'!F37="DBuit",'wgl tot'!F37="DC",'wgl tot'!F37="DCuit",MID('wgl tot'!F37,1,5)="meerh"),"j","n")</f>
        <v>n</v>
      </c>
      <c r="BQ37" s="653">
        <f t="shared" si="10"/>
        <v>1.9E-2</v>
      </c>
      <c r="BR37" s="654">
        <f>IF(AI37&gt;'wgl tot'!AH37,'wgl tot'!AH37,AI37)</f>
        <v>0</v>
      </c>
      <c r="BS37" s="654"/>
      <c r="BT37" s="655" t="e">
        <f>IF('wgl tot'!AJ37/'wgl tot'!H37&lt;tabellen!$E$54,0,(+'wgl tot'!AJ37-tabellen!$E$54*'wgl tot'!H37)/12*tabellen!$D$54)</f>
        <v>#DIV/0!</v>
      </c>
      <c r="BU37" s="655" t="e">
        <f>IF('wgl tot'!AJ37/'wgl tot'!H37&lt;tabellen!$E$55,0,(+'wgl tot'!AJ37-tabellen!$E$55*'wgl tot'!H37)/12*tabellen!$D$55)</f>
        <v>#DIV/0!</v>
      </c>
      <c r="BV37" s="655">
        <f>'wgl tot'!AJ37/12*tabellen!$D$56</f>
        <v>0</v>
      </c>
      <c r="BW37" s="656" t="e">
        <f t="shared" si="13"/>
        <v>#DIV/0!</v>
      </c>
      <c r="BX37" s="657" t="e">
        <f>+('wgl tot'!AF37+'wgl tot'!AK37)/12-'wgl tot'!BW37</f>
        <v>#DIV/0!</v>
      </c>
      <c r="BY37" s="657" t="e">
        <f>ROUND(IF('wgl tot'!BX37&gt;tabellen!$H$61,tabellen!$H$61,'wgl tot'!BX37)*tabellen!$C$61,2)</f>
        <v>#DIV/0!</v>
      </c>
      <c r="BZ37" s="646" t="e">
        <f>+'wgl tot'!BX37</f>
        <v>#DIV/0!</v>
      </c>
      <c r="CA37" s="654"/>
      <c r="CB37" s="635">
        <f>IF(AND(M37="j",tabellen!$C$118&gt;=E37),1,0)</f>
        <v>0</v>
      </c>
      <c r="CC37" s="647" t="str">
        <f t="shared" si="6"/>
        <v/>
      </c>
      <c r="CD37" s="648" t="str">
        <f t="shared" si="7"/>
        <v/>
      </c>
      <c r="CE37" s="286"/>
      <c r="CF37" s="286"/>
      <c r="CG37" s="286"/>
      <c r="CH37" s="286"/>
      <c r="CI37" s="286"/>
      <c r="CJ37" s="286"/>
    </row>
    <row r="38" spans="2:88" ht="13.5" customHeight="1" x14ac:dyDescent="0.2">
      <c r="B38" s="541"/>
      <c r="C38" s="560"/>
      <c r="D38" s="289"/>
      <c r="E38" s="290"/>
      <c r="F38" s="291"/>
      <c r="G38" s="291"/>
      <c r="H38" s="293"/>
      <c r="I38" s="291"/>
      <c r="J38" s="291"/>
      <c r="K38" s="291"/>
      <c r="L38" s="291"/>
      <c r="M38" s="291"/>
      <c r="N38" s="295"/>
      <c r="O38" s="560"/>
      <c r="P38" s="292">
        <f>IF(F38="",0,(VLOOKUP('wgl tot'!F38,salaristabellen,'wgl tot'!G38+1,FALSE)))</f>
        <v>0</v>
      </c>
      <c r="Q38" s="294">
        <f>+'wgl tot'!P38*'wgl tot'!H38</f>
        <v>0</v>
      </c>
      <c r="R38" s="560"/>
      <c r="S38" s="296">
        <f>ROUND(IF(I38="j",VLOOKUP(BK38,uitlooptoeslag,2,FALSE))*IF('wgl tot'!H38&gt;1,1,'wgl tot'!H38),2)</f>
        <v>0</v>
      </c>
      <c r="T38" s="296">
        <f>ROUND(IF(OR('wgl tot'!F38="LA",'wgl tot'!F38="LB"),IF(J38="j",tabellen!$C$75*'wgl tot'!H38,0),0),2)</f>
        <v>0</v>
      </c>
      <c r="U38" s="296">
        <f>ROUND(IF(('wgl tot'!Q38+'wgl tot'!S38+'wgl tot'!T38)*BM38&lt;'wgl tot'!H38*tabellen!$D$87,'wgl tot'!H38*tabellen!$D$87,('wgl tot'!Q38+'wgl tot'!S38+'wgl tot'!T38)*BM38),2)</f>
        <v>0</v>
      </c>
      <c r="V38" s="296">
        <f>ROUND(+('wgl tot'!Q38+'wgl tot'!S38+'wgl tot'!T38)*BN38,2)</f>
        <v>0</v>
      </c>
      <c r="W38" s="296">
        <f>+tabellen!$C$83*'wgl tot'!H38</f>
        <v>0</v>
      </c>
      <c r="X38" s="296">
        <f>VLOOKUP(BO38,eindejaarsuitkering_OOP,2,TRUE)*'wgl tot'!H38/12</f>
        <v>0</v>
      </c>
      <c r="Y38" s="296">
        <f>ROUND(IF(BP38="j",tabellen!$D$96*IF('wgl tot'!H38&gt;1,1,'wgl tot'!H38),0),2)</f>
        <v>0</v>
      </c>
      <c r="Z38" s="297">
        <f>+'wgl tot'!Q38+S38+T38+U38+V38+W38+X38+Y38</f>
        <v>0</v>
      </c>
      <c r="AA38" s="562"/>
      <c r="AB38" s="563"/>
      <c r="AC38" s="292">
        <f>+'wgl tot'!Z38*12</f>
        <v>0</v>
      </c>
      <c r="AD38" s="296">
        <f>ROUND(IF(L38="j",VLOOKUP(K38,bindingstoelage,2,FALSE))*IF('wgl tot'!H38&gt;1,1,'wgl tot'!H38),2)</f>
        <v>0</v>
      </c>
      <c r="AE38" s="296">
        <f>ROUND('wgl tot'!H38*tabellen!$D$94,2)</f>
        <v>0</v>
      </c>
      <c r="AF38" s="292">
        <f t="shared" si="12"/>
        <v>0</v>
      </c>
      <c r="AG38" s="560"/>
      <c r="AH38" s="296">
        <f>+('wgl tot'!AF38/(1+1.9%))*BQ38</f>
        <v>0</v>
      </c>
      <c r="AI38" s="296">
        <f t="shared" si="11"/>
        <v>0</v>
      </c>
      <c r="AJ38" s="292">
        <f>ROUND('wgl tot'!AF38-IF('wgl tot'!AI38&gt;'wgl tot'!AH38,'wgl tot'!AH38,'wgl tot'!AI38),0)</f>
        <v>0</v>
      </c>
      <c r="AK38" s="298">
        <f>IF('wgl tot'!E38&lt;1950,0,+('wgl tot'!Q38+'wgl tot'!S38+'wgl tot'!T38)*tabellen!$C$85)*12</f>
        <v>0</v>
      </c>
      <c r="AL38" s="560"/>
      <c r="AM38" s="296">
        <f>+'wgl tot'!AF38/12</f>
        <v>0</v>
      </c>
      <c r="AN38" s="296">
        <f>IF(F38="",0,(IF('wgl tot'!AJ38/'wgl tot'!H38&lt;tabellen!$E$54,0,('wgl tot'!AJ38-tabellen!$E$54*'wgl tot'!H38)/12)*tabellen!$C$54))</f>
        <v>0</v>
      </c>
      <c r="AO38" s="296">
        <f>IF(F38="",0,(IF('wgl tot'!AJ38/'wgl tot'!H38&lt;tabellen!$E$55,0,(+'wgl tot'!AJ38-tabellen!$E$55*'wgl tot'!H38)/12)*tabellen!$C$55))</f>
        <v>0</v>
      </c>
      <c r="AP38" s="296">
        <f>'wgl tot'!AJ38/12*tabellen!$C$56</f>
        <v>0</v>
      </c>
      <c r="AQ38" s="296">
        <f>IF(F38="",0,IF(CD38=0,IF(CB38=0,IF('wgl tot'!BX38&gt;tabellen!$G$57/12,tabellen!$G$57/12,'wgl tot'!BX38)*(tabellen!$C$57+tabellen!$C$58+tabellen!$C$59),IF('wgl tot'!BX38&gt;tabellen!$G$57/12,tabellen!$G$57/12,'wgl tot'!BX38)*(tabellen!$C$58+tabellen!$C$59)),IF('wgl tot'!BX38&gt;tabellen!$G$57/12,tabellen!$G$57/12,'wgl tot'!BX38)*(tabellen!$C$57+tabellen!$C$58+tabellen!$C$59)))</f>
        <v>0</v>
      </c>
      <c r="AR38" s="296">
        <f>IF(F38="",0,('wgl tot'!BY38))</f>
        <v>0</v>
      </c>
      <c r="AS38" s="299">
        <f>IF(F38="",0,(IF('wgl tot'!BX38&gt;tabellen!$G$62*'wgl tot'!H38/12,tabellen!$G$62*'wgl tot'!H38/12,'wgl tot'!BX38)*tabellen!$C$62))</f>
        <v>0</v>
      </c>
      <c r="AT38" s="299">
        <f>IF(F38="",0,('wgl tot'!BX38*IF(N38=1,tabellen!$C$63,IF(N38=2,tabellen!C89,IF(N38=3,tabellen!$C$65,tabellen!$C$66)))))</f>
        <v>0</v>
      </c>
      <c r="AU38" s="299">
        <f>IF(F38="",0,('wgl tot'!BX38*tabellen!$C$67))</f>
        <v>0</v>
      </c>
      <c r="AV38" s="299">
        <f>+'wgl tot'!AK38/12</f>
        <v>0</v>
      </c>
      <c r="AW38" s="618">
        <v>0</v>
      </c>
      <c r="AX38" s="299">
        <f t="shared" si="3"/>
        <v>0</v>
      </c>
      <c r="AY38" s="294">
        <f t="shared" si="4"/>
        <v>0</v>
      </c>
      <c r="AZ38" s="300">
        <f t="shared" si="5"/>
        <v>0</v>
      </c>
      <c r="BA38" s="560"/>
      <c r="BB38" s="301" t="str">
        <f>IF(AY38=0,"",(+'wgl tot'!AY38/'wgl tot'!Q38-1))</f>
        <v/>
      </c>
      <c r="BC38" s="560"/>
      <c r="BD38" s="542"/>
      <c r="BF38" s="649">
        <f ca="1">YEAR('wgl tot'!$BF$10)-YEAR('wgl tot'!E38)</f>
        <v>113</v>
      </c>
      <c r="BG38" s="650">
        <f ca="1">MONTH('wgl tot'!$BF$10)-MONTH('wgl tot'!E38)</f>
        <v>11</v>
      </c>
      <c r="BH38" s="650">
        <f ca="1">DAY('wgl tot'!$BF$10)-DAY('wgl tot'!E38)</f>
        <v>1</v>
      </c>
      <c r="BI38" s="635">
        <f>IF(AND('wgl tot'!F38&gt;0,'wgl tot'!F38&lt;16),0,100)</f>
        <v>100</v>
      </c>
      <c r="BJ38" s="635" t="e">
        <f>VLOOKUP('wgl tot'!F38,salaristabellen,22,FALSE)</f>
        <v>#N/A</v>
      </c>
      <c r="BK38" s="635">
        <f t="shared" si="0"/>
        <v>0</v>
      </c>
      <c r="BL38" s="651">
        <f t="shared" si="8"/>
        <v>41275</v>
      </c>
      <c r="BM38" s="652">
        <f t="shared" si="9"/>
        <v>0.08</v>
      </c>
      <c r="BN38" s="653">
        <f>+tabellen!$D$88</f>
        <v>6.3E-2</v>
      </c>
      <c r="BO38" s="650">
        <f>IF('wgl tot'!BI38=100,0,'wgl tot'!F38)</f>
        <v>0</v>
      </c>
      <c r="BP38" s="653" t="str">
        <f>IF(OR('wgl tot'!F38="DA",'wgl tot'!F38="DB",'wgl tot'!F38="DBuit",'wgl tot'!F38="DC",'wgl tot'!F38="DCuit",MID('wgl tot'!F38,1,5)="meerh"),"j","n")</f>
        <v>n</v>
      </c>
      <c r="BQ38" s="653">
        <f t="shared" si="10"/>
        <v>1.9E-2</v>
      </c>
      <c r="BR38" s="654">
        <f>IF(AI38&gt;'wgl tot'!AH38,'wgl tot'!AH38,AI38)</f>
        <v>0</v>
      </c>
      <c r="BS38" s="654"/>
      <c r="BT38" s="655" t="e">
        <f>IF('wgl tot'!AJ38/'wgl tot'!H38&lt;tabellen!$E$54,0,(+'wgl tot'!AJ38-tabellen!$E$54*'wgl tot'!H38)/12*tabellen!$D$54)</f>
        <v>#DIV/0!</v>
      </c>
      <c r="BU38" s="655" t="e">
        <f>IF('wgl tot'!AJ38/'wgl tot'!H38&lt;tabellen!$E$55,0,(+'wgl tot'!AJ38-tabellen!$E$55*'wgl tot'!H38)/12*tabellen!$D$55)</f>
        <v>#DIV/0!</v>
      </c>
      <c r="BV38" s="655">
        <f>'wgl tot'!AJ38/12*tabellen!$D$56</f>
        <v>0</v>
      </c>
      <c r="BW38" s="656" t="e">
        <f t="shared" si="13"/>
        <v>#DIV/0!</v>
      </c>
      <c r="BX38" s="657" t="e">
        <f>+('wgl tot'!AF38+'wgl tot'!AK38)/12-'wgl tot'!BW38</f>
        <v>#DIV/0!</v>
      </c>
      <c r="BY38" s="657" t="e">
        <f>ROUND(IF('wgl tot'!BX38&gt;tabellen!$H$61,tabellen!$H$61,'wgl tot'!BX38)*tabellen!$C$61,2)</f>
        <v>#DIV/0!</v>
      </c>
      <c r="BZ38" s="646" t="e">
        <f>+'wgl tot'!BX38</f>
        <v>#DIV/0!</v>
      </c>
      <c r="CA38" s="654"/>
      <c r="CB38" s="635">
        <f>IF(AND(M38="j",tabellen!$C$118&gt;=E38),1,0)</f>
        <v>0</v>
      </c>
      <c r="CC38" s="647" t="str">
        <f t="shared" si="6"/>
        <v/>
      </c>
      <c r="CD38" s="648" t="str">
        <f t="shared" si="7"/>
        <v/>
      </c>
      <c r="CE38" s="286"/>
      <c r="CF38" s="286"/>
      <c r="CG38" s="286"/>
      <c r="CH38" s="286"/>
      <c r="CI38" s="286"/>
      <c r="CJ38" s="286"/>
    </row>
    <row r="39" spans="2:88" ht="13.5" customHeight="1" x14ac:dyDescent="0.2">
      <c r="B39" s="541"/>
      <c r="C39" s="560"/>
      <c r="D39" s="289"/>
      <c r="E39" s="290"/>
      <c r="F39" s="291"/>
      <c r="G39" s="291"/>
      <c r="H39" s="293"/>
      <c r="I39" s="291"/>
      <c r="J39" s="291"/>
      <c r="K39" s="291"/>
      <c r="L39" s="291"/>
      <c r="M39" s="291"/>
      <c r="N39" s="295"/>
      <c r="O39" s="560"/>
      <c r="P39" s="292">
        <f>IF(F39="",0,(VLOOKUP('wgl tot'!F39,salaristabellen,'wgl tot'!G39+1,FALSE)))</f>
        <v>0</v>
      </c>
      <c r="Q39" s="294">
        <f>+'wgl tot'!P39*'wgl tot'!H39</f>
        <v>0</v>
      </c>
      <c r="R39" s="560"/>
      <c r="S39" s="296">
        <f>ROUND(IF(I39="j",VLOOKUP(BK39,uitlooptoeslag,2,FALSE))*IF('wgl tot'!H39&gt;1,1,'wgl tot'!H39),2)</f>
        <v>0</v>
      </c>
      <c r="T39" s="296">
        <f>ROUND(IF(OR('wgl tot'!F39="LA",'wgl tot'!F39="LB"),IF(J39="j",tabellen!$C$75*'wgl tot'!H39,0),0),2)</f>
        <v>0</v>
      </c>
      <c r="U39" s="296">
        <f>ROUND(IF(('wgl tot'!Q39+'wgl tot'!S39+'wgl tot'!T39)*BM39&lt;'wgl tot'!H39*tabellen!$D$87,'wgl tot'!H39*tabellen!$D$87,('wgl tot'!Q39+'wgl tot'!S39+'wgl tot'!T39)*BM39),2)</f>
        <v>0</v>
      </c>
      <c r="V39" s="296">
        <f>ROUND(+('wgl tot'!Q39+'wgl tot'!S39+'wgl tot'!T39)*BN39,2)</f>
        <v>0</v>
      </c>
      <c r="W39" s="296">
        <f>+tabellen!$C$83*'wgl tot'!H39</f>
        <v>0</v>
      </c>
      <c r="X39" s="296">
        <f>VLOOKUP(BO39,eindejaarsuitkering_OOP,2,TRUE)*'wgl tot'!H39/12</f>
        <v>0</v>
      </c>
      <c r="Y39" s="296">
        <f>ROUND(IF(BP39="j",tabellen!$D$96*IF('wgl tot'!H39&gt;1,1,'wgl tot'!H39),0),2)</f>
        <v>0</v>
      </c>
      <c r="Z39" s="297">
        <f>+'wgl tot'!Q39+S39+T39+U39+V39+W39+X39+Y39</f>
        <v>0</v>
      </c>
      <c r="AA39" s="562"/>
      <c r="AB39" s="563"/>
      <c r="AC39" s="292">
        <f>+'wgl tot'!Z39*12</f>
        <v>0</v>
      </c>
      <c r="AD39" s="296">
        <f>ROUND(IF(L39="j",VLOOKUP(K39,bindingstoelage,2,FALSE))*IF('wgl tot'!H39&gt;1,1,'wgl tot'!H39),2)</f>
        <v>0</v>
      </c>
      <c r="AE39" s="296">
        <f>ROUND('wgl tot'!H39*tabellen!$D$94,2)</f>
        <v>0</v>
      </c>
      <c r="AF39" s="292">
        <f t="shared" si="12"/>
        <v>0</v>
      </c>
      <c r="AG39" s="560"/>
      <c r="AH39" s="296">
        <f>+('wgl tot'!AF39/(1+1.9%))*BQ39</f>
        <v>0</v>
      </c>
      <c r="AI39" s="296">
        <f t="shared" si="11"/>
        <v>0</v>
      </c>
      <c r="AJ39" s="292">
        <f>ROUND('wgl tot'!AF39-IF('wgl tot'!AI39&gt;'wgl tot'!AH39,'wgl tot'!AH39,'wgl tot'!AI39),0)</f>
        <v>0</v>
      </c>
      <c r="AK39" s="298">
        <f>IF('wgl tot'!E39&lt;1950,0,+('wgl tot'!Q39+'wgl tot'!S39+'wgl tot'!T39)*tabellen!$C$85)*12</f>
        <v>0</v>
      </c>
      <c r="AL39" s="560"/>
      <c r="AM39" s="296">
        <f>+'wgl tot'!AF39/12</f>
        <v>0</v>
      </c>
      <c r="AN39" s="296">
        <f>IF(F39="",0,(IF('wgl tot'!AJ39/'wgl tot'!H39&lt;tabellen!$E$54,0,('wgl tot'!AJ39-tabellen!$E$54*'wgl tot'!H39)/12)*tabellen!$C$54))</f>
        <v>0</v>
      </c>
      <c r="AO39" s="296">
        <f>IF(F39="",0,(IF('wgl tot'!AJ39/'wgl tot'!H39&lt;tabellen!$E$55,0,(+'wgl tot'!AJ39-tabellen!$E$55*'wgl tot'!H39)/12)*tabellen!$C$55))</f>
        <v>0</v>
      </c>
      <c r="AP39" s="296">
        <f>'wgl tot'!AJ39/12*tabellen!$C$56</f>
        <v>0</v>
      </c>
      <c r="AQ39" s="296">
        <f>IF(F39="",0,IF(CD39=0,IF(CB39=0,IF('wgl tot'!BX39&gt;tabellen!$G$57/12,tabellen!$G$57/12,'wgl tot'!BX39)*(tabellen!$C$57+tabellen!$C$58+tabellen!$C$59),IF('wgl tot'!BX39&gt;tabellen!$G$57/12,tabellen!$G$57/12,'wgl tot'!BX39)*(tabellen!$C$58+tabellen!$C$59)),IF('wgl tot'!BX39&gt;tabellen!$G$57/12,tabellen!$G$57/12,'wgl tot'!BX39)*(tabellen!$C$57+tabellen!$C$58+tabellen!$C$59)))</f>
        <v>0</v>
      </c>
      <c r="AR39" s="296">
        <f>IF(F39="",0,('wgl tot'!BY39))</f>
        <v>0</v>
      </c>
      <c r="AS39" s="299">
        <f>IF(F39="",0,(IF('wgl tot'!BX39&gt;tabellen!$G$62*'wgl tot'!H39/12,tabellen!$G$62*'wgl tot'!H39/12,'wgl tot'!BX39)*tabellen!$C$62))</f>
        <v>0</v>
      </c>
      <c r="AT39" s="299">
        <f>IF(F39="",0,('wgl tot'!BX39*IF(N39=1,tabellen!$C$63,IF(N39=2,tabellen!C90,IF(N39=3,tabellen!$C$65,tabellen!$C$66)))))</f>
        <v>0</v>
      </c>
      <c r="AU39" s="299">
        <f>IF(F39="",0,('wgl tot'!BX39*tabellen!$C$67))</f>
        <v>0</v>
      </c>
      <c r="AV39" s="299">
        <f>+'wgl tot'!AK39/12</f>
        <v>0</v>
      </c>
      <c r="AW39" s="618">
        <v>0</v>
      </c>
      <c r="AX39" s="299">
        <f t="shared" si="3"/>
        <v>0</v>
      </c>
      <c r="AY39" s="294">
        <f t="shared" si="4"/>
        <v>0</v>
      </c>
      <c r="AZ39" s="300">
        <f t="shared" si="5"/>
        <v>0</v>
      </c>
      <c r="BA39" s="560"/>
      <c r="BB39" s="301" t="str">
        <f>IF(AY39=0,"",(+'wgl tot'!AY39/'wgl tot'!Q39-1))</f>
        <v/>
      </c>
      <c r="BC39" s="560"/>
      <c r="BD39" s="542"/>
      <c r="BF39" s="649">
        <f ca="1">YEAR('wgl tot'!$BF$10)-YEAR('wgl tot'!E39)</f>
        <v>113</v>
      </c>
      <c r="BG39" s="650">
        <f ca="1">MONTH('wgl tot'!$BF$10)-MONTH('wgl tot'!E39)</f>
        <v>11</v>
      </c>
      <c r="BH39" s="650">
        <f ca="1">DAY('wgl tot'!$BF$10)-DAY('wgl tot'!E39)</f>
        <v>1</v>
      </c>
      <c r="BI39" s="635">
        <f>IF(AND('wgl tot'!F39&gt;0,'wgl tot'!F39&lt;16),0,100)</f>
        <v>100</v>
      </c>
      <c r="BJ39" s="635" t="e">
        <f>VLOOKUP('wgl tot'!F39,salaristabellen,22,FALSE)</f>
        <v>#N/A</v>
      </c>
      <c r="BK39" s="635">
        <f t="shared" si="0"/>
        <v>0</v>
      </c>
      <c r="BL39" s="651">
        <f t="shared" si="8"/>
        <v>41275</v>
      </c>
      <c r="BM39" s="652">
        <f t="shared" si="9"/>
        <v>0.08</v>
      </c>
      <c r="BN39" s="653">
        <f>+tabellen!$D$88</f>
        <v>6.3E-2</v>
      </c>
      <c r="BO39" s="650">
        <f>IF('wgl tot'!BI39=100,0,'wgl tot'!F39)</f>
        <v>0</v>
      </c>
      <c r="BP39" s="653" t="str">
        <f>IF(OR('wgl tot'!F39="DA",'wgl tot'!F39="DB",'wgl tot'!F39="DBuit",'wgl tot'!F39="DC",'wgl tot'!F39="DCuit",MID('wgl tot'!F39,1,5)="meerh"),"j","n")</f>
        <v>n</v>
      </c>
      <c r="BQ39" s="653">
        <f t="shared" si="10"/>
        <v>1.9E-2</v>
      </c>
      <c r="BR39" s="654">
        <f>IF(AI39&gt;'wgl tot'!AH39,'wgl tot'!AH39,AI39)</f>
        <v>0</v>
      </c>
      <c r="BS39" s="654"/>
      <c r="BT39" s="655" t="e">
        <f>IF('wgl tot'!AJ39/'wgl tot'!H39&lt;tabellen!$E$54,0,(+'wgl tot'!AJ39-tabellen!$E$54*'wgl tot'!H39)/12*tabellen!$D$54)</f>
        <v>#DIV/0!</v>
      </c>
      <c r="BU39" s="655" t="e">
        <f>IF('wgl tot'!AJ39/'wgl tot'!H39&lt;tabellen!$E$55,0,(+'wgl tot'!AJ39-tabellen!$E$55*'wgl tot'!H39)/12*tabellen!$D$55)</f>
        <v>#DIV/0!</v>
      </c>
      <c r="BV39" s="655">
        <f>'wgl tot'!AJ39/12*tabellen!$D$56</f>
        <v>0</v>
      </c>
      <c r="BW39" s="656" t="e">
        <f t="shared" si="13"/>
        <v>#DIV/0!</v>
      </c>
      <c r="BX39" s="657" t="e">
        <f>+('wgl tot'!AF39+'wgl tot'!AK39)/12-'wgl tot'!BW39</f>
        <v>#DIV/0!</v>
      </c>
      <c r="BY39" s="657" t="e">
        <f>ROUND(IF('wgl tot'!BX39&gt;tabellen!$H$61,tabellen!$H$61,'wgl tot'!BX39)*tabellen!$C$61,2)</f>
        <v>#DIV/0!</v>
      </c>
      <c r="BZ39" s="646" t="e">
        <f>+'wgl tot'!BX39</f>
        <v>#DIV/0!</v>
      </c>
      <c r="CA39" s="654"/>
      <c r="CB39" s="635">
        <f>IF(AND(M39="j",tabellen!$C$118&gt;=E39),1,0)</f>
        <v>0</v>
      </c>
      <c r="CC39" s="647" t="str">
        <f t="shared" si="6"/>
        <v/>
      </c>
      <c r="CD39" s="648" t="str">
        <f t="shared" si="7"/>
        <v/>
      </c>
      <c r="CE39" s="286"/>
      <c r="CF39" s="286"/>
      <c r="CG39" s="286"/>
      <c r="CH39" s="286"/>
      <c r="CI39" s="286"/>
      <c r="CJ39" s="286"/>
    </row>
    <row r="40" spans="2:88" ht="13.5" customHeight="1" x14ac:dyDescent="0.2">
      <c r="B40" s="541"/>
      <c r="C40" s="560"/>
      <c r="D40" s="289"/>
      <c r="E40" s="290"/>
      <c r="F40" s="291"/>
      <c r="G40" s="291"/>
      <c r="H40" s="293"/>
      <c r="I40" s="291"/>
      <c r="J40" s="291"/>
      <c r="K40" s="291"/>
      <c r="L40" s="291"/>
      <c r="M40" s="291"/>
      <c r="N40" s="295"/>
      <c r="O40" s="560"/>
      <c r="P40" s="292">
        <f>IF(F40="",0,(VLOOKUP('wgl tot'!F40,salaristabellen,'wgl tot'!G40+1,FALSE)))</f>
        <v>0</v>
      </c>
      <c r="Q40" s="294">
        <f>+'wgl tot'!P40*'wgl tot'!H40</f>
        <v>0</v>
      </c>
      <c r="R40" s="560"/>
      <c r="S40" s="296">
        <f>ROUND(IF(I40="j",VLOOKUP(BK40,uitlooptoeslag,2,FALSE))*IF('wgl tot'!H40&gt;1,1,'wgl tot'!H40),2)</f>
        <v>0</v>
      </c>
      <c r="T40" s="296">
        <f>ROUND(IF(OR('wgl tot'!F40="LA",'wgl tot'!F40="LB"),IF(J40="j",tabellen!$C$75*'wgl tot'!H40,0),0),2)</f>
        <v>0</v>
      </c>
      <c r="U40" s="296">
        <f>ROUND(IF(('wgl tot'!Q40+'wgl tot'!S40+'wgl tot'!T40)*BM40&lt;'wgl tot'!H40*tabellen!$D$87,'wgl tot'!H40*tabellen!$D$87,('wgl tot'!Q40+'wgl tot'!S40+'wgl tot'!T40)*BM40),2)</f>
        <v>0</v>
      </c>
      <c r="V40" s="296">
        <f>ROUND(+('wgl tot'!Q40+'wgl tot'!S40+'wgl tot'!T40)*BN40,2)</f>
        <v>0</v>
      </c>
      <c r="W40" s="296">
        <f>+tabellen!$C$83*'wgl tot'!H40</f>
        <v>0</v>
      </c>
      <c r="X40" s="296">
        <f>VLOOKUP(BO40,eindejaarsuitkering_OOP,2,TRUE)*'wgl tot'!H40/12</f>
        <v>0</v>
      </c>
      <c r="Y40" s="296">
        <f>ROUND(IF(BP40="j",tabellen!$D$96*IF('wgl tot'!H40&gt;1,1,'wgl tot'!H40),0),2)</f>
        <v>0</v>
      </c>
      <c r="Z40" s="297">
        <f>+'wgl tot'!Q40+S40+T40+U40+V40+W40+X40+Y40</f>
        <v>0</v>
      </c>
      <c r="AA40" s="562"/>
      <c r="AB40" s="563"/>
      <c r="AC40" s="292">
        <f>+'wgl tot'!Z40*12</f>
        <v>0</v>
      </c>
      <c r="AD40" s="296">
        <f>ROUND(IF(L40="j",VLOOKUP(K40,bindingstoelage,2,FALSE))*IF('wgl tot'!H40&gt;1,1,'wgl tot'!H40),2)</f>
        <v>0</v>
      </c>
      <c r="AE40" s="296">
        <f>ROUND('wgl tot'!H40*tabellen!$D$94,2)</f>
        <v>0</v>
      </c>
      <c r="AF40" s="292">
        <f t="shared" si="12"/>
        <v>0</v>
      </c>
      <c r="AG40" s="560"/>
      <c r="AH40" s="296">
        <f>+('wgl tot'!AF40/(1+1.9%))*BQ40</f>
        <v>0</v>
      </c>
      <c r="AI40" s="296">
        <f t="shared" si="11"/>
        <v>0</v>
      </c>
      <c r="AJ40" s="292">
        <f>ROUND('wgl tot'!AF40-IF('wgl tot'!AI40&gt;'wgl tot'!AH40,'wgl tot'!AH40,'wgl tot'!AI40),0)</f>
        <v>0</v>
      </c>
      <c r="AK40" s="298">
        <f>IF('wgl tot'!E40&lt;1950,0,+('wgl tot'!Q40+'wgl tot'!S40+'wgl tot'!T40)*tabellen!$C$85)*12</f>
        <v>0</v>
      </c>
      <c r="AL40" s="560"/>
      <c r="AM40" s="296">
        <f>+'wgl tot'!AF40/12</f>
        <v>0</v>
      </c>
      <c r="AN40" s="296">
        <f>IF(F40="",0,(IF('wgl tot'!AJ40/'wgl tot'!H40&lt;tabellen!$E$54,0,('wgl tot'!AJ40-tabellen!$E$54*'wgl tot'!H40)/12)*tabellen!$C$54))</f>
        <v>0</v>
      </c>
      <c r="AO40" s="296">
        <f>IF(F40="",0,(IF('wgl tot'!AJ40/'wgl tot'!H40&lt;tabellen!$E$55,0,(+'wgl tot'!AJ40-tabellen!$E$55*'wgl tot'!H40)/12)*tabellen!$C$55))</f>
        <v>0</v>
      </c>
      <c r="AP40" s="296">
        <f>'wgl tot'!AJ40/12*tabellen!$C$56</f>
        <v>0</v>
      </c>
      <c r="AQ40" s="296">
        <f>IF(F40="",0,IF(CD40=0,IF(CB40=0,IF('wgl tot'!BX40&gt;tabellen!$G$57/12,tabellen!$G$57/12,'wgl tot'!BX40)*(tabellen!$C$57+tabellen!$C$58+tabellen!$C$59),IF('wgl tot'!BX40&gt;tabellen!$G$57/12,tabellen!$G$57/12,'wgl tot'!BX40)*(tabellen!$C$58+tabellen!$C$59)),IF('wgl tot'!BX40&gt;tabellen!$G$57/12,tabellen!$G$57/12,'wgl tot'!BX40)*(tabellen!$C$57+tabellen!$C$58+tabellen!$C$59)))</f>
        <v>0</v>
      </c>
      <c r="AR40" s="296">
        <f>IF(F40="",0,('wgl tot'!BY40))</f>
        <v>0</v>
      </c>
      <c r="AS40" s="299">
        <f>IF(F40="",0,(IF('wgl tot'!BX40&gt;tabellen!$G$62*'wgl tot'!H40/12,tabellen!$G$62*'wgl tot'!H40/12,'wgl tot'!BX40)*tabellen!$C$62))</f>
        <v>0</v>
      </c>
      <c r="AT40" s="299">
        <f>IF(F40="",0,('wgl tot'!BX40*IF(N40=1,tabellen!$C$63,IF(N40=2,tabellen!C91,IF(N40=3,tabellen!$C$65,tabellen!$C$66)))))</f>
        <v>0</v>
      </c>
      <c r="AU40" s="299">
        <f>IF(F40="",0,('wgl tot'!BX40*tabellen!$C$67))</f>
        <v>0</v>
      </c>
      <c r="AV40" s="299">
        <f>+'wgl tot'!AK40/12</f>
        <v>0</v>
      </c>
      <c r="AW40" s="618">
        <v>0</v>
      </c>
      <c r="AX40" s="299">
        <f t="shared" si="3"/>
        <v>0</v>
      </c>
      <c r="AY40" s="294">
        <f t="shared" si="4"/>
        <v>0</v>
      </c>
      <c r="AZ40" s="300">
        <f t="shared" si="5"/>
        <v>0</v>
      </c>
      <c r="BA40" s="560"/>
      <c r="BB40" s="301" t="str">
        <f>IF(AY40=0,"",(+'wgl tot'!AY40/'wgl tot'!Q40-1))</f>
        <v/>
      </c>
      <c r="BC40" s="560"/>
      <c r="BD40" s="542"/>
      <c r="BF40" s="649">
        <f ca="1">YEAR('wgl tot'!$BF$10)-YEAR('wgl tot'!E40)</f>
        <v>113</v>
      </c>
      <c r="BG40" s="650">
        <f ca="1">MONTH('wgl tot'!$BF$10)-MONTH('wgl tot'!E40)</f>
        <v>11</v>
      </c>
      <c r="BH40" s="650">
        <f ca="1">DAY('wgl tot'!$BF$10)-DAY('wgl tot'!E40)</f>
        <v>1</v>
      </c>
      <c r="BI40" s="635">
        <f>IF(AND('wgl tot'!F40&gt;0,'wgl tot'!F40&lt;16),0,100)</f>
        <v>100</v>
      </c>
      <c r="BJ40" s="635" t="e">
        <f>VLOOKUP('wgl tot'!F40,salaristabellen,22,FALSE)</f>
        <v>#N/A</v>
      </c>
      <c r="BK40" s="635">
        <f t="shared" si="0"/>
        <v>0</v>
      </c>
      <c r="BL40" s="651">
        <f t="shared" si="8"/>
        <v>41275</v>
      </c>
      <c r="BM40" s="652">
        <f t="shared" si="9"/>
        <v>0.08</v>
      </c>
      <c r="BN40" s="653">
        <f>+tabellen!$D$88</f>
        <v>6.3E-2</v>
      </c>
      <c r="BO40" s="650">
        <f>IF('wgl tot'!BI40=100,0,'wgl tot'!F40)</f>
        <v>0</v>
      </c>
      <c r="BP40" s="653" t="str">
        <f>IF(OR('wgl tot'!F40="DA",'wgl tot'!F40="DB",'wgl tot'!F40="DBuit",'wgl tot'!F40="DC",'wgl tot'!F40="DCuit",MID('wgl tot'!F40,1,5)="meerh"),"j","n")</f>
        <v>n</v>
      </c>
      <c r="BQ40" s="653">
        <f t="shared" si="10"/>
        <v>1.9E-2</v>
      </c>
      <c r="BR40" s="654">
        <f>IF(AI40&gt;'wgl tot'!AH40,'wgl tot'!AH40,AI40)</f>
        <v>0</v>
      </c>
      <c r="BS40" s="654"/>
      <c r="BT40" s="655" t="e">
        <f>IF('wgl tot'!AJ40/'wgl tot'!H40&lt;tabellen!$E$54,0,(+'wgl tot'!AJ40-tabellen!$E$54*'wgl tot'!H40)/12*tabellen!$D$54)</f>
        <v>#DIV/0!</v>
      </c>
      <c r="BU40" s="655" t="e">
        <f>IF('wgl tot'!AJ40/'wgl tot'!H40&lt;tabellen!$E$55,0,(+'wgl tot'!AJ40-tabellen!$E$55*'wgl tot'!H40)/12*tabellen!$D$55)</f>
        <v>#DIV/0!</v>
      </c>
      <c r="BV40" s="655">
        <f>'wgl tot'!AJ40/12*tabellen!$D$56</f>
        <v>0</v>
      </c>
      <c r="BW40" s="656" t="e">
        <f t="shared" si="13"/>
        <v>#DIV/0!</v>
      </c>
      <c r="BX40" s="657" t="e">
        <f>+('wgl tot'!AF40+'wgl tot'!AK40)/12-'wgl tot'!BW40</f>
        <v>#DIV/0!</v>
      </c>
      <c r="BY40" s="657" t="e">
        <f>ROUND(IF('wgl tot'!BX40&gt;tabellen!$H$61,tabellen!$H$61,'wgl tot'!BX40)*tabellen!$C$61,2)</f>
        <v>#DIV/0!</v>
      </c>
      <c r="BZ40" s="646" t="e">
        <f>+'wgl tot'!BX40</f>
        <v>#DIV/0!</v>
      </c>
      <c r="CA40" s="654"/>
      <c r="CB40" s="635">
        <f>IF(AND(M40="j",tabellen!$C$118&gt;=E40),1,0)</f>
        <v>0</v>
      </c>
      <c r="CC40" s="647" t="str">
        <f t="shared" si="6"/>
        <v/>
      </c>
      <c r="CD40" s="648" t="str">
        <f t="shared" si="7"/>
        <v/>
      </c>
      <c r="CE40" s="286"/>
      <c r="CF40" s="286"/>
      <c r="CG40" s="286"/>
      <c r="CH40" s="286"/>
      <c r="CI40" s="286"/>
      <c r="CJ40" s="286"/>
    </row>
    <row r="41" spans="2:88" ht="13.5" customHeight="1" x14ac:dyDescent="0.2">
      <c r="B41" s="541"/>
      <c r="C41" s="560"/>
      <c r="D41" s="289"/>
      <c r="E41" s="290"/>
      <c r="F41" s="291"/>
      <c r="G41" s="291"/>
      <c r="H41" s="293"/>
      <c r="I41" s="291"/>
      <c r="J41" s="291"/>
      <c r="K41" s="291"/>
      <c r="L41" s="291"/>
      <c r="M41" s="291"/>
      <c r="N41" s="295"/>
      <c r="O41" s="560"/>
      <c r="P41" s="292">
        <f>IF(F41="",0,(VLOOKUP('wgl tot'!F41,salaristabellen,'wgl tot'!G41+1,FALSE)))</f>
        <v>0</v>
      </c>
      <c r="Q41" s="294">
        <f>+'wgl tot'!P41*'wgl tot'!H41</f>
        <v>0</v>
      </c>
      <c r="R41" s="560"/>
      <c r="S41" s="296">
        <f>ROUND(IF(I41="j",VLOOKUP(BK41,uitlooptoeslag,2,FALSE))*IF('wgl tot'!H41&gt;1,1,'wgl tot'!H41),2)</f>
        <v>0</v>
      </c>
      <c r="T41" s="296">
        <f>ROUND(IF(OR('wgl tot'!F41="LA",'wgl tot'!F41="LB"),IF(J41="j",tabellen!$C$75*'wgl tot'!H41,0),0),2)</f>
        <v>0</v>
      </c>
      <c r="U41" s="296">
        <f>ROUND(IF(('wgl tot'!Q41+'wgl tot'!S41+'wgl tot'!T41)*BM41&lt;'wgl tot'!H41*tabellen!$D$87,'wgl tot'!H41*tabellen!$D$87,('wgl tot'!Q41+'wgl tot'!S41+'wgl tot'!T41)*BM41),2)</f>
        <v>0</v>
      </c>
      <c r="V41" s="296">
        <f>ROUND(+('wgl tot'!Q41+'wgl tot'!S41+'wgl tot'!T41)*BN41,2)</f>
        <v>0</v>
      </c>
      <c r="W41" s="296">
        <f>+tabellen!$C$83*'wgl tot'!H41</f>
        <v>0</v>
      </c>
      <c r="X41" s="296">
        <f>VLOOKUP(BO41,eindejaarsuitkering_OOP,2,TRUE)*'wgl tot'!H41/12</f>
        <v>0</v>
      </c>
      <c r="Y41" s="296">
        <f>ROUND(IF(BP41="j",tabellen!$D$96*IF('wgl tot'!H41&gt;1,1,'wgl tot'!H41),0),2)</f>
        <v>0</v>
      </c>
      <c r="Z41" s="297">
        <f>+'wgl tot'!Q41+S41+T41+U41+V41+W41+X41+Y41</f>
        <v>0</v>
      </c>
      <c r="AA41" s="562"/>
      <c r="AB41" s="563"/>
      <c r="AC41" s="292">
        <f>+'wgl tot'!Z41*12</f>
        <v>0</v>
      </c>
      <c r="AD41" s="296">
        <f>ROUND(IF(L41="j",VLOOKUP(K41,bindingstoelage,2,FALSE))*IF('wgl tot'!H41&gt;1,1,'wgl tot'!H41),2)</f>
        <v>0</v>
      </c>
      <c r="AE41" s="296">
        <f>ROUND('wgl tot'!H41*tabellen!$D$94,2)</f>
        <v>0</v>
      </c>
      <c r="AF41" s="292">
        <f t="shared" si="12"/>
        <v>0</v>
      </c>
      <c r="AG41" s="560"/>
      <c r="AH41" s="296">
        <f>+('wgl tot'!AF41/(1+1.9%))*BQ41</f>
        <v>0</v>
      </c>
      <c r="AI41" s="296">
        <f t="shared" si="11"/>
        <v>0</v>
      </c>
      <c r="AJ41" s="292">
        <f>ROUND('wgl tot'!AF41-IF('wgl tot'!AI41&gt;'wgl tot'!AH41,'wgl tot'!AH41,'wgl tot'!AI41),0)</f>
        <v>0</v>
      </c>
      <c r="AK41" s="298">
        <f>IF('wgl tot'!E41&lt;1950,0,+('wgl tot'!Q41+'wgl tot'!S41+'wgl tot'!T41)*tabellen!$C$85)*12</f>
        <v>0</v>
      </c>
      <c r="AL41" s="560"/>
      <c r="AM41" s="296">
        <f>+'wgl tot'!AF41/12</f>
        <v>0</v>
      </c>
      <c r="AN41" s="296">
        <f>IF(F41="",0,(IF('wgl tot'!AJ41/'wgl tot'!H41&lt;tabellen!$E$54,0,('wgl tot'!AJ41-tabellen!$E$54*'wgl tot'!H41)/12)*tabellen!$C$54))</f>
        <v>0</v>
      </c>
      <c r="AO41" s="296">
        <f>IF(F41="",0,(IF('wgl tot'!AJ41/'wgl tot'!H41&lt;tabellen!$E$55,0,(+'wgl tot'!AJ41-tabellen!$E$55*'wgl tot'!H41)/12)*tabellen!$C$55))</f>
        <v>0</v>
      </c>
      <c r="AP41" s="296">
        <f>'wgl tot'!AJ41/12*tabellen!$C$56</f>
        <v>0</v>
      </c>
      <c r="AQ41" s="296">
        <f>IF(F41="",0,IF(CD41=0,IF(CB41=0,IF('wgl tot'!BX41&gt;tabellen!$G$57/12,tabellen!$G$57/12,'wgl tot'!BX41)*(tabellen!$C$57+tabellen!$C$58+tabellen!$C$59),IF('wgl tot'!BX41&gt;tabellen!$G$57/12,tabellen!$G$57/12,'wgl tot'!BX41)*(tabellen!$C$58+tabellen!$C$59)),IF('wgl tot'!BX41&gt;tabellen!$G$57/12,tabellen!$G$57/12,'wgl tot'!BX41)*(tabellen!$C$57+tabellen!$C$58+tabellen!$C$59)))</f>
        <v>0</v>
      </c>
      <c r="AR41" s="296">
        <f>IF(F41="",0,('wgl tot'!BY41))</f>
        <v>0</v>
      </c>
      <c r="AS41" s="299">
        <f>IF(F41="",0,(IF('wgl tot'!BX41&gt;tabellen!$G$62*'wgl tot'!H41/12,tabellen!$G$62*'wgl tot'!H41/12,'wgl tot'!BX41)*tabellen!$C$62))</f>
        <v>0</v>
      </c>
      <c r="AT41" s="299">
        <f>IF(F41="",0,('wgl tot'!BX41*IF(N41=1,tabellen!$C$63,IF(N41=2,tabellen!C92,IF(N41=3,tabellen!$C$65,tabellen!$C$66)))))</f>
        <v>0</v>
      </c>
      <c r="AU41" s="299">
        <f>IF(F41="",0,('wgl tot'!BX41*tabellen!$C$67))</f>
        <v>0</v>
      </c>
      <c r="AV41" s="299">
        <f>+'wgl tot'!AK41/12</f>
        <v>0</v>
      </c>
      <c r="AW41" s="618">
        <v>0</v>
      </c>
      <c r="AX41" s="299">
        <f t="shared" si="3"/>
        <v>0</v>
      </c>
      <c r="AY41" s="294">
        <f t="shared" si="4"/>
        <v>0</v>
      </c>
      <c r="AZ41" s="300">
        <f t="shared" si="5"/>
        <v>0</v>
      </c>
      <c r="BA41" s="560"/>
      <c r="BB41" s="301" t="str">
        <f>IF(AY41=0,"",(+'wgl tot'!AY41/'wgl tot'!Q41-1))</f>
        <v/>
      </c>
      <c r="BC41" s="560"/>
      <c r="BD41" s="542"/>
      <c r="BF41" s="649">
        <f ca="1">YEAR('wgl tot'!$BF$10)-YEAR('wgl tot'!E41)</f>
        <v>113</v>
      </c>
      <c r="BG41" s="650">
        <f ca="1">MONTH('wgl tot'!$BF$10)-MONTH('wgl tot'!E41)</f>
        <v>11</v>
      </c>
      <c r="BH41" s="650">
        <f ca="1">DAY('wgl tot'!$BF$10)-DAY('wgl tot'!E41)</f>
        <v>1</v>
      </c>
      <c r="BI41" s="635">
        <f>IF(AND('wgl tot'!F41&gt;0,'wgl tot'!F41&lt;16),0,100)</f>
        <v>100</v>
      </c>
      <c r="BJ41" s="635" t="e">
        <f>VLOOKUP('wgl tot'!F41,salaristabellen,22,FALSE)</f>
        <v>#N/A</v>
      </c>
      <c r="BK41" s="635">
        <f t="shared" si="0"/>
        <v>0</v>
      </c>
      <c r="BL41" s="651">
        <f t="shared" si="8"/>
        <v>41275</v>
      </c>
      <c r="BM41" s="652">
        <f t="shared" si="9"/>
        <v>0.08</v>
      </c>
      <c r="BN41" s="653">
        <f>+tabellen!$D$88</f>
        <v>6.3E-2</v>
      </c>
      <c r="BO41" s="650">
        <f>IF('wgl tot'!BI41=100,0,'wgl tot'!F41)</f>
        <v>0</v>
      </c>
      <c r="BP41" s="653" t="str">
        <f>IF(OR('wgl tot'!F41="DA",'wgl tot'!F41="DB",'wgl tot'!F41="DBuit",'wgl tot'!F41="DC",'wgl tot'!F41="DCuit",MID('wgl tot'!F41,1,5)="meerh"),"j","n")</f>
        <v>n</v>
      </c>
      <c r="BQ41" s="653">
        <f t="shared" si="10"/>
        <v>1.9E-2</v>
      </c>
      <c r="BR41" s="654">
        <f>IF(AI41&gt;'wgl tot'!AH41,'wgl tot'!AH41,AI41)</f>
        <v>0</v>
      </c>
      <c r="BS41" s="654"/>
      <c r="BT41" s="655" t="e">
        <f>IF('wgl tot'!AJ41/'wgl tot'!H41&lt;tabellen!$E$54,0,(+'wgl tot'!AJ41-tabellen!$E$54*'wgl tot'!H41)/12*tabellen!$D$54)</f>
        <v>#DIV/0!</v>
      </c>
      <c r="BU41" s="655" t="e">
        <f>IF('wgl tot'!AJ41/'wgl tot'!H41&lt;tabellen!$E$55,0,(+'wgl tot'!AJ41-tabellen!$E$55*'wgl tot'!H41)/12*tabellen!$D$55)</f>
        <v>#DIV/0!</v>
      </c>
      <c r="BV41" s="655">
        <f>'wgl tot'!AJ41/12*tabellen!$D$56</f>
        <v>0</v>
      </c>
      <c r="BW41" s="656" t="e">
        <f t="shared" si="13"/>
        <v>#DIV/0!</v>
      </c>
      <c r="BX41" s="657" t="e">
        <f>+('wgl tot'!AF41+'wgl tot'!AK41)/12-'wgl tot'!BW41</f>
        <v>#DIV/0!</v>
      </c>
      <c r="BY41" s="657" t="e">
        <f>ROUND(IF('wgl tot'!BX41&gt;tabellen!$H$61,tabellen!$H$61,'wgl tot'!BX41)*tabellen!$C$61,2)</f>
        <v>#DIV/0!</v>
      </c>
      <c r="BZ41" s="646" t="e">
        <f>+'wgl tot'!BX41</f>
        <v>#DIV/0!</v>
      </c>
      <c r="CA41" s="654"/>
      <c r="CB41" s="635">
        <f>IF(AND(M41="j",tabellen!$C$118&gt;=E41),1,0)</f>
        <v>0</v>
      </c>
      <c r="CC41" s="647" t="str">
        <f t="shared" si="6"/>
        <v/>
      </c>
      <c r="CD41" s="648" t="str">
        <f t="shared" si="7"/>
        <v/>
      </c>
      <c r="CE41" s="286"/>
      <c r="CF41" s="286"/>
      <c r="CG41" s="286"/>
      <c r="CH41" s="286"/>
      <c r="CI41" s="286"/>
      <c r="CJ41" s="286"/>
    </row>
    <row r="42" spans="2:88" ht="13.5" customHeight="1" x14ac:dyDescent="0.2">
      <c r="B42" s="541"/>
      <c r="C42" s="560"/>
      <c r="D42" s="289"/>
      <c r="E42" s="290"/>
      <c r="F42" s="291"/>
      <c r="G42" s="291"/>
      <c r="H42" s="293"/>
      <c r="I42" s="291"/>
      <c r="J42" s="291"/>
      <c r="K42" s="291"/>
      <c r="L42" s="291"/>
      <c r="M42" s="291"/>
      <c r="N42" s="295"/>
      <c r="O42" s="560"/>
      <c r="P42" s="292">
        <f>IF(F42="",0,(VLOOKUP('wgl tot'!F42,salaristabellen,'wgl tot'!G42+1,FALSE)))</f>
        <v>0</v>
      </c>
      <c r="Q42" s="294">
        <f>+'wgl tot'!P42*'wgl tot'!H42</f>
        <v>0</v>
      </c>
      <c r="R42" s="560"/>
      <c r="S42" s="296">
        <f>ROUND(IF(I42="j",VLOOKUP(BK42,uitlooptoeslag,2,FALSE))*IF('wgl tot'!H42&gt;1,1,'wgl tot'!H42),2)</f>
        <v>0</v>
      </c>
      <c r="T42" s="296">
        <f>ROUND(IF(OR('wgl tot'!F42="LA",'wgl tot'!F42="LB"),IF(J42="j",tabellen!$C$75*'wgl tot'!H42,0),0),2)</f>
        <v>0</v>
      </c>
      <c r="U42" s="296">
        <f>ROUND(IF(('wgl tot'!Q42+'wgl tot'!S42+'wgl tot'!T42)*BM42&lt;'wgl tot'!H42*tabellen!$D$87,'wgl tot'!H42*tabellen!$D$87,('wgl tot'!Q42+'wgl tot'!S42+'wgl tot'!T42)*BM42),2)</f>
        <v>0</v>
      </c>
      <c r="V42" s="296">
        <f>ROUND(+('wgl tot'!Q42+'wgl tot'!S42+'wgl tot'!T42)*BN42,2)</f>
        <v>0</v>
      </c>
      <c r="W42" s="296">
        <f>+tabellen!$C$83*'wgl tot'!H42</f>
        <v>0</v>
      </c>
      <c r="X42" s="296">
        <f>VLOOKUP(BO42,eindejaarsuitkering_OOP,2,TRUE)*'wgl tot'!H42/12</f>
        <v>0</v>
      </c>
      <c r="Y42" s="296">
        <f>ROUND(IF(BP42="j",tabellen!$D$96*IF('wgl tot'!H42&gt;1,1,'wgl tot'!H42),0),2)</f>
        <v>0</v>
      </c>
      <c r="Z42" s="297">
        <f>+'wgl tot'!Q42+S42+T42+U42+V42+W42+X42+Y42</f>
        <v>0</v>
      </c>
      <c r="AA42" s="562"/>
      <c r="AB42" s="563"/>
      <c r="AC42" s="292">
        <f>+'wgl tot'!Z42*12</f>
        <v>0</v>
      </c>
      <c r="AD42" s="296">
        <f>ROUND(IF(L42="j",VLOOKUP(K42,bindingstoelage,2,FALSE))*IF('wgl tot'!H42&gt;1,1,'wgl tot'!H42),2)</f>
        <v>0</v>
      </c>
      <c r="AE42" s="296">
        <f>ROUND('wgl tot'!H42*tabellen!$D$94,2)</f>
        <v>0</v>
      </c>
      <c r="AF42" s="292">
        <f t="shared" si="12"/>
        <v>0</v>
      </c>
      <c r="AG42" s="560"/>
      <c r="AH42" s="296">
        <f>+('wgl tot'!AF42/(1+1.9%))*BQ42</f>
        <v>0</v>
      </c>
      <c r="AI42" s="296">
        <f t="shared" si="11"/>
        <v>0</v>
      </c>
      <c r="AJ42" s="292">
        <f>ROUND('wgl tot'!AF42-IF('wgl tot'!AI42&gt;'wgl tot'!AH42,'wgl tot'!AH42,'wgl tot'!AI42),0)</f>
        <v>0</v>
      </c>
      <c r="AK42" s="298">
        <f>IF('wgl tot'!E42&lt;1950,0,+('wgl tot'!Q42+'wgl tot'!S42+'wgl tot'!T42)*tabellen!$C$85)*12</f>
        <v>0</v>
      </c>
      <c r="AL42" s="560"/>
      <c r="AM42" s="296">
        <f>+'wgl tot'!AF42/12</f>
        <v>0</v>
      </c>
      <c r="AN42" s="296">
        <f>IF(F42="",0,(IF('wgl tot'!AJ42/'wgl tot'!H42&lt;tabellen!$E$54,0,('wgl tot'!AJ42-tabellen!$E$54*'wgl tot'!H42)/12)*tabellen!$C$54))</f>
        <v>0</v>
      </c>
      <c r="AO42" s="296">
        <f>IF(F42="",0,(IF('wgl tot'!AJ42/'wgl tot'!H42&lt;tabellen!$E$55,0,(+'wgl tot'!AJ42-tabellen!$E$55*'wgl tot'!H42)/12)*tabellen!$C$55))</f>
        <v>0</v>
      </c>
      <c r="AP42" s="296">
        <f>'wgl tot'!AJ42/12*tabellen!$C$56</f>
        <v>0</v>
      </c>
      <c r="AQ42" s="296">
        <f>IF(F42="",0,IF(CD42=0,IF(CB42=0,IF('wgl tot'!BX42&gt;tabellen!$G$57/12,tabellen!$G$57/12,'wgl tot'!BX42)*(tabellen!$C$57+tabellen!$C$58+tabellen!$C$59),IF('wgl tot'!BX42&gt;tabellen!$G$57/12,tabellen!$G$57/12,'wgl tot'!BX42)*(tabellen!$C$58+tabellen!$C$59)),IF('wgl tot'!BX42&gt;tabellen!$G$57/12,tabellen!$G$57/12,'wgl tot'!BX42)*(tabellen!$C$57+tabellen!$C$58+tabellen!$C$59)))</f>
        <v>0</v>
      </c>
      <c r="AR42" s="296">
        <f>IF(F42="",0,('wgl tot'!BY42))</f>
        <v>0</v>
      </c>
      <c r="AS42" s="299">
        <f>IF(F42="",0,(IF('wgl tot'!BX42&gt;tabellen!$G$62*'wgl tot'!H42/12,tabellen!$G$62*'wgl tot'!H42/12,'wgl tot'!BX42)*tabellen!$C$62))</f>
        <v>0</v>
      </c>
      <c r="AT42" s="299">
        <f>IF(F42="",0,('wgl tot'!BX42*IF(N42=1,tabellen!$C$63,IF(N42=2,tabellen!C93,IF(N42=3,tabellen!$C$65,tabellen!$C$66)))))</f>
        <v>0</v>
      </c>
      <c r="AU42" s="299">
        <f>IF(F42="",0,('wgl tot'!BX42*tabellen!$C$67))</f>
        <v>0</v>
      </c>
      <c r="AV42" s="299">
        <f>+'wgl tot'!AK42/12</f>
        <v>0</v>
      </c>
      <c r="AW42" s="618">
        <v>0</v>
      </c>
      <c r="AX42" s="299">
        <f t="shared" si="3"/>
        <v>0</v>
      </c>
      <c r="AY42" s="294">
        <f t="shared" si="4"/>
        <v>0</v>
      </c>
      <c r="AZ42" s="300">
        <f t="shared" si="5"/>
        <v>0</v>
      </c>
      <c r="BA42" s="560"/>
      <c r="BB42" s="301" t="str">
        <f>IF(AY42=0,"",(+'wgl tot'!AY42/'wgl tot'!Q42-1))</f>
        <v/>
      </c>
      <c r="BC42" s="560"/>
      <c r="BD42" s="542"/>
      <c r="BF42" s="649">
        <f ca="1">YEAR('wgl tot'!$BF$10)-YEAR('wgl tot'!E42)</f>
        <v>113</v>
      </c>
      <c r="BG42" s="650">
        <f ca="1">MONTH('wgl tot'!$BF$10)-MONTH('wgl tot'!E42)</f>
        <v>11</v>
      </c>
      <c r="BH42" s="650">
        <f ca="1">DAY('wgl tot'!$BF$10)-DAY('wgl tot'!E42)</f>
        <v>1</v>
      </c>
      <c r="BI42" s="635">
        <f>IF(AND('wgl tot'!F42&gt;0,'wgl tot'!F42&lt;16),0,100)</f>
        <v>100</v>
      </c>
      <c r="BJ42" s="635" t="e">
        <f>VLOOKUP('wgl tot'!F42,salaristabellen,22,FALSE)</f>
        <v>#N/A</v>
      </c>
      <c r="BK42" s="635">
        <f t="shared" si="0"/>
        <v>0</v>
      </c>
      <c r="BL42" s="651">
        <f t="shared" si="8"/>
        <v>41275</v>
      </c>
      <c r="BM42" s="652">
        <f t="shared" si="9"/>
        <v>0.08</v>
      </c>
      <c r="BN42" s="653">
        <f>+tabellen!$D$88</f>
        <v>6.3E-2</v>
      </c>
      <c r="BO42" s="650">
        <f>IF('wgl tot'!BI42=100,0,'wgl tot'!F42)</f>
        <v>0</v>
      </c>
      <c r="BP42" s="653" t="str">
        <f>IF(OR('wgl tot'!F42="DA",'wgl tot'!F42="DB",'wgl tot'!F42="DBuit",'wgl tot'!F42="DC",'wgl tot'!F42="DCuit",MID('wgl tot'!F42,1,5)="meerh"),"j","n")</f>
        <v>n</v>
      </c>
      <c r="BQ42" s="653">
        <f t="shared" si="10"/>
        <v>1.9E-2</v>
      </c>
      <c r="BR42" s="654">
        <f>IF(AI42&gt;'wgl tot'!AH42,'wgl tot'!AH42,AI42)</f>
        <v>0</v>
      </c>
      <c r="BS42" s="654"/>
      <c r="BT42" s="655" t="e">
        <f>IF('wgl tot'!AJ42/'wgl tot'!H42&lt;tabellen!$E$54,0,(+'wgl tot'!AJ42-tabellen!$E$54*'wgl tot'!H42)/12*tabellen!$D$54)</f>
        <v>#DIV/0!</v>
      </c>
      <c r="BU42" s="655" t="e">
        <f>IF('wgl tot'!AJ42/'wgl tot'!H42&lt;tabellen!$E$55,0,(+'wgl tot'!AJ42-tabellen!$E$55*'wgl tot'!H42)/12*tabellen!$D$55)</f>
        <v>#DIV/0!</v>
      </c>
      <c r="BV42" s="655">
        <f>'wgl tot'!AJ42/12*tabellen!$D$56</f>
        <v>0</v>
      </c>
      <c r="BW42" s="656" t="e">
        <f t="shared" si="13"/>
        <v>#DIV/0!</v>
      </c>
      <c r="BX42" s="657" t="e">
        <f>+('wgl tot'!AF42+'wgl tot'!AK42)/12-'wgl tot'!BW42</f>
        <v>#DIV/0!</v>
      </c>
      <c r="BY42" s="657" t="e">
        <f>ROUND(IF('wgl tot'!BX42&gt;tabellen!$H$61,tabellen!$H$61,'wgl tot'!BX42)*tabellen!$C$61,2)</f>
        <v>#DIV/0!</v>
      </c>
      <c r="BZ42" s="646" t="e">
        <f>+'wgl tot'!BX42</f>
        <v>#DIV/0!</v>
      </c>
      <c r="CA42" s="654"/>
      <c r="CB42" s="635">
        <f>IF(AND(M42="j",tabellen!$C$118&gt;=E42),1,0)</f>
        <v>0</v>
      </c>
      <c r="CC42" s="647" t="str">
        <f t="shared" si="6"/>
        <v/>
      </c>
      <c r="CD42" s="648" t="str">
        <f t="shared" si="7"/>
        <v/>
      </c>
      <c r="CE42" s="286"/>
      <c r="CF42" s="286"/>
      <c r="CG42" s="286"/>
      <c r="CH42" s="286"/>
      <c r="CI42" s="286"/>
      <c r="CJ42" s="286"/>
    </row>
    <row r="43" spans="2:88" ht="13.5" customHeight="1" x14ac:dyDescent="0.2">
      <c r="B43" s="541"/>
      <c r="C43" s="560"/>
      <c r="D43" s="289"/>
      <c r="E43" s="290"/>
      <c r="F43" s="291"/>
      <c r="G43" s="291"/>
      <c r="H43" s="293"/>
      <c r="I43" s="291"/>
      <c r="J43" s="291"/>
      <c r="K43" s="291"/>
      <c r="L43" s="291"/>
      <c r="M43" s="291"/>
      <c r="N43" s="295"/>
      <c r="O43" s="560"/>
      <c r="P43" s="292">
        <f>IF(F43="",0,(VLOOKUP('wgl tot'!F43,salaristabellen,'wgl tot'!G43+1,FALSE)))</f>
        <v>0</v>
      </c>
      <c r="Q43" s="294">
        <f>+'wgl tot'!P43*'wgl tot'!H43</f>
        <v>0</v>
      </c>
      <c r="R43" s="560"/>
      <c r="S43" s="296">
        <f>ROUND(IF(I43="j",VLOOKUP(BK43,uitlooptoeslag,2,FALSE))*IF('wgl tot'!H43&gt;1,1,'wgl tot'!H43),2)</f>
        <v>0</v>
      </c>
      <c r="T43" s="296">
        <f>ROUND(IF(OR('wgl tot'!F43="LA",'wgl tot'!F43="LB"),IF(J43="j",tabellen!$C$75*'wgl tot'!H43,0),0),2)</f>
        <v>0</v>
      </c>
      <c r="U43" s="296">
        <f>ROUND(IF(('wgl tot'!Q43+'wgl tot'!S43+'wgl tot'!T43)*BM43&lt;'wgl tot'!H43*tabellen!$D$87,'wgl tot'!H43*tabellen!$D$87,('wgl tot'!Q43+'wgl tot'!S43+'wgl tot'!T43)*BM43),2)</f>
        <v>0</v>
      </c>
      <c r="V43" s="296">
        <f>ROUND(+('wgl tot'!Q43+'wgl tot'!S43+'wgl tot'!T43)*BN43,2)</f>
        <v>0</v>
      </c>
      <c r="W43" s="296">
        <f>+tabellen!$C$83*'wgl tot'!H43</f>
        <v>0</v>
      </c>
      <c r="X43" s="296">
        <f>VLOOKUP(BO43,eindejaarsuitkering_OOP,2,TRUE)*'wgl tot'!H43/12</f>
        <v>0</v>
      </c>
      <c r="Y43" s="296">
        <f>ROUND(IF(BP43="j",tabellen!$D$96*IF('wgl tot'!H43&gt;1,1,'wgl tot'!H43),0),2)</f>
        <v>0</v>
      </c>
      <c r="Z43" s="297">
        <f>+'wgl tot'!Q43+S43+T43+U43+V43+W43+X43+Y43</f>
        <v>0</v>
      </c>
      <c r="AA43" s="562"/>
      <c r="AB43" s="563"/>
      <c r="AC43" s="292">
        <f>+'wgl tot'!Z43*12</f>
        <v>0</v>
      </c>
      <c r="AD43" s="296">
        <f>ROUND(IF(L43="j",VLOOKUP(K43,bindingstoelage,2,FALSE))*IF('wgl tot'!H43&gt;1,1,'wgl tot'!H43),2)</f>
        <v>0</v>
      </c>
      <c r="AE43" s="296">
        <f>ROUND('wgl tot'!H43*tabellen!$D$94,2)</f>
        <v>0</v>
      </c>
      <c r="AF43" s="292">
        <f t="shared" si="12"/>
        <v>0</v>
      </c>
      <c r="AG43" s="560"/>
      <c r="AH43" s="296">
        <f>+('wgl tot'!AF43/(1+1.9%))*BQ43</f>
        <v>0</v>
      </c>
      <c r="AI43" s="296">
        <f t="shared" si="11"/>
        <v>0</v>
      </c>
      <c r="AJ43" s="292">
        <f>ROUND('wgl tot'!AF43-IF('wgl tot'!AI43&gt;'wgl tot'!AH43,'wgl tot'!AH43,'wgl tot'!AI43),0)</f>
        <v>0</v>
      </c>
      <c r="AK43" s="298">
        <f>IF('wgl tot'!E43&lt;1950,0,+('wgl tot'!Q43+'wgl tot'!S43+'wgl tot'!T43)*tabellen!$C$85)*12</f>
        <v>0</v>
      </c>
      <c r="AL43" s="560"/>
      <c r="AM43" s="296">
        <f>+'wgl tot'!AF43/12</f>
        <v>0</v>
      </c>
      <c r="AN43" s="296">
        <f>IF(F43="",0,(IF('wgl tot'!AJ43/'wgl tot'!H43&lt;tabellen!$E$54,0,('wgl tot'!AJ43-tabellen!$E$54*'wgl tot'!H43)/12)*tabellen!$C$54))</f>
        <v>0</v>
      </c>
      <c r="AO43" s="296">
        <f>IF(F43="",0,(IF('wgl tot'!AJ43/'wgl tot'!H43&lt;tabellen!$E$55,0,(+'wgl tot'!AJ43-tabellen!$E$55*'wgl tot'!H43)/12)*tabellen!$C$55))</f>
        <v>0</v>
      </c>
      <c r="AP43" s="296">
        <f>'wgl tot'!AJ43/12*tabellen!$C$56</f>
        <v>0</v>
      </c>
      <c r="AQ43" s="296">
        <f>IF(F43="",0,IF(CD43=0,IF(CB43=0,IF('wgl tot'!BX43&gt;tabellen!$G$57/12,tabellen!$G$57/12,'wgl tot'!BX43)*(tabellen!$C$57+tabellen!$C$58+tabellen!$C$59),IF('wgl tot'!BX43&gt;tabellen!$G$57/12,tabellen!$G$57/12,'wgl tot'!BX43)*(tabellen!$C$58+tabellen!$C$59)),IF('wgl tot'!BX43&gt;tabellen!$G$57/12,tabellen!$G$57/12,'wgl tot'!BX43)*(tabellen!$C$57+tabellen!$C$58+tabellen!$C$59)))</f>
        <v>0</v>
      </c>
      <c r="AR43" s="296">
        <f>IF(F43="",0,('wgl tot'!BY43))</f>
        <v>0</v>
      </c>
      <c r="AS43" s="299">
        <f>IF(F43="",0,(IF('wgl tot'!BX43&gt;tabellen!$G$62*'wgl tot'!H43/12,tabellen!$G$62*'wgl tot'!H43/12,'wgl tot'!BX43)*tabellen!$C$62))</f>
        <v>0</v>
      </c>
      <c r="AT43" s="299">
        <f>IF(F43="",0,('wgl tot'!BX43*IF(N43=1,tabellen!$C$63,IF(N43=2,tabellen!C94,IF(N43=3,tabellen!$C$65,tabellen!$C$66)))))</f>
        <v>0</v>
      </c>
      <c r="AU43" s="299">
        <f>IF(F43="",0,('wgl tot'!BX43*tabellen!$C$67))</f>
        <v>0</v>
      </c>
      <c r="AV43" s="299">
        <f>+'wgl tot'!AK43/12</f>
        <v>0</v>
      </c>
      <c r="AW43" s="618">
        <v>0</v>
      </c>
      <c r="AX43" s="299">
        <f t="shared" si="3"/>
        <v>0</v>
      </c>
      <c r="AY43" s="294">
        <f t="shared" si="4"/>
        <v>0</v>
      </c>
      <c r="AZ43" s="300">
        <f t="shared" si="5"/>
        <v>0</v>
      </c>
      <c r="BA43" s="560"/>
      <c r="BB43" s="301" t="str">
        <f>IF(AY43=0,"",(+'wgl tot'!AY43/'wgl tot'!Q43-1))</f>
        <v/>
      </c>
      <c r="BC43" s="560"/>
      <c r="BD43" s="542"/>
      <c r="BF43" s="649">
        <f ca="1">YEAR('wgl tot'!$BF$10)-YEAR('wgl tot'!E43)</f>
        <v>113</v>
      </c>
      <c r="BG43" s="650">
        <f ca="1">MONTH('wgl tot'!$BF$10)-MONTH('wgl tot'!E43)</f>
        <v>11</v>
      </c>
      <c r="BH43" s="650">
        <f ca="1">DAY('wgl tot'!$BF$10)-DAY('wgl tot'!E43)</f>
        <v>1</v>
      </c>
      <c r="BI43" s="635">
        <f>IF(AND('wgl tot'!F43&gt;0,'wgl tot'!F43&lt;16),0,100)</f>
        <v>100</v>
      </c>
      <c r="BJ43" s="635" t="e">
        <f>VLOOKUP('wgl tot'!F43,salaristabellen,22,FALSE)</f>
        <v>#N/A</v>
      </c>
      <c r="BK43" s="635">
        <f t="shared" si="0"/>
        <v>0</v>
      </c>
      <c r="BL43" s="651">
        <f t="shared" si="8"/>
        <v>41275</v>
      </c>
      <c r="BM43" s="652">
        <f t="shared" si="9"/>
        <v>0.08</v>
      </c>
      <c r="BN43" s="653">
        <f>+tabellen!$D$88</f>
        <v>6.3E-2</v>
      </c>
      <c r="BO43" s="650">
        <f>IF('wgl tot'!BI43=100,0,'wgl tot'!F43)</f>
        <v>0</v>
      </c>
      <c r="BP43" s="653" t="str">
        <f>IF(OR('wgl tot'!F43="DA",'wgl tot'!F43="DB",'wgl tot'!F43="DBuit",'wgl tot'!F43="DC",'wgl tot'!F43="DCuit",MID('wgl tot'!F43,1,5)="meerh"),"j","n")</f>
        <v>n</v>
      </c>
      <c r="BQ43" s="653">
        <f t="shared" si="10"/>
        <v>1.9E-2</v>
      </c>
      <c r="BR43" s="654">
        <f>IF(AI43&gt;'wgl tot'!AH43,'wgl tot'!AH43,AI43)</f>
        <v>0</v>
      </c>
      <c r="BS43" s="654"/>
      <c r="BT43" s="655" t="e">
        <f>IF('wgl tot'!AJ43/'wgl tot'!H43&lt;tabellen!$E$54,0,(+'wgl tot'!AJ43-tabellen!$E$54*'wgl tot'!H43)/12*tabellen!$D$54)</f>
        <v>#DIV/0!</v>
      </c>
      <c r="BU43" s="655" t="e">
        <f>IF('wgl tot'!AJ43/'wgl tot'!H43&lt;tabellen!$E$55,0,(+'wgl tot'!AJ43-tabellen!$E$55*'wgl tot'!H43)/12*tabellen!$D$55)</f>
        <v>#DIV/0!</v>
      </c>
      <c r="BV43" s="655">
        <f>'wgl tot'!AJ43/12*tabellen!$D$56</f>
        <v>0</v>
      </c>
      <c r="BW43" s="656" t="e">
        <f t="shared" si="13"/>
        <v>#DIV/0!</v>
      </c>
      <c r="BX43" s="657" t="e">
        <f>+('wgl tot'!AF43+'wgl tot'!AK43)/12-'wgl tot'!BW43</f>
        <v>#DIV/0!</v>
      </c>
      <c r="BY43" s="657" t="e">
        <f>ROUND(IF('wgl tot'!BX43&gt;tabellen!$H$61,tabellen!$H$61,'wgl tot'!BX43)*tabellen!$C$61,2)</f>
        <v>#DIV/0!</v>
      </c>
      <c r="BZ43" s="646" t="e">
        <f>+'wgl tot'!BX43</f>
        <v>#DIV/0!</v>
      </c>
      <c r="CA43" s="654"/>
      <c r="CB43" s="635">
        <f>IF(AND(M43="j",tabellen!$C$118&gt;=E43),1,0)</f>
        <v>0</v>
      </c>
      <c r="CC43" s="647" t="str">
        <f t="shared" si="6"/>
        <v/>
      </c>
      <c r="CD43" s="648" t="str">
        <f t="shared" si="7"/>
        <v/>
      </c>
      <c r="CE43" s="286"/>
      <c r="CF43" s="286"/>
      <c r="CG43" s="286"/>
      <c r="CH43" s="286"/>
      <c r="CI43" s="286"/>
      <c r="CJ43" s="286"/>
    </row>
    <row r="44" spans="2:88" ht="13.5" customHeight="1" x14ac:dyDescent="0.2">
      <c r="B44" s="541"/>
      <c r="C44" s="560"/>
      <c r="D44" s="289"/>
      <c r="E44" s="290"/>
      <c r="F44" s="291"/>
      <c r="G44" s="291"/>
      <c r="H44" s="293"/>
      <c r="I44" s="291"/>
      <c r="J44" s="291"/>
      <c r="K44" s="291"/>
      <c r="L44" s="291"/>
      <c r="M44" s="291"/>
      <c r="N44" s="295"/>
      <c r="O44" s="560"/>
      <c r="P44" s="292">
        <f>IF(F44="",0,(VLOOKUP('wgl tot'!F44,salaristabellen,'wgl tot'!G44+1,FALSE)))</f>
        <v>0</v>
      </c>
      <c r="Q44" s="294">
        <f>+'wgl tot'!P44*'wgl tot'!H44</f>
        <v>0</v>
      </c>
      <c r="R44" s="560"/>
      <c r="S44" s="296">
        <f>ROUND(IF(I44="j",VLOOKUP(BK44,uitlooptoeslag,2,FALSE))*IF('wgl tot'!H44&gt;1,1,'wgl tot'!H44),2)</f>
        <v>0</v>
      </c>
      <c r="T44" s="296">
        <f>ROUND(IF(OR('wgl tot'!F44="LA",'wgl tot'!F44="LB"),IF(J44="j",tabellen!$C$75*'wgl tot'!H44,0),0),2)</f>
        <v>0</v>
      </c>
      <c r="U44" s="296">
        <f>ROUND(IF(('wgl tot'!Q44+'wgl tot'!S44+'wgl tot'!T44)*BM44&lt;'wgl tot'!H44*tabellen!$D$87,'wgl tot'!H44*tabellen!$D$87,('wgl tot'!Q44+'wgl tot'!S44+'wgl tot'!T44)*BM44),2)</f>
        <v>0</v>
      </c>
      <c r="V44" s="296">
        <f>ROUND(+('wgl tot'!Q44+'wgl tot'!S44+'wgl tot'!T44)*BN44,2)</f>
        <v>0</v>
      </c>
      <c r="W44" s="296">
        <f>+tabellen!$C$83*'wgl tot'!H44</f>
        <v>0</v>
      </c>
      <c r="X44" s="296">
        <f>VLOOKUP(BO44,eindejaarsuitkering_OOP,2,TRUE)*'wgl tot'!H44/12</f>
        <v>0</v>
      </c>
      <c r="Y44" s="296">
        <f>ROUND(IF(BP44="j",tabellen!$D$96*IF('wgl tot'!H44&gt;1,1,'wgl tot'!H44),0),2)</f>
        <v>0</v>
      </c>
      <c r="Z44" s="297">
        <f>+'wgl tot'!Q44+S44+T44+U44+V44+W44+X44+Y44</f>
        <v>0</v>
      </c>
      <c r="AA44" s="562"/>
      <c r="AB44" s="563"/>
      <c r="AC44" s="292">
        <f>+'wgl tot'!Z44*12</f>
        <v>0</v>
      </c>
      <c r="AD44" s="296">
        <f>ROUND(IF(L44="j",VLOOKUP(K44,bindingstoelage,2,FALSE))*IF('wgl tot'!H44&gt;1,1,'wgl tot'!H44),2)</f>
        <v>0</v>
      </c>
      <c r="AE44" s="296">
        <f>ROUND('wgl tot'!H44*tabellen!$D$94,2)</f>
        <v>0</v>
      </c>
      <c r="AF44" s="292">
        <f t="shared" si="12"/>
        <v>0</v>
      </c>
      <c r="AG44" s="560"/>
      <c r="AH44" s="296">
        <f>+('wgl tot'!AF44/(1+1.9%))*BQ44</f>
        <v>0</v>
      </c>
      <c r="AI44" s="296">
        <f t="shared" si="11"/>
        <v>0</v>
      </c>
      <c r="AJ44" s="292">
        <f>ROUND('wgl tot'!AF44-IF('wgl tot'!AI44&gt;'wgl tot'!AH44,'wgl tot'!AH44,'wgl tot'!AI44),0)</f>
        <v>0</v>
      </c>
      <c r="AK44" s="298">
        <f>IF('wgl tot'!E44&lt;1950,0,+('wgl tot'!Q44+'wgl tot'!S44+'wgl tot'!T44)*tabellen!$C$85)*12</f>
        <v>0</v>
      </c>
      <c r="AL44" s="560"/>
      <c r="AM44" s="296">
        <f>+'wgl tot'!AF44/12</f>
        <v>0</v>
      </c>
      <c r="AN44" s="296">
        <f>IF(F44="",0,(IF('wgl tot'!AJ44/'wgl tot'!H44&lt;tabellen!$E$54,0,('wgl tot'!AJ44-tabellen!$E$54*'wgl tot'!H44)/12)*tabellen!$C$54))</f>
        <v>0</v>
      </c>
      <c r="AO44" s="296">
        <f>IF(F44="",0,(IF('wgl tot'!AJ44/'wgl tot'!H44&lt;tabellen!$E$55,0,(+'wgl tot'!AJ44-tabellen!$E$55*'wgl tot'!H44)/12)*tabellen!$C$55))</f>
        <v>0</v>
      </c>
      <c r="AP44" s="296">
        <f>'wgl tot'!AJ44/12*tabellen!$C$56</f>
        <v>0</v>
      </c>
      <c r="AQ44" s="296">
        <f>IF(F44="",0,IF(CD44=0,IF(CB44=0,IF('wgl tot'!BX44&gt;tabellen!$G$57/12,tabellen!$G$57/12,'wgl tot'!BX44)*(tabellen!$C$57+tabellen!$C$58+tabellen!$C$59),IF('wgl tot'!BX44&gt;tabellen!$G$57/12,tabellen!$G$57/12,'wgl tot'!BX44)*(tabellen!$C$58+tabellen!$C$59)),IF('wgl tot'!BX44&gt;tabellen!$G$57/12,tabellen!$G$57/12,'wgl tot'!BX44)*(tabellen!$C$57+tabellen!$C$58+tabellen!$C$59)))</f>
        <v>0</v>
      </c>
      <c r="AR44" s="296">
        <f>IF(F44="",0,('wgl tot'!BY44))</f>
        <v>0</v>
      </c>
      <c r="AS44" s="299">
        <f>IF(F44="",0,(IF('wgl tot'!BX44&gt;tabellen!$G$62*'wgl tot'!H44/12,tabellen!$G$62*'wgl tot'!H44/12,'wgl tot'!BX44)*tabellen!$C$62))</f>
        <v>0</v>
      </c>
      <c r="AT44" s="299">
        <f>IF(F44="",0,('wgl tot'!BX44*IF(N44=1,tabellen!$C$63,IF(N44=2,tabellen!C95,IF(N44=3,tabellen!$C$65,tabellen!$C$66)))))</f>
        <v>0</v>
      </c>
      <c r="AU44" s="299">
        <f>IF(F44="",0,('wgl tot'!BX44*tabellen!$C$67))</f>
        <v>0</v>
      </c>
      <c r="AV44" s="299">
        <f>+'wgl tot'!AK44/12</f>
        <v>0</v>
      </c>
      <c r="AW44" s="618">
        <v>0</v>
      </c>
      <c r="AX44" s="299">
        <f t="shared" si="3"/>
        <v>0</v>
      </c>
      <c r="AY44" s="294">
        <f t="shared" si="4"/>
        <v>0</v>
      </c>
      <c r="AZ44" s="300">
        <f t="shared" si="5"/>
        <v>0</v>
      </c>
      <c r="BA44" s="560"/>
      <c r="BB44" s="301" t="str">
        <f>IF(AY44=0,"",(+'wgl tot'!AY44/'wgl tot'!Q44-1))</f>
        <v/>
      </c>
      <c r="BC44" s="560"/>
      <c r="BD44" s="542"/>
      <c r="BF44" s="649">
        <f ca="1">YEAR('wgl tot'!$BF$10)-YEAR('wgl tot'!E44)</f>
        <v>113</v>
      </c>
      <c r="BG44" s="650">
        <f ca="1">MONTH('wgl tot'!$BF$10)-MONTH('wgl tot'!E44)</f>
        <v>11</v>
      </c>
      <c r="BH44" s="650">
        <f ca="1">DAY('wgl tot'!$BF$10)-DAY('wgl tot'!E44)</f>
        <v>1</v>
      </c>
      <c r="BI44" s="635">
        <f>IF(AND('wgl tot'!F44&gt;0,'wgl tot'!F44&lt;16),0,100)</f>
        <v>100</v>
      </c>
      <c r="BJ44" s="635" t="e">
        <f>VLOOKUP('wgl tot'!F44,salaristabellen,22,FALSE)</f>
        <v>#N/A</v>
      </c>
      <c r="BK44" s="635">
        <f t="shared" si="0"/>
        <v>0</v>
      </c>
      <c r="BL44" s="651">
        <f t="shared" si="8"/>
        <v>41275</v>
      </c>
      <c r="BM44" s="652">
        <f t="shared" si="9"/>
        <v>0.08</v>
      </c>
      <c r="BN44" s="653">
        <f>+tabellen!$D$88</f>
        <v>6.3E-2</v>
      </c>
      <c r="BO44" s="650">
        <f>IF('wgl tot'!BI44=100,0,'wgl tot'!F44)</f>
        <v>0</v>
      </c>
      <c r="BP44" s="653" t="str">
        <f>IF(OR('wgl tot'!F44="DA",'wgl tot'!F44="DB",'wgl tot'!F44="DBuit",'wgl tot'!F44="DC",'wgl tot'!F44="DCuit",MID('wgl tot'!F44,1,5)="meerh"),"j","n")</f>
        <v>n</v>
      </c>
      <c r="BQ44" s="653">
        <f t="shared" si="10"/>
        <v>1.9E-2</v>
      </c>
      <c r="BR44" s="654">
        <f>IF(AI44&gt;'wgl tot'!AH44,'wgl tot'!AH44,AI44)</f>
        <v>0</v>
      </c>
      <c r="BS44" s="654"/>
      <c r="BT44" s="655" t="e">
        <f>IF('wgl tot'!AJ44/'wgl tot'!H44&lt;tabellen!$E$54,0,(+'wgl tot'!AJ44-tabellen!$E$54*'wgl tot'!H44)/12*tabellen!$D$54)</f>
        <v>#DIV/0!</v>
      </c>
      <c r="BU44" s="655" t="e">
        <f>IF('wgl tot'!AJ44/'wgl tot'!H44&lt;tabellen!$E$55,0,(+'wgl tot'!AJ44-tabellen!$E$55*'wgl tot'!H44)/12*tabellen!$D$55)</f>
        <v>#DIV/0!</v>
      </c>
      <c r="BV44" s="655">
        <f>'wgl tot'!AJ44/12*tabellen!$D$56</f>
        <v>0</v>
      </c>
      <c r="BW44" s="656" t="e">
        <f t="shared" si="13"/>
        <v>#DIV/0!</v>
      </c>
      <c r="BX44" s="657" t="e">
        <f>+('wgl tot'!AF44+'wgl tot'!AK44)/12-'wgl tot'!BW44</f>
        <v>#DIV/0!</v>
      </c>
      <c r="BY44" s="657" t="e">
        <f>ROUND(IF('wgl tot'!BX44&gt;tabellen!$H$61,tabellen!$H$61,'wgl tot'!BX44)*tabellen!$C$61,2)</f>
        <v>#DIV/0!</v>
      </c>
      <c r="BZ44" s="646" t="e">
        <f>+'wgl tot'!BX44</f>
        <v>#DIV/0!</v>
      </c>
      <c r="CA44" s="654"/>
      <c r="CB44" s="635">
        <f>IF(AND(M44="j",tabellen!$C$118&gt;=E44),1,0)</f>
        <v>0</v>
      </c>
      <c r="CC44" s="647" t="str">
        <f t="shared" si="6"/>
        <v/>
      </c>
      <c r="CD44" s="648" t="str">
        <f t="shared" si="7"/>
        <v/>
      </c>
      <c r="CE44" s="286"/>
      <c r="CF44" s="286"/>
      <c r="CG44" s="286"/>
      <c r="CH44" s="286"/>
      <c r="CI44" s="286"/>
      <c r="CJ44" s="286"/>
    </row>
    <row r="45" spans="2:88" ht="13.5" customHeight="1" x14ac:dyDescent="0.2">
      <c r="B45" s="541"/>
      <c r="C45" s="560"/>
      <c r="D45" s="289"/>
      <c r="E45" s="290"/>
      <c r="F45" s="291"/>
      <c r="G45" s="291"/>
      <c r="H45" s="293"/>
      <c r="I45" s="291"/>
      <c r="J45" s="291"/>
      <c r="K45" s="291"/>
      <c r="L45" s="291"/>
      <c r="M45" s="291"/>
      <c r="N45" s="295"/>
      <c r="O45" s="560"/>
      <c r="P45" s="292">
        <f>IF(F45="",0,(VLOOKUP('wgl tot'!F45,salaristabellen,'wgl tot'!G45+1,FALSE)))</f>
        <v>0</v>
      </c>
      <c r="Q45" s="294">
        <f>+'wgl tot'!P45*'wgl tot'!H45</f>
        <v>0</v>
      </c>
      <c r="R45" s="560"/>
      <c r="S45" s="296">
        <f>ROUND(IF(I45="j",VLOOKUP(BK45,uitlooptoeslag,2,FALSE))*IF('wgl tot'!H45&gt;1,1,'wgl tot'!H45),2)</f>
        <v>0</v>
      </c>
      <c r="T45" s="296">
        <f>ROUND(IF(OR('wgl tot'!F45="LA",'wgl tot'!F45="LB"),IF(J45="j",tabellen!$C$75*'wgl tot'!H45,0),0),2)</f>
        <v>0</v>
      </c>
      <c r="U45" s="296">
        <f>ROUND(IF(('wgl tot'!Q45+'wgl tot'!S45+'wgl tot'!T45)*BM45&lt;'wgl tot'!H45*tabellen!$D$87,'wgl tot'!H45*tabellen!$D$87,('wgl tot'!Q45+'wgl tot'!S45+'wgl tot'!T45)*BM45),2)</f>
        <v>0</v>
      </c>
      <c r="V45" s="296">
        <f>ROUND(+('wgl tot'!Q45+'wgl tot'!S45+'wgl tot'!T45)*BN45,2)</f>
        <v>0</v>
      </c>
      <c r="W45" s="296">
        <f>+tabellen!$C$83*'wgl tot'!H45</f>
        <v>0</v>
      </c>
      <c r="X45" s="296">
        <f>VLOOKUP(BO45,eindejaarsuitkering_OOP,2,TRUE)*'wgl tot'!H45/12</f>
        <v>0</v>
      </c>
      <c r="Y45" s="296">
        <f>ROUND(IF(BP45="j",tabellen!$D$96*IF('wgl tot'!H45&gt;1,1,'wgl tot'!H45),0),2)</f>
        <v>0</v>
      </c>
      <c r="Z45" s="297">
        <f>+'wgl tot'!Q45+S45+T45+U45+V45+W45+X45+Y45</f>
        <v>0</v>
      </c>
      <c r="AA45" s="562"/>
      <c r="AB45" s="563"/>
      <c r="AC45" s="292">
        <f>+'wgl tot'!Z45*12</f>
        <v>0</v>
      </c>
      <c r="AD45" s="296">
        <f>ROUND(IF(L45="j",VLOOKUP(K45,bindingstoelage,2,FALSE))*IF('wgl tot'!H45&gt;1,1,'wgl tot'!H45),2)</f>
        <v>0</v>
      </c>
      <c r="AE45" s="296">
        <f>ROUND('wgl tot'!H45*tabellen!$D$94,2)</f>
        <v>0</v>
      </c>
      <c r="AF45" s="292">
        <f t="shared" si="12"/>
        <v>0</v>
      </c>
      <c r="AG45" s="560"/>
      <c r="AH45" s="296">
        <f>+('wgl tot'!AF45/(1+1.9%))*BQ45</f>
        <v>0</v>
      </c>
      <c r="AI45" s="296">
        <f t="shared" si="11"/>
        <v>0</v>
      </c>
      <c r="AJ45" s="292">
        <f>ROUND('wgl tot'!AF45-IF('wgl tot'!AI45&gt;'wgl tot'!AH45,'wgl tot'!AH45,'wgl tot'!AI45),0)</f>
        <v>0</v>
      </c>
      <c r="AK45" s="298">
        <f>IF('wgl tot'!E45&lt;1950,0,+('wgl tot'!Q45+'wgl tot'!S45+'wgl tot'!T45)*tabellen!$C$85)*12</f>
        <v>0</v>
      </c>
      <c r="AL45" s="560"/>
      <c r="AM45" s="296">
        <f>+'wgl tot'!AF45/12</f>
        <v>0</v>
      </c>
      <c r="AN45" s="296">
        <f>IF(F45="",0,(IF('wgl tot'!AJ45/'wgl tot'!H45&lt;tabellen!$E$54,0,('wgl tot'!AJ45-tabellen!$E$54*'wgl tot'!H45)/12)*tabellen!$C$54))</f>
        <v>0</v>
      </c>
      <c r="AO45" s="296">
        <f>IF(F45="",0,(IF('wgl tot'!AJ45/'wgl tot'!H45&lt;tabellen!$E$55,0,(+'wgl tot'!AJ45-tabellen!$E$55*'wgl tot'!H45)/12)*tabellen!$C$55))</f>
        <v>0</v>
      </c>
      <c r="AP45" s="296">
        <f>'wgl tot'!AJ45/12*tabellen!$C$56</f>
        <v>0</v>
      </c>
      <c r="AQ45" s="296">
        <f>IF(F45="",0,IF(CD45=0,IF(CB45=0,IF('wgl tot'!BX45&gt;tabellen!$G$57/12,tabellen!$G$57/12,'wgl tot'!BX45)*(tabellen!$C$57+tabellen!$C$58+tabellen!$C$59),IF('wgl tot'!BX45&gt;tabellen!$G$57/12,tabellen!$G$57/12,'wgl tot'!BX45)*(tabellen!$C$58+tabellen!$C$59)),IF('wgl tot'!BX45&gt;tabellen!$G$57/12,tabellen!$G$57/12,'wgl tot'!BX45)*(tabellen!$C$57+tabellen!$C$58+tabellen!$C$59)))</f>
        <v>0</v>
      </c>
      <c r="AR45" s="296">
        <f>IF(F45="",0,('wgl tot'!BY45))</f>
        <v>0</v>
      </c>
      <c r="AS45" s="299">
        <f>IF(F45="",0,(IF('wgl tot'!BX45&gt;tabellen!$G$62*'wgl tot'!H45/12,tabellen!$G$62*'wgl tot'!H45/12,'wgl tot'!BX45)*tabellen!$C$62))</f>
        <v>0</v>
      </c>
      <c r="AT45" s="299">
        <f>IF(F45="",0,('wgl tot'!BX45*IF(N45=1,tabellen!$C$63,IF(N45=2,tabellen!C96,IF(N45=3,tabellen!$C$65,tabellen!$C$66)))))</f>
        <v>0</v>
      </c>
      <c r="AU45" s="299">
        <f>IF(F45="",0,('wgl tot'!BX45*tabellen!$C$67))</f>
        <v>0</v>
      </c>
      <c r="AV45" s="299">
        <f>+'wgl tot'!AK45/12</f>
        <v>0</v>
      </c>
      <c r="AW45" s="618">
        <v>0</v>
      </c>
      <c r="AX45" s="299">
        <f t="shared" si="3"/>
        <v>0</v>
      </c>
      <c r="AY45" s="294">
        <f t="shared" si="4"/>
        <v>0</v>
      </c>
      <c r="AZ45" s="300">
        <f t="shared" si="5"/>
        <v>0</v>
      </c>
      <c r="BA45" s="560"/>
      <c r="BB45" s="301" t="str">
        <f>IF(AY45=0,"",(+'wgl tot'!AY45/'wgl tot'!Q45-1))</f>
        <v/>
      </c>
      <c r="BC45" s="560"/>
      <c r="BD45" s="542"/>
      <c r="BF45" s="649">
        <f ca="1">YEAR('wgl tot'!$BF$10)-YEAR('wgl tot'!E45)</f>
        <v>113</v>
      </c>
      <c r="BG45" s="650">
        <f ca="1">MONTH('wgl tot'!$BF$10)-MONTH('wgl tot'!E45)</f>
        <v>11</v>
      </c>
      <c r="BH45" s="650">
        <f ca="1">DAY('wgl tot'!$BF$10)-DAY('wgl tot'!E45)</f>
        <v>1</v>
      </c>
      <c r="BI45" s="635">
        <f>IF(AND('wgl tot'!F45&gt;0,'wgl tot'!F45&lt;16),0,100)</f>
        <v>100</v>
      </c>
      <c r="BJ45" s="635" t="e">
        <f>VLOOKUP('wgl tot'!F45,salaristabellen,22,FALSE)</f>
        <v>#N/A</v>
      </c>
      <c r="BK45" s="635">
        <f t="shared" ref="BK45:BK67" si="14">F45</f>
        <v>0</v>
      </c>
      <c r="BL45" s="651">
        <f t="shared" si="8"/>
        <v>41275</v>
      </c>
      <c r="BM45" s="652">
        <f t="shared" si="9"/>
        <v>0.08</v>
      </c>
      <c r="BN45" s="653">
        <f>+tabellen!$D$88</f>
        <v>6.3E-2</v>
      </c>
      <c r="BO45" s="650">
        <f>IF('wgl tot'!BI45=100,0,'wgl tot'!F45)</f>
        <v>0</v>
      </c>
      <c r="BP45" s="653" t="str">
        <f>IF(OR('wgl tot'!F45="DA",'wgl tot'!F45="DB",'wgl tot'!F45="DBuit",'wgl tot'!F45="DC",'wgl tot'!F45="DCuit",MID('wgl tot'!F45,1,5)="meerh"),"j","n")</f>
        <v>n</v>
      </c>
      <c r="BQ45" s="653">
        <f t="shared" si="10"/>
        <v>1.9E-2</v>
      </c>
      <c r="BR45" s="654">
        <f>IF(AI45&gt;'wgl tot'!AH45,'wgl tot'!AH45,AI45)</f>
        <v>0</v>
      </c>
      <c r="BS45" s="654"/>
      <c r="BT45" s="655" t="e">
        <f>IF('wgl tot'!AJ45/'wgl tot'!H45&lt;tabellen!$E$54,0,(+'wgl tot'!AJ45-tabellen!$E$54*'wgl tot'!H45)/12*tabellen!$D$54)</f>
        <v>#DIV/0!</v>
      </c>
      <c r="BU45" s="655" t="e">
        <f>IF('wgl tot'!AJ45/'wgl tot'!H45&lt;tabellen!$E$55,0,(+'wgl tot'!AJ45-tabellen!$E$55*'wgl tot'!H45)/12*tabellen!$D$55)</f>
        <v>#DIV/0!</v>
      </c>
      <c r="BV45" s="655">
        <f>'wgl tot'!AJ45/12*tabellen!$D$56</f>
        <v>0</v>
      </c>
      <c r="BW45" s="656" t="e">
        <f t="shared" si="13"/>
        <v>#DIV/0!</v>
      </c>
      <c r="BX45" s="657" t="e">
        <f>+('wgl tot'!AF45+'wgl tot'!AK45)/12-'wgl tot'!BW45</f>
        <v>#DIV/0!</v>
      </c>
      <c r="BY45" s="657" t="e">
        <f>ROUND(IF('wgl tot'!BX45&gt;tabellen!$H$61,tabellen!$H$61,'wgl tot'!BX45)*tabellen!$C$61,2)</f>
        <v>#DIV/0!</v>
      </c>
      <c r="BZ45" s="646" t="e">
        <f>+'wgl tot'!BX45</f>
        <v>#DIV/0!</v>
      </c>
      <c r="CA45" s="654"/>
      <c r="CB45" s="635">
        <f>IF(AND(M45="j",tabellen!$C$118&gt;=E45),1,0)</f>
        <v>0</v>
      </c>
      <c r="CC45" s="647" t="str">
        <f t="shared" si="6"/>
        <v/>
      </c>
      <c r="CD45" s="648" t="str">
        <f t="shared" si="7"/>
        <v/>
      </c>
      <c r="CE45" s="286"/>
      <c r="CF45" s="286"/>
      <c r="CG45" s="286"/>
      <c r="CH45" s="286"/>
      <c r="CI45" s="286"/>
      <c r="CJ45" s="286"/>
    </row>
    <row r="46" spans="2:88" ht="13.5" customHeight="1" x14ac:dyDescent="0.2">
      <c r="B46" s="541"/>
      <c r="C46" s="560"/>
      <c r="D46" s="289"/>
      <c r="E46" s="290"/>
      <c r="F46" s="291"/>
      <c r="G46" s="291"/>
      <c r="H46" s="293"/>
      <c r="I46" s="291"/>
      <c r="J46" s="291"/>
      <c r="K46" s="291"/>
      <c r="L46" s="291"/>
      <c r="M46" s="291"/>
      <c r="N46" s="295"/>
      <c r="O46" s="560"/>
      <c r="P46" s="292">
        <f>IF(F46="",0,(VLOOKUP('wgl tot'!F46,salaristabellen,'wgl tot'!G46+1,FALSE)))</f>
        <v>0</v>
      </c>
      <c r="Q46" s="294">
        <f>+'wgl tot'!P46*'wgl tot'!H46</f>
        <v>0</v>
      </c>
      <c r="R46" s="560"/>
      <c r="S46" s="296">
        <f>ROUND(IF(I46="j",VLOOKUP(BK46,uitlooptoeslag,2,FALSE))*IF('wgl tot'!H46&gt;1,1,'wgl tot'!H46),2)</f>
        <v>0</v>
      </c>
      <c r="T46" s="296">
        <f>ROUND(IF(OR('wgl tot'!F46="LA",'wgl tot'!F46="LB"),IF(J46="j",tabellen!$C$75*'wgl tot'!H46,0),0),2)</f>
        <v>0</v>
      </c>
      <c r="U46" s="296">
        <f>ROUND(IF(('wgl tot'!Q46+'wgl tot'!S46+'wgl tot'!T46)*BM46&lt;'wgl tot'!H46*tabellen!$D$87,'wgl tot'!H46*tabellen!$D$87,('wgl tot'!Q46+'wgl tot'!S46+'wgl tot'!T46)*BM46),2)</f>
        <v>0</v>
      </c>
      <c r="V46" s="296">
        <f>ROUND(+('wgl tot'!Q46+'wgl tot'!S46+'wgl tot'!T46)*BN46,2)</f>
        <v>0</v>
      </c>
      <c r="W46" s="296">
        <f>+tabellen!$C$83*'wgl tot'!H46</f>
        <v>0</v>
      </c>
      <c r="X46" s="296">
        <f>VLOOKUP(BO46,eindejaarsuitkering_OOP,2,TRUE)*'wgl tot'!H46/12</f>
        <v>0</v>
      </c>
      <c r="Y46" s="296">
        <f>ROUND(IF(BP46="j",tabellen!$D$96*IF('wgl tot'!H46&gt;1,1,'wgl tot'!H46),0),2)</f>
        <v>0</v>
      </c>
      <c r="Z46" s="297">
        <f>+'wgl tot'!Q46+S46+T46+U46+V46+W46+X46+Y46</f>
        <v>0</v>
      </c>
      <c r="AA46" s="562"/>
      <c r="AB46" s="563"/>
      <c r="AC46" s="292">
        <f>+'wgl tot'!Z46*12</f>
        <v>0</v>
      </c>
      <c r="AD46" s="296">
        <f>ROUND(IF(L46="j",VLOOKUP(K46,bindingstoelage,2,FALSE))*IF('wgl tot'!H46&gt;1,1,'wgl tot'!H46),2)</f>
        <v>0</v>
      </c>
      <c r="AE46" s="296">
        <f>ROUND('wgl tot'!H46*tabellen!$D$94,2)</f>
        <v>0</v>
      </c>
      <c r="AF46" s="292">
        <f t="shared" si="12"/>
        <v>0</v>
      </c>
      <c r="AG46" s="560"/>
      <c r="AH46" s="296">
        <f>+('wgl tot'!AF46/(1+1.9%))*BQ46</f>
        <v>0</v>
      </c>
      <c r="AI46" s="296">
        <f t="shared" si="11"/>
        <v>0</v>
      </c>
      <c r="AJ46" s="292">
        <f>ROUND('wgl tot'!AF46-IF('wgl tot'!AI46&gt;'wgl tot'!AH46,'wgl tot'!AH46,'wgl tot'!AI46),0)</f>
        <v>0</v>
      </c>
      <c r="AK46" s="298">
        <f>IF('wgl tot'!E46&lt;1950,0,+('wgl tot'!Q46+'wgl tot'!S46+'wgl tot'!T46)*tabellen!$C$85)*12</f>
        <v>0</v>
      </c>
      <c r="AL46" s="560"/>
      <c r="AM46" s="296">
        <f>+'wgl tot'!AF46/12</f>
        <v>0</v>
      </c>
      <c r="AN46" s="296">
        <f>IF(F46="",0,(IF('wgl tot'!AJ46/'wgl tot'!H46&lt;tabellen!$E$54,0,('wgl tot'!AJ46-tabellen!$E$54*'wgl tot'!H46)/12)*tabellen!$C$54))</f>
        <v>0</v>
      </c>
      <c r="AO46" s="296">
        <f>IF(F46="",0,(IF('wgl tot'!AJ46/'wgl tot'!H46&lt;tabellen!$E$55,0,(+'wgl tot'!AJ46-tabellen!$E$55*'wgl tot'!H46)/12)*tabellen!$C$55))</f>
        <v>0</v>
      </c>
      <c r="AP46" s="296">
        <f>'wgl tot'!AJ46/12*tabellen!$C$56</f>
        <v>0</v>
      </c>
      <c r="AQ46" s="296">
        <f>IF(F46="",0,IF(CD46=0,IF(CB46=0,IF('wgl tot'!BX46&gt;tabellen!$G$57/12,tabellen!$G$57/12,'wgl tot'!BX46)*(tabellen!$C$57+tabellen!$C$58+tabellen!$C$59),IF('wgl tot'!BX46&gt;tabellen!$G$57/12,tabellen!$G$57/12,'wgl tot'!BX46)*(tabellen!$C$58+tabellen!$C$59)),IF('wgl tot'!BX46&gt;tabellen!$G$57/12,tabellen!$G$57/12,'wgl tot'!BX46)*(tabellen!$C$57+tabellen!$C$58+tabellen!$C$59)))</f>
        <v>0</v>
      </c>
      <c r="AR46" s="296">
        <f>IF(F46="",0,('wgl tot'!BY46))</f>
        <v>0</v>
      </c>
      <c r="AS46" s="299">
        <f>IF(F46="",0,(IF('wgl tot'!BX46&gt;tabellen!$G$62*'wgl tot'!H46/12,tabellen!$G$62*'wgl tot'!H46/12,'wgl tot'!BX46)*tabellen!$C$62))</f>
        <v>0</v>
      </c>
      <c r="AT46" s="299">
        <f>IF(F46="",0,('wgl tot'!BX46*IF(N46=1,tabellen!$C$63,IF(N46=2,tabellen!C97,IF(N46=3,tabellen!$C$65,tabellen!$C$66)))))</f>
        <v>0</v>
      </c>
      <c r="AU46" s="299">
        <f>IF(F46="",0,('wgl tot'!BX46*tabellen!$C$67))</f>
        <v>0</v>
      </c>
      <c r="AV46" s="299">
        <f>+'wgl tot'!AK46/12</f>
        <v>0</v>
      </c>
      <c r="AW46" s="618">
        <v>0</v>
      </c>
      <c r="AX46" s="299">
        <f t="shared" si="3"/>
        <v>0</v>
      </c>
      <c r="AY46" s="294">
        <f t="shared" si="4"/>
        <v>0</v>
      </c>
      <c r="AZ46" s="300">
        <f t="shared" si="5"/>
        <v>0</v>
      </c>
      <c r="BA46" s="560"/>
      <c r="BB46" s="301" t="str">
        <f>IF(AY46=0,"",(+'wgl tot'!AY46/'wgl tot'!Q46-1))</f>
        <v/>
      </c>
      <c r="BC46" s="560"/>
      <c r="BD46" s="542"/>
      <c r="BF46" s="649">
        <f ca="1">YEAR('wgl tot'!$BF$10)-YEAR('wgl tot'!E46)</f>
        <v>113</v>
      </c>
      <c r="BG46" s="650">
        <f ca="1">MONTH('wgl tot'!$BF$10)-MONTH('wgl tot'!E46)</f>
        <v>11</v>
      </c>
      <c r="BH46" s="650">
        <f ca="1">DAY('wgl tot'!$BF$10)-DAY('wgl tot'!E46)</f>
        <v>1</v>
      </c>
      <c r="BI46" s="635">
        <f>IF(AND('wgl tot'!F46&gt;0,'wgl tot'!F46&lt;16),0,100)</f>
        <v>100</v>
      </c>
      <c r="BJ46" s="635" t="e">
        <f>VLOOKUP('wgl tot'!F46,salaristabellen,22,FALSE)</f>
        <v>#N/A</v>
      </c>
      <c r="BK46" s="635">
        <f t="shared" si="14"/>
        <v>0</v>
      </c>
      <c r="BL46" s="651">
        <f t="shared" si="8"/>
        <v>41275</v>
      </c>
      <c r="BM46" s="652">
        <f t="shared" si="9"/>
        <v>0.08</v>
      </c>
      <c r="BN46" s="653">
        <f>+tabellen!$D$88</f>
        <v>6.3E-2</v>
      </c>
      <c r="BO46" s="650">
        <f>IF('wgl tot'!BI46=100,0,'wgl tot'!F46)</f>
        <v>0</v>
      </c>
      <c r="BP46" s="653" t="str">
        <f>IF(OR('wgl tot'!F46="DA",'wgl tot'!F46="DB",'wgl tot'!F46="DBuit",'wgl tot'!F46="DC",'wgl tot'!F46="DCuit",MID('wgl tot'!F46,1,5)="meerh"),"j","n")</f>
        <v>n</v>
      </c>
      <c r="BQ46" s="653">
        <f t="shared" si="10"/>
        <v>1.9E-2</v>
      </c>
      <c r="BR46" s="654">
        <f>IF(AI46&gt;'wgl tot'!AH46,'wgl tot'!AH46,AI46)</f>
        <v>0</v>
      </c>
      <c r="BS46" s="654"/>
      <c r="BT46" s="655" t="e">
        <f>IF('wgl tot'!AJ46/'wgl tot'!H46&lt;tabellen!$E$54,0,(+'wgl tot'!AJ46-tabellen!$E$54*'wgl tot'!H46)/12*tabellen!$D$54)</f>
        <v>#DIV/0!</v>
      </c>
      <c r="BU46" s="655" t="e">
        <f>IF('wgl tot'!AJ46/'wgl tot'!H46&lt;tabellen!$E$55,0,(+'wgl tot'!AJ46-tabellen!$E$55*'wgl tot'!H46)/12*tabellen!$D$55)</f>
        <v>#DIV/0!</v>
      </c>
      <c r="BV46" s="655">
        <f>'wgl tot'!AJ46/12*tabellen!$D$56</f>
        <v>0</v>
      </c>
      <c r="BW46" s="656" t="e">
        <f t="shared" si="13"/>
        <v>#DIV/0!</v>
      </c>
      <c r="BX46" s="657" t="e">
        <f>+('wgl tot'!AF46+'wgl tot'!AK46)/12-'wgl tot'!BW46</f>
        <v>#DIV/0!</v>
      </c>
      <c r="BY46" s="657" t="e">
        <f>ROUND(IF('wgl tot'!BX46&gt;tabellen!$H$61,tabellen!$H$61,'wgl tot'!BX46)*tabellen!$C$61,2)</f>
        <v>#DIV/0!</v>
      </c>
      <c r="BZ46" s="646" t="e">
        <f>+'wgl tot'!BX46</f>
        <v>#DIV/0!</v>
      </c>
      <c r="CA46" s="654"/>
      <c r="CB46" s="635">
        <f>IF(AND(M46="j",tabellen!$C$118&gt;=E46),1,0)</f>
        <v>0</v>
      </c>
      <c r="CC46" s="647" t="str">
        <f t="shared" si="6"/>
        <v/>
      </c>
      <c r="CD46" s="648" t="str">
        <f t="shared" si="7"/>
        <v/>
      </c>
      <c r="CE46" s="286"/>
      <c r="CF46" s="286"/>
      <c r="CG46" s="286"/>
      <c r="CH46" s="286"/>
      <c r="CI46" s="286"/>
      <c r="CJ46" s="286"/>
    </row>
    <row r="47" spans="2:88" ht="13.5" customHeight="1" x14ac:dyDescent="0.2">
      <c r="B47" s="541"/>
      <c r="C47" s="560"/>
      <c r="D47" s="289"/>
      <c r="E47" s="290"/>
      <c r="F47" s="291"/>
      <c r="G47" s="291"/>
      <c r="H47" s="293"/>
      <c r="I47" s="291"/>
      <c r="J47" s="291"/>
      <c r="K47" s="291"/>
      <c r="L47" s="291"/>
      <c r="M47" s="291"/>
      <c r="N47" s="295"/>
      <c r="O47" s="560"/>
      <c r="P47" s="292">
        <f>IF(F47="",0,(VLOOKUP('wgl tot'!F47,salaristabellen,'wgl tot'!G47+1,FALSE)))</f>
        <v>0</v>
      </c>
      <c r="Q47" s="294">
        <f>+'wgl tot'!P47*'wgl tot'!H47</f>
        <v>0</v>
      </c>
      <c r="R47" s="560"/>
      <c r="S47" s="296">
        <f>ROUND(IF(I47="j",VLOOKUP(BK47,uitlooptoeslag,2,FALSE))*IF('wgl tot'!H47&gt;1,1,'wgl tot'!H47),2)</f>
        <v>0</v>
      </c>
      <c r="T47" s="296">
        <f>ROUND(IF(OR('wgl tot'!F47="LA",'wgl tot'!F47="LB"),IF(J47="j",tabellen!$C$75*'wgl tot'!H47,0),0),2)</f>
        <v>0</v>
      </c>
      <c r="U47" s="296">
        <f>ROUND(IF(('wgl tot'!Q47+'wgl tot'!S47+'wgl tot'!T47)*BM47&lt;'wgl tot'!H47*tabellen!$D$87,'wgl tot'!H47*tabellen!$D$87,('wgl tot'!Q47+'wgl tot'!S47+'wgl tot'!T47)*BM47),2)</f>
        <v>0</v>
      </c>
      <c r="V47" s="296">
        <f>ROUND(+('wgl tot'!Q47+'wgl tot'!S47+'wgl tot'!T47)*BN47,2)</f>
        <v>0</v>
      </c>
      <c r="W47" s="296">
        <f>+tabellen!$C$83*'wgl tot'!H47</f>
        <v>0</v>
      </c>
      <c r="X47" s="296">
        <f>VLOOKUP(BO47,eindejaarsuitkering_OOP,2,TRUE)*'wgl tot'!H47/12</f>
        <v>0</v>
      </c>
      <c r="Y47" s="296">
        <f>ROUND(IF(BP47="j",tabellen!$D$96*IF('wgl tot'!H47&gt;1,1,'wgl tot'!H47),0),2)</f>
        <v>0</v>
      </c>
      <c r="Z47" s="297">
        <f>+'wgl tot'!Q47+S47+T47+U47+V47+W47+X47+Y47</f>
        <v>0</v>
      </c>
      <c r="AA47" s="562"/>
      <c r="AB47" s="563"/>
      <c r="AC47" s="292">
        <f>+'wgl tot'!Z47*12</f>
        <v>0</v>
      </c>
      <c r="AD47" s="296">
        <f>ROUND(IF(L47="j",VLOOKUP(K47,bindingstoelage,2,FALSE))*IF('wgl tot'!H47&gt;1,1,'wgl tot'!H47),2)</f>
        <v>0</v>
      </c>
      <c r="AE47" s="296">
        <f>ROUND('wgl tot'!H47*tabellen!$D$94,2)</f>
        <v>0</v>
      </c>
      <c r="AF47" s="292">
        <f t="shared" si="12"/>
        <v>0</v>
      </c>
      <c r="AG47" s="560"/>
      <c r="AH47" s="296">
        <f>+('wgl tot'!AF47/(1+1.9%))*BQ47</f>
        <v>0</v>
      </c>
      <c r="AI47" s="296">
        <f t="shared" si="11"/>
        <v>0</v>
      </c>
      <c r="AJ47" s="292">
        <f>ROUND('wgl tot'!AF47-IF('wgl tot'!AI47&gt;'wgl tot'!AH47,'wgl tot'!AH47,'wgl tot'!AI47),0)</f>
        <v>0</v>
      </c>
      <c r="AK47" s="298">
        <f>IF('wgl tot'!E47&lt;1950,0,+('wgl tot'!Q47+'wgl tot'!S47+'wgl tot'!T47)*tabellen!$C$85)*12</f>
        <v>0</v>
      </c>
      <c r="AL47" s="560"/>
      <c r="AM47" s="296">
        <f>+'wgl tot'!AF47/12</f>
        <v>0</v>
      </c>
      <c r="AN47" s="296">
        <f>IF(F47="",0,(IF('wgl tot'!AJ47/'wgl tot'!H47&lt;tabellen!$E$54,0,('wgl tot'!AJ47-tabellen!$E$54*'wgl tot'!H47)/12)*tabellen!$C$54))</f>
        <v>0</v>
      </c>
      <c r="AO47" s="296">
        <f>IF(F47="",0,(IF('wgl tot'!AJ47/'wgl tot'!H47&lt;tabellen!$E$55,0,(+'wgl tot'!AJ47-tabellen!$E$55*'wgl tot'!H47)/12)*tabellen!$C$55))</f>
        <v>0</v>
      </c>
      <c r="AP47" s="296">
        <f>'wgl tot'!AJ47/12*tabellen!$C$56</f>
        <v>0</v>
      </c>
      <c r="AQ47" s="296">
        <f>IF(F47="",0,IF(CD47=0,IF(CB47=0,IF('wgl tot'!BX47&gt;tabellen!$G$57/12,tabellen!$G$57/12,'wgl tot'!BX47)*(tabellen!$C$57+tabellen!$C$58+tabellen!$C$59),IF('wgl tot'!BX47&gt;tabellen!$G$57/12,tabellen!$G$57/12,'wgl tot'!BX47)*(tabellen!$C$58+tabellen!$C$59)),IF('wgl tot'!BX47&gt;tabellen!$G$57/12,tabellen!$G$57/12,'wgl tot'!BX47)*(tabellen!$C$57+tabellen!$C$58+tabellen!$C$59)))</f>
        <v>0</v>
      </c>
      <c r="AR47" s="296">
        <f>IF(F47="",0,('wgl tot'!BY47))</f>
        <v>0</v>
      </c>
      <c r="AS47" s="299">
        <f>IF(F47="",0,(IF('wgl tot'!BX47&gt;tabellen!$G$62*'wgl tot'!H47/12,tabellen!$G$62*'wgl tot'!H47/12,'wgl tot'!BX47)*tabellen!$C$62))</f>
        <v>0</v>
      </c>
      <c r="AT47" s="299">
        <f>IF(F47="",0,('wgl tot'!BX47*IF(N47=1,tabellen!$C$63,IF(N47=2,tabellen!C98,IF(N47=3,tabellen!$C$65,tabellen!$C$66)))))</f>
        <v>0</v>
      </c>
      <c r="AU47" s="299">
        <f>IF(F47="",0,('wgl tot'!BX47*tabellen!$C$67))</f>
        <v>0</v>
      </c>
      <c r="AV47" s="299">
        <f>+'wgl tot'!AK47/12</f>
        <v>0</v>
      </c>
      <c r="AW47" s="618">
        <v>0</v>
      </c>
      <c r="AX47" s="299">
        <f t="shared" si="3"/>
        <v>0</v>
      </c>
      <c r="AY47" s="294">
        <f t="shared" si="4"/>
        <v>0</v>
      </c>
      <c r="AZ47" s="300">
        <f t="shared" si="5"/>
        <v>0</v>
      </c>
      <c r="BA47" s="560"/>
      <c r="BB47" s="301" t="str">
        <f>IF(AY47=0,"",(+'wgl tot'!AY47/'wgl tot'!Q47-1))</f>
        <v/>
      </c>
      <c r="BC47" s="560"/>
      <c r="BD47" s="542"/>
      <c r="BF47" s="649">
        <f ca="1">YEAR('wgl tot'!$BF$10)-YEAR('wgl tot'!E47)</f>
        <v>113</v>
      </c>
      <c r="BG47" s="650">
        <f ca="1">MONTH('wgl tot'!$BF$10)-MONTH('wgl tot'!E47)</f>
        <v>11</v>
      </c>
      <c r="BH47" s="650">
        <f ca="1">DAY('wgl tot'!$BF$10)-DAY('wgl tot'!E47)</f>
        <v>1</v>
      </c>
      <c r="BI47" s="635">
        <f>IF(AND('wgl tot'!F47&gt;0,'wgl tot'!F47&lt;16),0,100)</f>
        <v>100</v>
      </c>
      <c r="BJ47" s="635" t="e">
        <f>VLOOKUP('wgl tot'!F47,salaristabellen,22,FALSE)</f>
        <v>#N/A</v>
      </c>
      <c r="BK47" s="635">
        <f t="shared" si="14"/>
        <v>0</v>
      </c>
      <c r="BL47" s="651">
        <f t="shared" si="8"/>
        <v>41275</v>
      </c>
      <c r="BM47" s="652">
        <f t="shared" si="9"/>
        <v>0.08</v>
      </c>
      <c r="BN47" s="653">
        <f>+tabellen!$D$88</f>
        <v>6.3E-2</v>
      </c>
      <c r="BO47" s="650">
        <f>IF('wgl tot'!BI47=100,0,'wgl tot'!F47)</f>
        <v>0</v>
      </c>
      <c r="BP47" s="653" t="str">
        <f>IF(OR('wgl tot'!F47="DA",'wgl tot'!F47="DB",'wgl tot'!F47="DBuit",'wgl tot'!F47="DC",'wgl tot'!F47="DCuit",MID('wgl tot'!F47,1,5)="meerh"),"j","n")</f>
        <v>n</v>
      </c>
      <c r="BQ47" s="653">
        <f t="shared" si="10"/>
        <v>1.9E-2</v>
      </c>
      <c r="BR47" s="654">
        <f>IF(AI47&gt;'wgl tot'!AH47,'wgl tot'!AH47,AI47)</f>
        <v>0</v>
      </c>
      <c r="BS47" s="654"/>
      <c r="BT47" s="655" t="e">
        <f>IF('wgl tot'!AJ47/'wgl tot'!H47&lt;tabellen!$E$54,0,(+'wgl tot'!AJ47-tabellen!$E$54*'wgl tot'!H47)/12*tabellen!$D$54)</f>
        <v>#DIV/0!</v>
      </c>
      <c r="BU47" s="655" t="e">
        <f>IF('wgl tot'!AJ47/'wgl tot'!H47&lt;tabellen!$E$55,0,(+'wgl tot'!AJ47-tabellen!$E$55*'wgl tot'!H47)/12*tabellen!$D$55)</f>
        <v>#DIV/0!</v>
      </c>
      <c r="BV47" s="655">
        <f>'wgl tot'!AJ47/12*tabellen!$D$56</f>
        <v>0</v>
      </c>
      <c r="BW47" s="656" t="e">
        <f t="shared" si="13"/>
        <v>#DIV/0!</v>
      </c>
      <c r="BX47" s="657" t="e">
        <f>+('wgl tot'!AF47+'wgl tot'!AK47)/12-'wgl tot'!BW47</f>
        <v>#DIV/0!</v>
      </c>
      <c r="BY47" s="657" t="e">
        <f>ROUND(IF('wgl tot'!BX47&gt;tabellen!$H$61,tabellen!$H$61,'wgl tot'!BX47)*tabellen!$C$61,2)</f>
        <v>#DIV/0!</v>
      </c>
      <c r="BZ47" s="646" t="e">
        <f>+'wgl tot'!BX47</f>
        <v>#DIV/0!</v>
      </c>
      <c r="CA47" s="654"/>
      <c r="CB47" s="635">
        <f>IF(AND(M47="j",tabellen!$C$118&gt;=E47),1,0)</f>
        <v>0</v>
      </c>
      <c r="CC47" s="647" t="str">
        <f t="shared" si="6"/>
        <v/>
      </c>
      <c r="CD47" s="648" t="str">
        <f t="shared" si="7"/>
        <v/>
      </c>
      <c r="CE47" s="286"/>
      <c r="CF47" s="286"/>
      <c r="CG47" s="286"/>
      <c r="CH47" s="286"/>
      <c r="CI47" s="286"/>
      <c r="CJ47" s="286"/>
    </row>
    <row r="48" spans="2:88" ht="13.5" customHeight="1" x14ac:dyDescent="0.2">
      <c r="B48" s="541"/>
      <c r="C48" s="560"/>
      <c r="D48" s="289"/>
      <c r="E48" s="290"/>
      <c r="F48" s="291"/>
      <c r="G48" s="291"/>
      <c r="H48" s="293"/>
      <c r="I48" s="291"/>
      <c r="J48" s="291"/>
      <c r="K48" s="291"/>
      <c r="L48" s="291"/>
      <c r="M48" s="291"/>
      <c r="N48" s="295"/>
      <c r="O48" s="560"/>
      <c r="P48" s="292">
        <f>IF(F48="",0,(VLOOKUP('wgl tot'!F48,salaristabellen,'wgl tot'!G48+1,FALSE)))</f>
        <v>0</v>
      </c>
      <c r="Q48" s="294">
        <f>+'wgl tot'!P48*'wgl tot'!H48</f>
        <v>0</v>
      </c>
      <c r="R48" s="560"/>
      <c r="S48" s="296">
        <f>ROUND(IF(I48="j",VLOOKUP(BK48,uitlooptoeslag,2,FALSE))*IF('wgl tot'!H48&gt;1,1,'wgl tot'!H48),2)</f>
        <v>0</v>
      </c>
      <c r="T48" s="296">
        <f>ROUND(IF(OR('wgl tot'!F48="LA",'wgl tot'!F48="LB"),IF(J48="j",tabellen!$C$75*'wgl tot'!H48,0),0),2)</f>
        <v>0</v>
      </c>
      <c r="U48" s="296">
        <f>ROUND(IF(('wgl tot'!Q48+'wgl tot'!S48+'wgl tot'!T48)*BM48&lt;'wgl tot'!H48*tabellen!$D$87,'wgl tot'!H48*tabellen!$D$87,('wgl tot'!Q48+'wgl tot'!S48+'wgl tot'!T48)*BM48),2)</f>
        <v>0</v>
      </c>
      <c r="V48" s="296">
        <f>ROUND(+('wgl tot'!Q48+'wgl tot'!S48+'wgl tot'!T48)*BN48,2)</f>
        <v>0</v>
      </c>
      <c r="W48" s="296">
        <f>+tabellen!$C$83*'wgl tot'!H48</f>
        <v>0</v>
      </c>
      <c r="X48" s="296">
        <f>VLOOKUP(BO48,eindejaarsuitkering_OOP,2,TRUE)*'wgl tot'!H48/12</f>
        <v>0</v>
      </c>
      <c r="Y48" s="296">
        <f>ROUND(IF(BP48="j",tabellen!$D$96*IF('wgl tot'!H48&gt;1,1,'wgl tot'!H48),0),2)</f>
        <v>0</v>
      </c>
      <c r="Z48" s="297">
        <f>+'wgl tot'!Q48+S48+T48+U48+V48+W48+X48+Y48</f>
        <v>0</v>
      </c>
      <c r="AA48" s="562"/>
      <c r="AB48" s="563"/>
      <c r="AC48" s="292">
        <f>+'wgl tot'!Z48*12</f>
        <v>0</v>
      </c>
      <c r="AD48" s="296">
        <f>ROUND(IF(L48="j",VLOOKUP(K48,bindingstoelage,2,FALSE))*IF('wgl tot'!H48&gt;1,1,'wgl tot'!H48),2)</f>
        <v>0</v>
      </c>
      <c r="AE48" s="296">
        <f>ROUND('wgl tot'!H48*tabellen!$D$94,2)</f>
        <v>0</v>
      </c>
      <c r="AF48" s="292">
        <f t="shared" si="12"/>
        <v>0</v>
      </c>
      <c r="AG48" s="560"/>
      <c r="AH48" s="296">
        <f>+('wgl tot'!AF48/(1+1.9%))*BQ48</f>
        <v>0</v>
      </c>
      <c r="AI48" s="296">
        <f t="shared" si="11"/>
        <v>0</v>
      </c>
      <c r="AJ48" s="292">
        <f>ROUND('wgl tot'!AF48-IF('wgl tot'!AI48&gt;'wgl tot'!AH48,'wgl tot'!AH48,'wgl tot'!AI48),0)</f>
        <v>0</v>
      </c>
      <c r="AK48" s="298">
        <f>IF('wgl tot'!E48&lt;1950,0,+('wgl tot'!Q48+'wgl tot'!S48+'wgl tot'!T48)*tabellen!$C$85)*12</f>
        <v>0</v>
      </c>
      <c r="AL48" s="560"/>
      <c r="AM48" s="296">
        <f>+'wgl tot'!AF48/12</f>
        <v>0</v>
      </c>
      <c r="AN48" s="296">
        <f>IF(F48="",0,(IF('wgl tot'!AJ48/'wgl tot'!H48&lt;tabellen!$E$54,0,('wgl tot'!AJ48-tabellen!$E$54*'wgl tot'!H48)/12)*tabellen!$C$54))</f>
        <v>0</v>
      </c>
      <c r="AO48" s="296">
        <f>IF(F48="",0,(IF('wgl tot'!AJ48/'wgl tot'!H48&lt;tabellen!$E$55,0,(+'wgl tot'!AJ48-tabellen!$E$55*'wgl tot'!H48)/12)*tabellen!$C$55))</f>
        <v>0</v>
      </c>
      <c r="AP48" s="296">
        <f>'wgl tot'!AJ48/12*tabellen!$C$56</f>
        <v>0</v>
      </c>
      <c r="AQ48" s="296">
        <f>IF(F48="",0,IF(CD48=0,IF(CB48=0,IF('wgl tot'!BX48&gt;tabellen!$G$57/12,tabellen!$G$57/12,'wgl tot'!BX48)*(tabellen!$C$57+tabellen!$C$58+tabellen!$C$59),IF('wgl tot'!BX48&gt;tabellen!$G$57/12,tabellen!$G$57/12,'wgl tot'!BX48)*(tabellen!$C$58+tabellen!$C$59)),IF('wgl tot'!BX48&gt;tabellen!$G$57/12,tabellen!$G$57/12,'wgl tot'!BX48)*(tabellen!$C$57+tabellen!$C$58+tabellen!$C$59)))</f>
        <v>0</v>
      </c>
      <c r="AR48" s="296">
        <f>IF(F48="",0,('wgl tot'!BY48))</f>
        <v>0</v>
      </c>
      <c r="AS48" s="299">
        <f>IF(F48="",0,(IF('wgl tot'!BX48&gt;tabellen!$G$62*'wgl tot'!H48/12,tabellen!$G$62*'wgl tot'!H48/12,'wgl tot'!BX48)*tabellen!$C$62))</f>
        <v>0</v>
      </c>
      <c r="AT48" s="299">
        <f>IF(F48="",0,('wgl tot'!BX48*IF(N48=1,tabellen!$C$63,IF(N48=2,tabellen!C99,IF(N48=3,tabellen!$C$65,tabellen!$C$66)))))</f>
        <v>0</v>
      </c>
      <c r="AU48" s="299">
        <f>IF(F48="",0,('wgl tot'!BX48*tabellen!$C$67))</f>
        <v>0</v>
      </c>
      <c r="AV48" s="299">
        <f>+'wgl tot'!AK48/12</f>
        <v>0</v>
      </c>
      <c r="AW48" s="618">
        <v>0</v>
      </c>
      <c r="AX48" s="299">
        <f t="shared" si="3"/>
        <v>0</v>
      </c>
      <c r="AY48" s="294">
        <f t="shared" si="4"/>
        <v>0</v>
      </c>
      <c r="AZ48" s="300">
        <f t="shared" si="5"/>
        <v>0</v>
      </c>
      <c r="BA48" s="560"/>
      <c r="BB48" s="301" t="str">
        <f>IF(AY48=0,"",(+'wgl tot'!AY48/'wgl tot'!Q48-1))</f>
        <v/>
      </c>
      <c r="BC48" s="560"/>
      <c r="BD48" s="542"/>
      <c r="BF48" s="649">
        <f ca="1">YEAR('wgl tot'!$BF$10)-YEAR('wgl tot'!E48)</f>
        <v>113</v>
      </c>
      <c r="BG48" s="650">
        <f ca="1">MONTH('wgl tot'!$BF$10)-MONTH('wgl tot'!E48)</f>
        <v>11</v>
      </c>
      <c r="BH48" s="650">
        <f ca="1">DAY('wgl tot'!$BF$10)-DAY('wgl tot'!E48)</f>
        <v>1</v>
      </c>
      <c r="BI48" s="635">
        <f>IF(AND('wgl tot'!F48&gt;0,'wgl tot'!F48&lt;16),0,100)</f>
        <v>100</v>
      </c>
      <c r="BJ48" s="635" t="e">
        <f>VLOOKUP('wgl tot'!F48,salaristabellen,22,FALSE)</f>
        <v>#N/A</v>
      </c>
      <c r="BK48" s="635">
        <f t="shared" si="14"/>
        <v>0</v>
      </c>
      <c r="BL48" s="651">
        <f t="shared" si="8"/>
        <v>41275</v>
      </c>
      <c r="BM48" s="652">
        <f t="shared" si="9"/>
        <v>0.08</v>
      </c>
      <c r="BN48" s="653">
        <f>+tabellen!$D$88</f>
        <v>6.3E-2</v>
      </c>
      <c r="BO48" s="650">
        <f>IF('wgl tot'!BI48=100,0,'wgl tot'!F48)</f>
        <v>0</v>
      </c>
      <c r="BP48" s="653" t="str">
        <f>IF(OR('wgl tot'!F48="DA",'wgl tot'!F48="DB",'wgl tot'!F48="DBuit",'wgl tot'!F48="DC",'wgl tot'!F48="DCuit",MID('wgl tot'!F48,1,5)="meerh"),"j","n")</f>
        <v>n</v>
      </c>
      <c r="BQ48" s="653">
        <f t="shared" si="10"/>
        <v>1.9E-2</v>
      </c>
      <c r="BR48" s="654">
        <f>IF(AI48&gt;'wgl tot'!AH48,'wgl tot'!AH48,AI48)</f>
        <v>0</v>
      </c>
      <c r="BS48" s="654"/>
      <c r="BT48" s="655" t="e">
        <f>IF('wgl tot'!AJ48/'wgl tot'!H48&lt;tabellen!$E$54,0,(+'wgl tot'!AJ48-tabellen!$E$54*'wgl tot'!H48)/12*tabellen!$D$54)</f>
        <v>#DIV/0!</v>
      </c>
      <c r="BU48" s="655" t="e">
        <f>IF('wgl tot'!AJ48/'wgl tot'!H48&lt;tabellen!$E$55,0,(+'wgl tot'!AJ48-tabellen!$E$55*'wgl tot'!H48)/12*tabellen!$D$55)</f>
        <v>#DIV/0!</v>
      </c>
      <c r="BV48" s="655">
        <f>'wgl tot'!AJ48/12*tabellen!$D$56</f>
        <v>0</v>
      </c>
      <c r="BW48" s="656" t="e">
        <f t="shared" si="13"/>
        <v>#DIV/0!</v>
      </c>
      <c r="BX48" s="657" t="e">
        <f>+('wgl tot'!AF48+'wgl tot'!AK48)/12-'wgl tot'!BW48</f>
        <v>#DIV/0!</v>
      </c>
      <c r="BY48" s="657" t="e">
        <f>ROUND(IF('wgl tot'!BX48&gt;tabellen!$H$61,tabellen!$H$61,'wgl tot'!BX48)*tabellen!$C$61,2)</f>
        <v>#DIV/0!</v>
      </c>
      <c r="BZ48" s="646" t="e">
        <f>+'wgl tot'!BX48</f>
        <v>#DIV/0!</v>
      </c>
      <c r="CA48" s="654"/>
      <c r="CB48" s="635">
        <f>IF(AND(M48="j",tabellen!$C$118&gt;=E48),1,0)</f>
        <v>0</v>
      </c>
      <c r="CC48" s="647" t="str">
        <f t="shared" si="6"/>
        <v/>
      </c>
      <c r="CD48" s="648" t="str">
        <f t="shared" si="7"/>
        <v/>
      </c>
      <c r="CE48" s="286"/>
      <c r="CF48" s="286"/>
      <c r="CG48" s="286"/>
      <c r="CH48" s="286"/>
      <c r="CI48" s="286"/>
      <c r="CJ48" s="286"/>
    </row>
    <row r="49" spans="2:88" ht="13.5" customHeight="1" x14ac:dyDescent="0.2">
      <c r="B49" s="541"/>
      <c r="C49" s="560"/>
      <c r="D49" s="289"/>
      <c r="E49" s="290"/>
      <c r="F49" s="291"/>
      <c r="G49" s="291"/>
      <c r="H49" s="293"/>
      <c r="I49" s="291"/>
      <c r="J49" s="291"/>
      <c r="K49" s="291"/>
      <c r="L49" s="291"/>
      <c r="M49" s="291"/>
      <c r="N49" s="295"/>
      <c r="O49" s="560"/>
      <c r="P49" s="292">
        <f>IF(F49="",0,(VLOOKUP('wgl tot'!F49,salaristabellen,'wgl tot'!G49+1,FALSE)))</f>
        <v>0</v>
      </c>
      <c r="Q49" s="294">
        <f>+'wgl tot'!P49*'wgl tot'!H49</f>
        <v>0</v>
      </c>
      <c r="R49" s="560"/>
      <c r="S49" s="296">
        <f>ROUND(IF(I49="j",VLOOKUP(BK49,uitlooptoeslag,2,FALSE))*IF('wgl tot'!H49&gt;1,1,'wgl tot'!H49),2)</f>
        <v>0</v>
      </c>
      <c r="T49" s="296">
        <f>ROUND(IF(OR('wgl tot'!F49="LA",'wgl tot'!F49="LB"),IF(J49="j",tabellen!$C$75*'wgl tot'!H49,0),0),2)</f>
        <v>0</v>
      </c>
      <c r="U49" s="296">
        <f>ROUND(IF(('wgl tot'!Q49+'wgl tot'!S49+'wgl tot'!T49)*BM49&lt;'wgl tot'!H49*tabellen!$D$87,'wgl tot'!H49*tabellen!$D$87,('wgl tot'!Q49+'wgl tot'!S49+'wgl tot'!T49)*BM49),2)</f>
        <v>0</v>
      </c>
      <c r="V49" s="296">
        <f>ROUND(+('wgl tot'!Q49+'wgl tot'!S49+'wgl tot'!T49)*BN49,2)</f>
        <v>0</v>
      </c>
      <c r="W49" s="296">
        <f>+tabellen!$C$83*'wgl tot'!H49</f>
        <v>0</v>
      </c>
      <c r="X49" s="296">
        <f>VLOOKUP(BO49,eindejaarsuitkering_OOP,2,TRUE)*'wgl tot'!H49/12</f>
        <v>0</v>
      </c>
      <c r="Y49" s="296">
        <f>ROUND(IF(BP49="j",tabellen!$D$96*IF('wgl tot'!H49&gt;1,1,'wgl tot'!H49),0),2)</f>
        <v>0</v>
      </c>
      <c r="Z49" s="297">
        <f>+'wgl tot'!Q49+S49+T49+U49+V49+W49+X49+Y49</f>
        <v>0</v>
      </c>
      <c r="AA49" s="562"/>
      <c r="AB49" s="563"/>
      <c r="AC49" s="292">
        <f>+'wgl tot'!Z49*12</f>
        <v>0</v>
      </c>
      <c r="AD49" s="296">
        <f>ROUND(IF(L49="j",VLOOKUP(K49,bindingstoelage,2,FALSE))*IF('wgl tot'!H49&gt;1,1,'wgl tot'!H49),2)</f>
        <v>0</v>
      </c>
      <c r="AE49" s="296">
        <f>ROUND('wgl tot'!H49*tabellen!$D$94,2)</f>
        <v>0</v>
      </c>
      <c r="AF49" s="292">
        <f t="shared" si="12"/>
        <v>0</v>
      </c>
      <c r="AG49" s="560"/>
      <c r="AH49" s="296">
        <f>+('wgl tot'!AF49/(1+1.9%))*BQ49</f>
        <v>0</v>
      </c>
      <c r="AI49" s="296">
        <f t="shared" si="11"/>
        <v>0</v>
      </c>
      <c r="AJ49" s="292">
        <f>ROUND('wgl tot'!AF49-IF('wgl tot'!AI49&gt;'wgl tot'!AH49,'wgl tot'!AH49,'wgl tot'!AI49),0)</f>
        <v>0</v>
      </c>
      <c r="AK49" s="298">
        <f>IF('wgl tot'!E49&lt;1950,0,+('wgl tot'!Q49+'wgl tot'!S49+'wgl tot'!T49)*tabellen!$C$85)*12</f>
        <v>0</v>
      </c>
      <c r="AL49" s="560"/>
      <c r="AM49" s="296">
        <f>+'wgl tot'!AF49/12</f>
        <v>0</v>
      </c>
      <c r="AN49" s="296">
        <f>IF(F49="",0,(IF('wgl tot'!AJ49/'wgl tot'!H49&lt;tabellen!$E$54,0,('wgl tot'!AJ49-tabellen!$E$54*'wgl tot'!H49)/12)*tabellen!$C$54))</f>
        <v>0</v>
      </c>
      <c r="AO49" s="296">
        <f>IF(F49="",0,(IF('wgl tot'!AJ49/'wgl tot'!H49&lt;tabellen!$E$55,0,(+'wgl tot'!AJ49-tabellen!$E$55*'wgl tot'!H49)/12)*tabellen!$C$55))</f>
        <v>0</v>
      </c>
      <c r="AP49" s="296">
        <f>'wgl tot'!AJ49/12*tabellen!$C$56</f>
        <v>0</v>
      </c>
      <c r="AQ49" s="296">
        <f>IF(F49="",0,IF(CD49=0,IF(CB49=0,IF('wgl tot'!BX49&gt;tabellen!$G$57/12,tabellen!$G$57/12,'wgl tot'!BX49)*(tabellen!$C$57+tabellen!$C$58+tabellen!$C$59),IF('wgl tot'!BX49&gt;tabellen!$G$57/12,tabellen!$G$57/12,'wgl tot'!BX49)*(tabellen!$C$58+tabellen!$C$59)),IF('wgl tot'!BX49&gt;tabellen!$G$57/12,tabellen!$G$57/12,'wgl tot'!BX49)*(tabellen!$C$57+tabellen!$C$58+tabellen!$C$59)))</f>
        <v>0</v>
      </c>
      <c r="AR49" s="296">
        <f>IF(F49="",0,('wgl tot'!BY49))</f>
        <v>0</v>
      </c>
      <c r="AS49" s="299">
        <f>IF(F49="",0,(IF('wgl tot'!BX49&gt;tabellen!$G$62*'wgl tot'!H49/12,tabellen!$G$62*'wgl tot'!H49/12,'wgl tot'!BX49)*tabellen!$C$62))</f>
        <v>0</v>
      </c>
      <c r="AT49" s="299">
        <f>IF(F49="",0,('wgl tot'!BX49*IF(N49=1,tabellen!$C$63,IF(N49=2,tabellen!C100,IF(N49=3,tabellen!$C$65,tabellen!$C$66)))))</f>
        <v>0</v>
      </c>
      <c r="AU49" s="299">
        <f>IF(F49="",0,('wgl tot'!BX49*tabellen!$C$67))</f>
        <v>0</v>
      </c>
      <c r="AV49" s="299">
        <f>+'wgl tot'!AK49/12</f>
        <v>0</v>
      </c>
      <c r="AW49" s="618">
        <v>0</v>
      </c>
      <c r="AX49" s="299">
        <f t="shared" si="3"/>
        <v>0</v>
      </c>
      <c r="AY49" s="294">
        <f t="shared" si="4"/>
        <v>0</v>
      </c>
      <c r="AZ49" s="300">
        <f t="shared" si="5"/>
        <v>0</v>
      </c>
      <c r="BA49" s="560"/>
      <c r="BB49" s="301" t="str">
        <f>IF(AY49=0,"",(+'wgl tot'!AY49/'wgl tot'!Q49-1))</f>
        <v/>
      </c>
      <c r="BC49" s="560"/>
      <c r="BD49" s="542"/>
      <c r="BF49" s="649">
        <f ca="1">YEAR('wgl tot'!$BF$10)-YEAR('wgl tot'!E49)</f>
        <v>113</v>
      </c>
      <c r="BG49" s="650">
        <f ca="1">MONTH('wgl tot'!$BF$10)-MONTH('wgl tot'!E49)</f>
        <v>11</v>
      </c>
      <c r="BH49" s="650">
        <f ca="1">DAY('wgl tot'!$BF$10)-DAY('wgl tot'!E49)</f>
        <v>1</v>
      </c>
      <c r="BI49" s="635">
        <f>IF(AND('wgl tot'!F49&gt;0,'wgl tot'!F49&lt;16),0,100)</f>
        <v>100</v>
      </c>
      <c r="BJ49" s="635" t="e">
        <f>VLOOKUP('wgl tot'!F49,salaristabellen,22,FALSE)</f>
        <v>#N/A</v>
      </c>
      <c r="BK49" s="635">
        <f t="shared" si="14"/>
        <v>0</v>
      </c>
      <c r="BL49" s="651">
        <f t="shared" si="8"/>
        <v>41275</v>
      </c>
      <c r="BM49" s="652">
        <f t="shared" si="9"/>
        <v>0.08</v>
      </c>
      <c r="BN49" s="653">
        <f>+tabellen!$D$88</f>
        <v>6.3E-2</v>
      </c>
      <c r="BO49" s="650">
        <f>IF('wgl tot'!BI49=100,0,'wgl tot'!F49)</f>
        <v>0</v>
      </c>
      <c r="BP49" s="653" t="str">
        <f>IF(OR('wgl tot'!F49="DA",'wgl tot'!F49="DB",'wgl tot'!F49="DBuit",'wgl tot'!F49="DC",'wgl tot'!F49="DCuit",MID('wgl tot'!F49,1,5)="meerh"),"j","n")</f>
        <v>n</v>
      </c>
      <c r="BQ49" s="653">
        <f t="shared" si="10"/>
        <v>1.9E-2</v>
      </c>
      <c r="BR49" s="654">
        <f>IF(AI49&gt;'wgl tot'!AH49,'wgl tot'!AH49,AI49)</f>
        <v>0</v>
      </c>
      <c r="BS49" s="654"/>
      <c r="BT49" s="655" t="e">
        <f>IF('wgl tot'!AJ49/'wgl tot'!H49&lt;tabellen!$E$54,0,(+'wgl tot'!AJ49-tabellen!$E$54*'wgl tot'!H49)/12*tabellen!$D$54)</f>
        <v>#DIV/0!</v>
      </c>
      <c r="BU49" s="655" t="e">
        <f>IF('wgl tot'!AJ49/'wgl tot'!H49&lt;tabellen!$E$55,0,(+'wgl tot'!AJ49-tabellen!$E$55*'wgl tot'!H49)/12*tabellen!$D$55)</f>
        <v>#DIV/0!</v>
      </c>
      <c r="BV49" s="655">
        <f>'wgl tot'!AJ49/12*tabellen!$D$56</f>
        <v>0</v>
      </c>
      <c r="BW49" s="656" t="e">
        <f t="shared" si="13"/>
        <v>#DIV/0!</v>
      </c>
      <c r="BX49" s="657" t="e">
        <f>+('wgl tot'!AF49+'wgl tot'!AK49)/12-'wgl tot'!BW49</f>
        <v>#DIV/0!</v>
      </c>
      <c r="BY49" s="657" t="e">
        <f>ROUND(IF('wgl tot'!BX49&gt;tabellen!$H$61,tabellen!$H$61,'wgl tot'!BX49)*tabellen!$C$61,2)</f>
        <v>#DIV/0!</v>
      </c>
      <c r="BZ49" s="646" t="e">
        <f>+'wgl tot'!BX49</f>
        <v>#DIV/0!</v>
      </c>
      <c r="CA49" s="654"/>
      <c r="CB49" s="635">
        <f>IF(AND(M49="j",tabellen!$C$118&gt;=E49),1,0)</f>
        <v>0</v>
      </c>
      <c r="CC49" s="647" t="str">
        <f t="shared" si="6"/>
        <v/>
      </c>
      <c r="CD49" s="648" t="str">
        <f t="shared" si="7"/>
        <v/>
      </c>
      <c r="CE49" s="286"/>
      <c r="CF49" s="286"/>
      <c r="CG49" s="286"/>
      <c r="CH49" s="286"/>
      <c r="CI49" s="286"/>
      <c r="CJ49" s="286"/>
    </row>
    <row r="50" spans="2:88" ht="13.5" customHeight="1" x14ac:dyDescent="0.2">
      <c r="B50" s="541"/>
      <c r="C50" s="560"/>
      <c r="D50" s="289"/>
      <c r="E50" s="290"/>
      <c r="F50" s="291"/>
      <c r="G50" s="291"/>
      <c r="H50" s="293"/>
      <c r="I50" s="291"/>
      <c r="J50" s="291"/>
      <c r="K50" s="291"/>
      <c r="L50" s="291"/>
      <c r="M50" s="291"/>
      <c r="N50" s="295"/>
      <c r="O50" s="560"/>
      <c r="P50" s="292">
        <f>IF(F50="",0,(VLOOKUP('wgl tot'!F50,salaristabellen,'wgl tot'!G50+1,FALSE)))</f>
        <v>0</v>
      </c>
      <c r="Q50" s="294">
        <f>+'wgl tot'!P50*'wgl tot'!H50</f>
        <v>0</v>
      </c>
      <c r="R50" s="560"/>
      <c r="S50" s="296">
        <f>ROUND(IF(I50="j",VLOOKUP(BK50,uitlooptoeslag,2,FALSE))*IF('wgl tot'!H50&gt;1,1,'wgl tot'!H50),2)</f>
        <v>0</v>
      </c>
      <c r="T50" s="296">
        <f>ROUND(IF(OR('wgl tot'!F50="LA",'wgl tot'!F50="LB"),IF(J50="j",tabellen!$C$75*'wgl tot'!H50,0),0),2)</f>
        <v>0</v>
      </c>
      <c r="U50" s="296">
        <f>ROUND(IF(('wgl tot'!Q50+'wgl tot'!S50+'wgl tot'!T50)*BM50&lt;'wgl tot'!H50*tabellen!$D$87,'wgl tot'!H50*tabellen!$D$87,('wgl tot'!Q50+'wgl tot'!S50+'wgl tot'!T50)*BM50),2)</f>
        <v>0</v>
      </c>
      <c r="V50" s="296">
        <f>ROUND(+('wgl tot'!Q50+'wgl tot'!S50+'wgl tot'!T50)*BN50,2)</f>
        <v>0</v>
      </c>
      <c r="W50" s="296">
        <f>+tabellen!$C$83*'wgl tot'!H50</f>
        <v>0</v>
      </c>
      <c r="X50" s="296">
        <f>VLOOKUP(BO50,eindejaarsuitkering_OOP,2,TRUE)*'wgl tot'!H50/12</f>
        <v>0</v>
      </c>
      <c r="Y50" s="296">
        <f>ROUND(IF(BP50="j",tabellen!$D$96*IF('wgl tot'!H50&gt;1,1,'wgl tot'!H50),0),2)</f>
        <v>0</v>
      </c>
      <c r="Z50" s="297">
        <f>+'wgl tot'!Q50+S50+T50+U50+V50+W50+X50+Y50</f>
        <v>0</v>
      </c>
      <c r="AA50" s="562"/>
      <c r="AB50" s="563"/>
      <c r="AC50" s="292">
        <f>+'wgl tot'!Z50*12</f>
        <v>0</v>
      </c>
      <c r="AD50" s="296">
        <f>ROUND(IF(L50="j",VLOOKUP(K50,bindingstoelage,2,FALSE))*IF('wgl tot'!H50&gt;1,1,'wgl tot'!H50),2)</f>
        <v>0</v>
      </c>
      <c r="AE50" s="296">
        <f>ROUND('wgl tot'!H50*tabellen!$D$94,2)</f>
        <v>0</v>
      </c>
      <c r="AF50" s="292">
        <f t="shared" si="12"/>
        <v>0</v>
      </c>
      <c r="AG50" s="560"/>
      <c r="AH50" s="296">
        <f>+('wgl tot'!AF50/(1+1.9%))*BQ50</f>
        <v>0</v>
      </c>
      <c r="AI50" s="296">
        <f t="shared" si="11"/>
        <v>0</v>
      </c>
      <c r="AJ50" s="292">
        <f>ROUND('wgl tot'!AF50-IF('wgl tot'!AI50&gt;'wgl tot'!AH50,'wgl tot'!AH50,'wgl tot'!AI50),0)</f>
        <v>0</v>
      </c>
      <c r="AK50" s="298">
        <f>IF('wgl tot'!E50&lt;1950,0,+('wgl tot'!Q50+'wgl tot'!S50+'wgl tot'!T50)*tabellen!$C$85)*12</f>
        <v>0</v>
      </c>
      <c r="AL50" s="560"/>
      <c r="AM50" s="296">
        <f>+'wgl tot'!AF50/12</f>
        <v>0</v>
      </c>
      <c r="AN50" s="296">
        <f>IF(F50="",0,(IF('wgl tot'!AJ50/'wgl tot'!H50&lt;tabellen!$E$54,0,('wgl tot'!AJ50-tabellen!$E$54*'wgl tot'!H50)/12)*tabellen!$C$54))</f>
        <v>0</v>
      </c>
      <c r="AO50" s="296">
        <f>IF(F50="",0,(IF('wgl tot'!AJ50/'wgl tot'!H50&lt;tabellen!$E$55,0,(+'wgl tot'!AJ50-tabellen!$E$55*'wgl tot'!H50)/12)*tabellen!$C$55))</f>
        <v>0</v>
      </c>
      <c r="AP50" s="296">
        <f>'wgl tot'!AJ50/12*tabellen!$C$56</f>
        <v>0</v>
      </c>
      <c r="AQ50" s="296">
        <f>IF(F50="",0,IF(CD50=0,IF(CB50=0,IF('wgl tot'!BX50&gt;tabellen!$G$57/12,tabellen!$G$57/12,'wgl tot'!BX50)*(tabellen!$C$57+tabellen!$C$58+tabellen!$C$59),IF('wgl tot'!BX50&gt;tabellen!$G$57/12,tabellen!$G$57/12,'wgl tot'!BX50)*(tabellen!$C$58+tabellen!$C$59)),IF('wgl tot'!BX50&gt;tabellen!$G$57/12,tabellen!$G$57/12,'wgl tot'!BX50)*(tabellen!$C$57+tabellen!$C$58+tabellen!$C$59)))</f>
        <v>0</v>
      </c>
      <c r="AR50" s="296">
        <f>IF(F50="",0,('wgl tot'!BY50))</f>
        <v>0</v>
      </c>
      <c r="AS50" s="299">
        <f>IF(F50="",0,(IF('wgl tot'!BX50&gt;tabellen!$G$62*'wgl tot'!H50/12,tabellen!$G$62*'wgl tot'!H50/12,'wgl tot'!BX50)*tabellen!$C$62))</f>
        <v>0</v>
      </c>
      <c r="AT50" s="299">
        <f>IF(F50="",0,('wgl tot'!BX50*IF(N50=1,tabellen!$C$63,IF(N50=2,tabellen!C101,IF(N50=3,tabellen!$C$65,tabellen!$C$66)))))</f>
        <v>0</v>
      </c>
      <c r="AU50" s="299">
        <f>IF(F50="",0,('wgl tot'!BX50*tabellen!$C$67))</f>
        <v>0</v>
      </c>
      <c r="AV50" s="299">
        <f>+'wgl tot'!AK50/12</f>
        <v>0</v>
      </c>
      <c r="AW50" s="618">
        <v>0</v>
      </c>
      <c r="AX50" s="299">
        <f t="shared" si="3"/>
        <v>0</v>
      </c>
      <c r="AY50" s="294">
        <f t="shared" si="4"/>
        <v>0</v>
      </c>
      <c r="AZ50" s="300">
        <f t="shared" si="5"/>
        <v>0</v>
      </c>
      <c r="BA50" s="560"/>
      <c r="BB50" s="301" t="str">
        <f>IF(AY50=0,"",(+'wgl tot'!AY50/'wgl tot'!Q50-1))</f>
        <v/>
      </c>
      <c r="BC50" s="560"/>
      <c r="BD50" s="542"/>
      <c r="BF50" s="649">
        <f ca="1">YEAR('wgl tot'!$BF$10)-YEAR('wgl tot'!E50)</f>
        <v>113</v>
      </c>
      <c r="BG50" s="650">
        <f ca="1">MONTH('wgl tot'!$BF$10)-MONTH('wgl tot'!E50)</f>
        <v>11</v>
      </c>
      <c r="BH50" s="650">
        <f ca="1">DAY('wgl tot'!$BF$10)-DAY('wgl tot'!E50)</f>
        <v>1</v>
      </c>
      <c r="BI50" s="635">
        <f>IF(AND('wgl tot'!F50&gt;0,'wgl tot'!F50&lt;16),0,100)</f>
        <v>100</v>
      </c>
      <c r="BJ50" s="635" t="e">
        <f>VLOOKUP('wgl tot'!F50,salaristabellen,22,FALSE)</f>
        <v>#N/A</v>
      </c>
      <c r="BK50" s="635">
        <f t="shared" si="14"/>
        <v>0</v>
      </c>
      <c r="BL50" s="651">
        <f t="shared" si="8"/>
        <v>41275</v>
      </c>
      <c r="BM50" s="652">
        <f t="shared" si="9"/>
        <v>0.08</v>
      </c>
      <c r="BN50" s="653">
        <f>+tabellen!$D$88</f>
        <v>6.3E-2</v>
      </c>
      <c r="BO50" s="650">
        <f>IF('wgl tot'!BI50=100,0,'wgl tot'!F50)</f>
        <v>0</v>
      </c>
      <c r="BP50" s="653" t="str">
        <f>IF(OR('wgl tot'!F50="DA",'wgl tot'!F50="DB",'wgl tot'!F50="DBuit",'wgl tot'!F50="DC",'wgl tot'!F50="DCuit",MID('wgl tot'!F50,1,5)="meerh"),"j","n")</f>
        <v>n</v>
      </c>
      <c r="BQ50" s="653">
        <f t="shared" si="10"/>
        <v>1.9E-2</v>
      </c>
      <c r="BR50" s="654">
        <f>IF(AI50&gt;'wgl tot'!AH50,'wgl tot'!AH50,AI50)</f>
        <v>0</v>
      </c>
      <c r="BS50" s="654"/>
      <c r="BT50" s="655" t="e">
        <f>IF('wgl tot'!AJ50/'wgl tot'!H50&lt;tabellen!$E$54,0,(+'wgl tot'!AJ50-tabellen!$E$54*'wgl tot'!H50)/12*tabellen!$D$54)</f>
        <v>#DIV/0!</v>
      </c>
      <c r="BU50" s="655" t="e">
        <f>IF('wgl tot'!AJ50/'wgl tot'!H50&lt;tabellen!$E$55,0,(+'wgl tot'!AJ50-tabellen!$E$55*'wgl tot'!H50)/12*tabellen!$D$55)</f>
        <v>#DIV/0!</v>
      </c>
      <c r="BV50" s="655">
        <f>'wgl tot'!AJ50/12*tabellen!$D$56</f>
        <v>0</v>
      </c>
      <c r="BW50" s="656" t="e">
        <f t="shared" si="13"/>
        <v>#DIV/0!</v>
      </c>
      <c r="BX50" s="657" t="e">
        <f>+('wgl tot'!AF50+'wgl tot'!AK50)/12-'wgl tot'!BW50</f>
        <v>#DIV/0!</v>
      </c>
      <c r="BY50" s="657" t="e">
        <f>ROUND(IF('wgl tot'!BX50&gt;tabellen!$H$61,tabellen!$H$61,'wgl tot'!BX50)*tabellen!$C$61,2)</f>
        <v>#DIV/0!</v>
      </c>
      <c r="BZ50" s="646" t="e">
        <f>+'wgl tot'!BX50</f>
        <v>#DIV/0!</v>
      </c>
      <c r="CA50" s="654"/>
      <c r="CB50" s="635">
        <f>IF(AND(M50="j",tabellen!$C$118&gt;=E50),1,0)</f>
        <v>0</v>
      </c>
      <c r="CC50" s="647" t="str">
        <f t="shared" si="6"/>
        <v/>
      </c>
      <c r="CD50" s="648" t="str">
        <f t="shared" si="7"/>
        <v/>
      </c>
      <c r="CE50" s="286"/>
      <c r="CF50" s="286"/>
      <c r="CG50" s="286"/>
      <c r="CH50" s="286"/>
      <c r="CI50" s="286"/>
      <c r="CJ50" s="286"/>
    </row>
    <row r="51" spans="2:88" ht="13.5" customHeight="1" x14ac:dyDescent="0.2">
      <c r="B51" s="541"/>
      <c r="C51" s="560"/>
      <c r="D51" s="289"/>
      <c r="E51" s="290"/>
      <c r="F51" s="291"/>
      <c r="G51" s="291"/>
      <c r="H51" s="293"/>
      <c r="I51" s="291"/>
      <c r="J51" s="291"/>
      <c r="K51" s="291"/>
      <c r="L51" s="291"/>
      <c r="M51" s="291"/>
      <c r="N51" s="295"/>
      <c r="O51" s="560"/>
      <c r="P51" s="292">
        <f>IF(F51="",0,(VLOOKUP('wgl tot'!F51,salaristabellen,'wgl tot'!G51+1,FALSE)))</f>
        <v>0</v>
      </c>
      <c r="Q51" s="294">
        <f>+'wgl tot'!P51*'wgl tot'!H51</f>
        <v>0</v>
      </c>
      <c r="R51" s="560"/>
      <c r="S51" s="296">
        <f>ROUND(IF(I51="j",VLOOKUP(BK51,uitlooptoeslag,2,FALSE))*IF('wgl tot'!H51&gt;1,1,'wgl tot'!H51),2)</f>
        <v>0</v>
      </c>
      <c r="T51" s="296">
        <f>ROUND(IF(OR('wgl tot'!F51="LA",'wgl tot'!F51="LB"),IF(J51="j",tabellen!$C$75*'wgl tot'!H51,0),0),2)</f>
        <v>0</v>
      </c>
      <c r="U51" s="296">
        <f>ROUND(IF(('wgl tot'!Q51+'wgl tot'!S51+'wgl tot'!T51)*BM51&lt;'wgl tot'!H51*tabellen!$D$87,'wgl tot'!H51*tabellen!$D$87,('wgl tot'!Q51+'wgl tot'!S51+'wgl tot'!T51)*BM51),2)</f>
        <v>0</v>
      </c>
      <c r="V51" s="296">
        <f>ROUND(+('wgl tot'!Q51+'wgl tot'!S51+'wgl tot'!T51)*BN51,2)</f>
        <v>0</v>
      </c>
      <c r="W51" s="296">
        <f>+tabellen!$C$83*'wgl tot'!H51</f>
        <v>0</v>
      </c>
      <c r="X51" s="296">
        <f>VLOOKUP(BO51,eindejaarsuitkering_OOP,2,TRUE)*'wgl tot'!H51/12</f>
        <v>0</v>
      </c>
      <c r="Y51" s="296">
        <f>ROUND(IF(BP51="j",tabellen!$D$96*IF('wgl tot'!H51&gt;1,1,'wgl tot'!H51),0),2)</f>
        <v>0</v>
      </c>
      <c r="Z51" s="297">
        <f>+'wgl tot'!Q51+S51+T51+U51+V51+W51+X51+Y51</f>
        <v>0</v>
      </c>
      <c r="AA51" s="562"/>
      <c r="AB51" s="563"/>
      <c r="AC51" s="292">
        <f>+'wgl tot'!Z51*12</f>
        <v>0</v>
      </c>
      <c r="AD51" s="296">
        <f>ROUND(IF(L51="j",VLOOKUP(K51,bindingstoelage,2,FALSE))*IF('wgl tot'!H51&gt;1,1,'wgl tot'!H51),2)</f>
        <v>0</v>
      </c>
      <c r="AE51" s="296">
        <f>ROUND('wgl tot'!H51*tabellen!$D$94,2)</f>
        <v>0</v>
      </c>
      <c r="AF51" s="292">
        <f t="shared" si="12"/>
        <v>0</v>
      </c>
      <c r="AG51" s="560"/>
      <c r="AH51" s="296">
        <f>+('wgl tot'!AF51/(1+1.9%))*BQ51</f>
        <v>0</v>
      </c>
      <c r="AI51" s="296">
        <f t="shared" si="11"/>
        <v>0</v>
      </c>
      <c r="AJ51" s="292">
        <f>ROUND('wgl tot'!AF51-IF('wgl tot'!AI51&gt;'wgl tot'!AH51,'wgl tot'!AH51,'wgl tot'!AI51),0)</f>
        <v>0</v>
      </c>
      <c r="AK51" s="298">
        <f>IF('wgl tot'!E51&lt;1950,0,+('wgl tot'!Q51+'wgl tot'!S51+'wgl tot'!T51)*tabellen!$C$85)*12</f>
        <v>0</v>
      </c>
      <c r="AL51" s="560"/>
      <c r="AM51" s="296">
        <f>+'wgl tot'!AF51/12</f>
        <v>0</v>
      </c>
      <c r="AN51" s="296">
        <f>IF(F51="",0,(IF('wgl tot'!AJ51/'wgl tot'!H51&lt;tabellen!$E$54,0,('wgl tot'!AJ51-tabellen!$E$54*'wgl tot'!H51)/12)*tabellen!$C$54))</f>
        <v>0</v>
      </c>
      <c r="AO51" s="296">
        <f>IF(F51="",0,(IF('wgl tot'!AJ51/'wgl tot'!H51&lt;tabellen!$E$55,0,(+'wgl tot'!AJ51-tabellen!$E$55*'wgl tot'!H51)/12)*tabellen!$C$55))</f>
        <v>0</v>
      </c>
      <c r="AP51" s="296">
        <f>'wgl tot'!AJ51/12*tabellen!$C$56</f>
        <v>0</v>
      </c>
      <c r="AQ51" s="296">
        <f>IF(F51="",0,IF(CD51=0,IF(CB51=0,IF('wgl tot'!BX51&gt;tabellen!$G$57/12,tabellen!$G$57/12,'wgl tot'!BX51)*(tabellen!$C$57+tabellen!$C$58+tabellen!$C$59),IF('wgl tot'!BX51&gt;tabellen!$G$57/12,tabellen!$G$57/12,'wgl tot'!BX51)*(tabellen!$C$58+tabellen!$C$59)),IF('wgl tot'!BX51&gt;tabellen!$G$57/12,tabellen!$G$57/12,'wgl tot'!BX51)*(tabellen!$C$57+tabellen!$C$58+tabellen!$C$59)))</f>
        <v>0</v>
      </c>
      <c r="AR51" s="296">
        <f>IF(F51="",0,('wgl tot'!BY51))</f>
        <v>0</v>
      </c>
      <c r="AS51" s="299">
        <f>IF(F51="",0,(IF('wgl tot'!BX51&gt;tabellen!$G$62*'wgl tot'!H51/12,tabellen!$G$62*'wgl tot'!H51/12,'wgl tot'!BX51)*tabellen!$C$62))</f>
        <v>0</v>
      </c>
      <c r="AT51" s="299">
        <f>IF(F51="",0,('wgl tot'!BX51*IF(N51=1,tabellen!$C$63,IF(N51=2,tabellen!C102,IF(N51=3,tabellen!$C$65,tabellen!$C$66)))))</f>
        <v>0</v>
      </c>
      <c r="AU51" s="299">
        <f>IF(F51="",0,('wgl tot'!BX51*tabellen!$C$67))</f>
        <v>0</v>
      </c>
      <c r="AV51" s="299">
        <f>+'wgl tot'!AK51/12</f>
        <v>0</v>
      </c>
      <c r="AW51" s="618">
        <v>0</v>
      </c>
      <c r="AX51" s="299">
        <f t="shared" si="3"/>
        <v>0</v>
      </c>
      <c r="AY51" s="294">
        <f t="shared" si="4"/>
        <v>0</v>
      </c>
      <c r="AZ51" s="300">
        <f t="shared" si="5"/>
        <v>0</v>
      </c>
      <c r="BA51" s="560"/>
      <c r="BB51" s="301" t="str">
        <f>IF(AY51=0,"",(+'wgl tot'!AY51/'wgl tot'!Q51-1))</f>
        <v/>
      </c>
      <c r="BC51" s="560"/>
      <c r="BD51" s="542"/>
      <c r="BF51" s="649">
        <f ca="1">YEAR('wgl tot'!$BF$10)-YEAR('wgl tot'!E51)</f>
        <v>113</v>
      </c>
      <c r="BG51" s="650">
        <f ca="1">MONTH('wgl tot'!$BF$10)-MONTH('wgl tot'!E51)</f>
        <v>11</v>
      </c>
      <c r="BH51" s="650">
        <f ca="1">DAY('wgl tot'!$BF$10)-DAY('wgl tot'!E51)</f>
        <v>1</v>
      </c>
      <c r="BI51" s="635">
        <f>IF(AND('wgl tot'!F51&gt;0,'wgl tot'!F51&lt;16),0,100)</f>
        <v>100</v>
      </c>
      <c r="BJ51" s="635" t="e">
        <f>VLOOKUP('wgl tot'!F51,salaristabellen,22,FALSE)</f>
        <v>#N/A</v>
      </c>
      <c r="BK51" s="635">
        <f t="shared" si="14"/>
        <v>0</v>
      </c>
      <c r="BL51" s="651">
        <f t="shared" si="8"/>
        <v>41275</v>
      </c>
      <c r="BM51" s="652">
        <f t="shared" si="9"/>
        <v>0.08</v>
      </c>
      <c r="BN51" s="653">
        <f>+tabellen!$D$88</f>
        <v>6.3E-2</v>
      </c>
      <c r="BO51" s="650">
        <f>IF('wgl tot'!BI51=100,0,'wgl tot'!F51)</f>
        <v>0</v>
      </c>
      <c r="BP51" s="653" t="str">
        <f>IF(OR('wgl tot'!F51="DA",'wgl tot'!F51="DB",'wgl tot'!F51="DBuit",'wgl tot'!F51="DC",'wgl tot'!F51="DCuit",MID('wgl tot'!F51,1,5)="meerh"),"j","n")</f>
        <v>n</v>
      </c>
      <c r="BQ51" s="653">
        <f t="shared" si="10"/>
        <v>1.9E-2</v>
      </c>
      <c r="BR51" s="654">
        <f>IF(AI51&gt;'wgl tot'!AH51,'wgl tot'!AH51,AI51)</f>
        <v>0</v>
      </c>
      <c r="BS51" s="654"/>
      <c r="BT51" s="655" t="e">
        <f>IF('wgl tot'!AJ51/'wgl tot'!H51&lt;tabellen!$E$54,0,(+'wgl tot'!AJ51-tabellen!$E$54*'wgl tot'!H51)/12*tabellen!$D$54)</f>
        <v>#DIV/0!</v>
      </c>
      <c r="BU51" s="655" t="e">
        <f>IF('wgl tot'!AJ51/'wgl tot'!H51&lt;tabellen!$E$55,0,(+'wgl tot'!AJ51-tabellen!$E$55*'wgl tot'!H51)/12*tabellen!$D$55)</f>
        <v>#DIV/0!</v>
      </c>
      <c r="BV51" s="655">
        <f>'wgl tot'!AJ51/12*tabellen!$D$56</f>
        <v>0</v>
      </c>
      <c r="BW51" s="656" t="e">
        <f t="shared" si="13"/>
        <v>#DIV/0!</v>
      </c>
      <c r="BX51" s="657" t="e">
        <f>+('wgl tot'!AF51+'wgl tot'!AK51)/12-'wgl tot'!BW51</f>
        <v>#DIV/0!</v>
      </c>
      <c r="BY51" s="657" t="e">
        <f>ROUND(IF('wgl tot'!BX51&gt;tabellen!$H$61,tabellen!$H$61,'wgl tot'!BX51)*tabellen!$C$61,2)</f>
        <v>#DIV/0!</v>
      </c>
      <c r="BZ51" s="646" t="e">
        <f>+'wgl tot'!BX51</f>
        <v>#DIV/0!</v>
      </c>
      <c r="CA51" s="654"/>
      <c r="CB51" s="635">
        <f>IF(AND(M51="j",tabellen!$C$118&gt;=E51),1,0)</f>
        <v>0</v>
      </c>
      <c r="CC51" s="647" t="str">
        <f t="shared" si="6"/>
        <v/>
      </c>
      <c r="CD51" s="648" t="str">
        <f t="shared" si="7"/>
        <v/>
      </c>
      <c r="CE51" s="286"/>
      <c r="CF51" s="286"/>
      <c r="CG51" s="286"/>
      <c r="CH51" s="286"/>
      <c r="CI51" s="286"/>
      <c r="CJ51" s="286"/>
    </row>
    <row r="52" spans="2:88" ht="13.5" customHeight="1" x14ac:dyDescent="0.2">
      <c r="B52" s="541"/>
      <c r="C52" s="560"/>
      <c r="D52" s="289"/>
      <c r="E52" s="290"/>
      <c r="F52" s="291"/>
      <c r="G52" s="291"/>
      <c r="H52" s="293"/>
      <c r="I52" s="291"/>
      <c r="J52" s="291"/>
      <c r="K52" s="291"/>
      <c r="L52" s="291"/>
      <c r="M52" s="291"/>
      <c r="N52" s="295"/>
      <c r="O52" s="560"/>
      <c r="P52" s="292">
        <f>IF(F52="",0,(VLOOKUP('wgl tot'!F52,salaristabellen,'wgl tot'!G52+1,FALSE)))</f>
        <v>0</v>
      </c>
      <c r="Q52" s="294">
        <f>+'wgl tot'!P52*'wgl tot'!H52</f>
        <v>0</v>
      </c>
      <c r="R52" s="560"/>
      <c r="S52" s="296">
        <f>ROUND(IF(I52="j",VLOOKUP(BK52,uitlooptoeslag,2,FALSE))*IF('wgl tot'!H52&gt;1,1,'wgl tot'!H52),2)</f>
        <v>0</v>
      </c>
      <c r="T52" s="296">
        <f>ROUND(IF(OR('wgl tot'!F52="LA",'wgl tot'!F52="LB"),IF(J52="j",tabellen!$C$75*'wgl tot'!H52,0),0),2)</f>
        <v>0</v>
      </c>
      <c r="U52" s="296">
        <f>ROUND(IF(('wgl tot'!Q52+'wgl tot'!S52+'wgl tot'!T52)*BM52&lt;'wgl tot'!H52*tabellen!$D$87,'wgl tot'!H52*tabellen!$D$87,('wgl tot'!Q52+'wgl tot'!S52+'wgl tot'!T52)*BM52),2)</f>
        <v>0</v>
      </c>
      <c r="V52" s="296">
        <f>ROUND(+('wgl tot'!Q52+'wgl tot'!S52+'wgl tot'!T52)*BN52,2)</f>
        <v>0</v>
      </c>
      <c r="W52" s="296">
        <f>+tabellen!$C$83*'wgl tot'!H52</f>
        <v>0</v>
      </c>
      <c r="X52" s="296">
        <f>VLOOKUP(BO52,eindejaarsuitkering_OOP,2,TRUE)*'wgl tot'!H52/12</f>
        <v>0</v>
      </c>
      <c r="Y52" s="296">
        <f>ROUND(IF(BP52="j",tabellen!$D$96*IF('wgl tot'!H52&gt;1,1,'wgl tot'!H52),0),2)</f>
        <v>0</v>
      </c>
      <c r="Z52" s="297">
        <f>+'wgl tot'!Q52+S52+T52+U52+V52+W52+X52+Y52</f>
        <v>0</v>
      </c>
      <c r="AA52" s="562"/>
      <c r="AB52" s="563"/>
      <c r="AC52" s="292">
        <f>+'wgl tot'!Z52*12</f>
        <v>0</v>
      </c>
      <c r="AD52" s="296">
        <f>ROUND(IF(L52="j",VLOOKUP(K52,bindingstoelage,2,FALSE))*IF('wgl tot'!H52&gt;1,1,'wgl tot'!H52),2)</f>
        <v>0</v>
      </c>
      <c r="AE52" s="296">
        <f>ROUND('wgl tot'!H52*tabellen!$D$94,2)</f>
        <v>0</v>
      </c>
      <c r="AF52" s="292">
        <f t="shared" si="12"/>
        <v>0</v>
      </c>
      <c r="AG52" s="560"/>
      <c r="AH52" s="296">
        <f>+('wgl tot'!AF52/(1+1.9%))*BQ52</f>
        <v>0</v>
      </c>
      <c r="AI52" s="296">
        <f t="shared" si="11"/>
        <v>0</v>
      </c>
      <c r="AJ52" s="292">
        <f>ROUND('wgl tot'!AF52-IF('wgl tot'!AI52&gt;'wgl tot'!AH52,'wgl tot'!AH52,'wgl tot'!AI52),0)</f>
        <v>0</v>
      </c>
      <c r="AK52" s="298">
        <f>IF('wgl tot'!E52&lt;1950,0,+('wgl tot'!Q52+'wgl tot'!S52+'wgl tot'!T52)*tabellen!$C$85)*12</f>
        <v>0</v>
      </c>
      <c r="AL52" s="560"/>
      <c r="AM52" s="296">
        <f>+'wgl tot'!AF52/12</f>
        <v>0</v>
      </c>
      <c r="AN52" s="296">
        <f>IF(F52="",0,(IF('wgl tot'!AJ52/'wgl tot'!H52&lt;tabellen!$E$54,0,('wgl tot'!AJ52-tabellen!$E$54*'wgl tot'!H52)/12)*tabellen!$C$54))</f>
        <v>0</v>
      </c>
      <c r="AO52" s="296">
        <f>IF(F52="",0,(IF('wgl tot'!AJ52/'wgl tot'!H52&lt;tabellen!$E$55,0,(+'wgl tot'!AJ52-tabellen!$E$55*'wgl tot'!H52)/12)*tabellen!$C$55))</f>
        <v>0</v>
      </c>
      <c r="AP52" s="296">
        <f>'wgl tot'!AJ52/12*tabellen!$C$56</f>
        <v>0</v>
      </c>
      <c r="AQ52" s="296">
        <f>IF(F52="",0,IF(CD52=0,IF(CB52=0,IF('wgl tot'!BX52&gt;tabellen!$G$57/12,tabellen!$G$57/12,'wgl tot'!BX52)*(tabellen!$C$57+tabellen!$C$58+tabellen!$C$59),IF('wgl tot'!BX52&gt;tabellen!$G$57/12,tabellen!$G$57/12,'wgl tot'!BX52)*(tabellen!$C$58+tabellen!$C$59)),IF('wgl tot'!BX52&gt;tabellen!$G$57/12,tabellen!$G$57/12,'wgl tot'!BX52)*(tabellen!$C$57+tabellen!$C$58+tabellen!$C$59)))</f>
        <v>0</v>
      </c>
      <c r="AR52" s="296">
        <f>IF(F52="",0,('wgl tot'!BY52))</f>
        <v>0</v>
      </c>
      <c r="AS52" s="299">
        <f>IF(F52="",0,(IF('wgl tot'!BX52&gt;tabellen!$G$62*'wgl tot'!H52/12,tabellen!$G$62*'wgl tot'!H52/12,'wgl tot'!BX52)*tabellen!$C$62))</f>
        <v>0</v>
      </c>
      <c r="AT52" s="299">
        <f>IF(F52="",0,('wgl tot'!BX52*IF(N52=1,tabellen!$C$63,IF(N52=2,tabellen!C103,IF(N52=3,tabellen!$C$65,tabellen!$C$66)))))</f>
        <v>0</v>
      </c>
      <c r="AU52" s="299">
        <f>IF(F52="",0,('wgl tot'!BX52*tabellen!$C$67))</f>
        <v>0</v>
      </c>
      <c r="AV52" s="299">
        <f>+'wgl tot'!AK52/12</f>
        <v>0</v>
      </c>
      <c r="AW52" s="618">
        <v>0</v>
      </c>
      <c r="AX52" s="299">
        <f t="shared" si="3"/>
        <v>0</v>
      </c>
      <c r="AY52" s="294">
        <f t="shared" si="4"/>
        <v>0</v>
      </c>
      <c r="AZ52" s="300">
        <f t="shared" si="5"/>
        <v>0</v>
      </c>
      <c r="BA52" s="560"/>
      <c r="BB52" s="301" t="str">
        <f>IF(AY52=0,"",(+'wgl tot'!AY52/'wgl tot'!Q52-1))</f>
        <v/>
      </c>
      <c r="BC52" s="560"/>
      <c r="BD52" s="542"/>
      <c r="BF52" s="649">
        <f ca="1">YEAR('wgl tot'!$BF$10)-YEAR('wgl tot'!E52)</f>
        <v>113</v>
      </c>
      <c r="BG52" s="650">
        <f ca="1">MONTH('wgl tot'!$BF$10)-MONTH('wgl tot'!E52)</f>
        <v>11</v>
      </c>
      <c r="BH52" s="650">
        <f ca="1">DAY('wgl tot'!$BF$10)-DAY('wgl tot'!E52)</f>
        <v>1</v>
      </c>
      <c r="BI52" s="635">
        <f>IF(AND('wgl tot'!F52&gt;0,'wgl tot'!F52&lt;16),0,100)</f>
        <v>100</v>
      </c>
      <c r="BJ52" s="635" t="e">
        <f>VLOOKUP('wgl tot'!F52,salaristabellen,22,FALSE)</f>
        <v>#N/A</v>
      </c>
      <c r="BK52" s="635">
        <f t="shared" si="14"/>
        <v>0</v>
      </c>
      <c r="BL52" s="651">
        <f t="shared" si="8"/>
        <v>41275</v>
      </c>
      <c r="BM52" s="652">
        <f t="shared" si="9"/>
        <v>0.08</v>
      </c>
      <c r="BN52" s="653">
        <f>+tabellen!$D$88</f>
        <v>6.3E-2</v>
      </c>
      <c r="BO52" s="650">
        <f>IF('wgl tot'!BI52=100,0,'wgl tot'!F52)</f>
        <v>0</v>
      </c>
      <c r="BP52" s="653" t="str">
        <f>IF(OR('wgl tot'!F52="DA",'wgl tot'!F52="DB",'wgl tot'!F52="DBuit",'wgl tot'!F52="DC",'wgl tot'!F52="DCuit",MID('wgl tot'!F52,1,5)="meerh"),"j","n")</f>
        <v>n</v>
      </c>
      <c r="BQ52" s="653">
        <f t="shared" si="10"/>
        <v>1.9E-2</v>
      </c>
      <c r="BR52" s="654">
        <f>IF(AI52&gt;'wgl tot'!AH52,'wgl tot'!AH52,AI52)</f>
        <v>0</v>
      </c>
      <c r="BS52" s="654"/>
      <c r="BT52" s="655" t="e">
        <f>IF('wgl tot'!AJ52/'wgl tot'!H52&lt;tabellen!$E$54,0,(+'wgl tot'!AJ52-tabellen!$E$54*'wgl tot'!H52)/12*tabellen!$D$54)</f>
        <v>#DIV/0!</v>
      </c>
      <c r="BU52" s="655" t="e">
        <f>IF('wgl tot'!AJ52/'wgl tot'!H52&lt;tabellen!$E$55,0,(+'wgl tot'!AJ52-tabellen!$E$55*'wgl tot'!H52)/12*tabellen!$D$55)</f>
        <v>#DIV/0!</v>
      </c>
      <c r="BV52" s="655">
        <f>'wgl tot'!AJ52/12*tabellen!$D$56</f>
        <v>0</v>
      </c>
      <c r="BW52" s="656" t="e">
        <f t="shared" si="13"/>
        <v>#DIV/0!</v>
      </c>
      <c r="BX52" s="657" t="e">
        <f>+('wgl tot'!AF52+'wgl tot'!AK52)/12-'wgl tot'!BW52</f>
        <v>#DIV/0!</v>
      </c>
      <c r="BY52" s="657" t="e">
        <f>ROUND(IF('wgl tot'!BX52&gt;tabellen!$H$61,tabellen!$H$61,'wgl tot'!BX52)*tabellen!$C$61,2)</f>
        <v>#DIV/0!</v>
      </c>
      <c r="BZ52" s="646" t="e">
        <f>+'wgl tot'!BX52</f>
        <v>#DIV/0!</v>
      </c>
      <c r="CA52" s="654"/>
      <c r="CB52" s="635">
        <f>IF(AND(M52="j",tabellen!$C$118&gt;=E52),1,0)</f>
        <v>0</v>
      </c>
      <c r="CC52" s="647" t="str">
        <f t="shared" si="6"/>
        <v/>
      </c>
      <c r="CD52" s="648" t="str">
        <f t="shared" si="7"/>
        <v/>
      </c>
      <c r="CE52" s="286"/>
      <c r="CF52" s="286"/>
      <c r="CG52" s="286"/>
      <c r="CH52" s="286"/>
      <c r="CI52" s="286"/>
      <c r="CJ52" s="286"/>
    </row>
    <row r="53" spans="2:88" ht="13.5" customHeight="1" x14ac:dyDescent="0.2">
      <c r="B53" s="541"/>
      <c r="C53" s="560"/>
      <c r="D53" s="289"/>
      <c r="E53" s="290"/>
      <c r="F53" s="291"/>
      <c r="G53" s="291"/>
      <c r="H53" s="293"/>
      <c r="I53" s="291"/>
      <c r="J53" s="291"/>
      <c r="K53" s="291"/>
      <c r="L53" s="291"/>
      <c r="M53" s="291"/>
      <c r="N53" s="295"/>
      <c r="O53" s="560"/>
      <c r="P53" s="292">
        <f>IF(F53="",0,(VLOOKUP('wgl tot'!F53,salaristabellen,'wgl tot'!G53+1,FALSE)))</f>
        <v>0</v>
      </c>
      <c r="Q53" s="294">
        <f>+'wgl tot'!P53*'wgl tot'!H53</f>
        <v>0</v>
      </c>
      <c r="R53" s="560"/>
      <c r="S53" s="296">
        <f>ROUND(IF(I53="j",VLOOKUP(BK53,uitlooptoeslag,2,FALSE))*IF('wgl tot'!H53&gt;1,1,'wgl tot'!H53),2)</f>
        <v>0</v>
      </c>
      <c r="T53" s="296">
        <f>ROUND(IF(OR('wgl tot'!F53="LA",'wgl tot'!F53="LB"),IF(J53="j",tabellen!$C$75*'wgl tot'!H53,0),0),2)</f>
        <v>0</v>
      </c>
      <c r="U53" s="296">
        <f>ROUND(IF(('wgl tot'!Q53+'wgl tot'!S53+'wgl tot'!T53)*BM53&lt;'wgl tot'!H53*tabellen!$D$87,'wgl tot'!H53*tabellen!$D$87,('wgl tot'!Q53+'wgl tot'!S53+'wgl tot'!T53)*BM53),2)</f>
        <v>0</v>
      </c>
      <c r="V53" s="296">
        <f>ROUND(+('wgl tot'!Q53+'wgl tot'!S53+'wgl tot'!T53)*BN53,2)</f>
        <v>0</v>
      </c>
      <c r="W53" s="296">
        <f>+tabellen!$C$83*'wgl tot'!H53</f>
        <v>0</v>
      </c>
      <c r="X53" s="296">
        <f>VLOOKUP(BO53,eindejaarsuitkering_OOP,2,TRUE)*'wgl tot'!H53/12</f>
        <v>0</v>
      </c>
      <c r="Y53" s="296">
        <f>ROUND(IF(BP53="j",tabellen!$D$96*IF('wgl tot'!H53&gt;1,1,'wgl tot'!H53),0),2)</f>
        <v>0</v>
      </c>
      <c r="Z53" s="297">
        <f>+'wgl tot'!Q53+S53+T53+U53+V53+W53+X53+Y53</f>
        <v>0</v>
      </c>
      <c r="AA53" s="562"/>
      <c r="AB53" s="563"/>
      <c r="AC53" s="292">
        <f>+'wgl tot'!Z53*12</f>
        <v>0</v>
      </c>
      <c r="AD53" s="296">
        <f>ROUND(IF(L53="j",VLOOKUP(K53,bindingstoelage,2,FALSE))*IF('wgl tot'!H53&gt;1,1,'wgl tot'!H53),2)</f>
        <v>0</v>
      </c>
      <c r="AE53" s="296">
        <f>ROUND('wgl tot'!H53*tabellen!$D$94,2)</f>
        <v>0</v>
      </c>
      <c r="AF53" s="292">
        <f t="shared" si="12"/>
        <v>0</v>
      </c>
      <c r="AG53" s="560"/>
      <c r="AH53" s="296">
        <f>+('wgl tot'!AF53/(1+1.9%))*BQ53</f>
        <v>0</v>
      </c>
      <c r="AI53" s="296">
        <f t="shared" si="11"/>
        <v>0</v>
      </c>
      <c r="AJ53" s="292">
        <f>ROUND('wgl tot'!AF53-IF('wgl tot'!AI53&gt;'wgl tot'!AH53,'wgl tot'!AH53,'wgl tot'!AI53),0)</f>
        <v>0</v>
      </c>
      <c r="AK53" s="298">
        <f>IF('wgl tot'!E53&lt;1950,0,+('wgl tot'!Q53+'wgl tot'!S53+'wgl tot'!T53)*tabellen!$C$85)*12</f>
        <v>0</v>
      </c>
      <c r="AL53" s="560"/>
      <c r="AM53" s="296">
        <f>+'wgl tot'!AF53/12</f>
        <v>0</v>
      </c>
      <c r="AN53" s="296">
        <f>IF(F53="",0,(IF('wgl tot'!AJ53/'wgl tot'!H53&lt;tabellen!$E$54,0,('wgl tot'!AJ53-tabellen!$E$54*'wgl tot'!H53)/12)*tabellen!$C$54))</f>
        <v>0</v>
      </c>
      <c r="AO53" s="296">
        <f>IF(F53="",0,(IF('wgl tot'!AJ53/'wgl tot'!H53&lt;tabellen!$E$55,0,(+'wgl tot'!AJ53-tabellen!$E$55*'wgl tot'!H53)/12)*tabellen!$C$55))</f>
        <v>0</v>
      </c>
      <c r="AP53" s="296">
        <f>'wgl tot'!AJ53/12*tabellen!$C$56</f>
        <v>0</v>
      </c>
      <c r="AQ53" s="296">
        <f>IF(F53="",0,IF(CD53=0,IF(CB53=0,IF('wgl tot'!BX53&gt;tabellen!$G$57/12,tabellen!$G$57/12,'wgl tot'!BX53)*(tabellen!$C$57+tabellen!$C$58+tabellen!$C$59),IF('wgl tot'!BX53&gt;tabellen!$G$57/12,tabellen!$G$57/12,'wgl tot'!BX53)*(tabellen!$C$58+tabellen!$C$59)),IF('wgl tot'!BX53&gt;tabellen!$G$57/12,tabellen!$G$57/12,'wgl tot'!BX53)*(tabellen!$C$57+tabellen!$C$58+tabellen!$C$59)))</f>
        <v>0</v>
      </c>
      <c r="AR53" s="296">
        <f>IF(F53="",0,('wgl tot'!BY53))</f>
        <v>0</v>
      </c>
      <c r="AS53" s="299">
        <f>IF(F53="",0,(IF('wgl tot'!BX53&gt;tabellen!$G$62*'wgl tot'!H53/12,tabellen!$G$62*'wgl tot'!H53/12,'wgl tot'!BX53)*tabellen!$C$62))</f>
        <v>0</v>
      </c>
      <c r="AT53" s="299">
        <f>IF(F53="",0,('wgl tot'!BX53*IF(N53=1,tabellen!$C$63,IF(N53=2,tabellen!C104,IF(N53=3,tabellen!$C$65,tabellen!$C$66)))))</f>
        <v>0</v>
      </c>
      <c r="AU53" s="299">
        <f>IF(F53="",0,('wgl tot'!BX53*tabellen!$C$67))</f>
        <v>0</v>
      </c>
      <c r="AV53" s="299">
        <f>+'wgl tot'!AK53/12</f>
        <v>0</v>
      </c>
      <c r="AW53" s="618">
        <v>0</v>
      </c>
      <c r="AX53" s="299">
        <f t="shared" si="3"/>
        <v>0</v>
      </c>
      <c r="AY53" s="294">
        <f t="shared" si="4"/>
        <v>0</v>
      </c>
      <c r="AZ53" s="300">
        <f t="shared" si="5"/>
        <v>0</v>
      </c>
      <c r="BA53" s="560"/>
      <c r="BB53" s="301" t="str">
        <f>IF(AY53=0,"",(+'wgl tot'!AY53/'wgl tot'!Q53-1))</f>
        <v/>
      </c>
      <c r="BC53" s="560"/>
      <c r="BD53" s="542"/>
      <c r="BF53" s="649">
        <f ca="1">YEAR('wgl tot'!$BF$10)-YEAR('wgl tot'!E53)</f>
        <v>113</v>
      </c>
      <c r="BG53" s="650">
        <f ca="1">MONTH('wgl tot'!$BF$10)-MONTH('wgl tot'!E53)</f>
        <v>11</v>
      </c>
      <c r="BH53" s="650">
        <f ca="1">DAY('wgl tot'!$BF$10)-DAY('wgl tot'!E53)</f>
        <v>1</v>
      </c>
      <c r="BI53" s="635">
        <f>IF(AND('wgl tot'!F53&gt;0,'wgl tot'!F53&lt;16),0,100)</f>
        <v>100</v>
      </c>
      <c r="BJ53" s="635" t="e">
        <f>VLOOKUP('wgl tot'!F53,salaristabellen,22,FALSE)</f>
        <v>#N/A</v>
      </c>
      <c r="BK53" s="635">
        <f t="shared" si="14"/>
        <v>0</v>
      </c>
      <c r="BL53" s="651">
        <f t="shared" si="8"/>
        <v>41275</v>
      </c>
      <c r="BM53" s="652">
        <f t="shared" si="9"/>
        <v>0.08</v>
      </c>
      <c r="BN53" s="653">
        <f>+tabellen!$D$88</f>
        <v>6.3E-2</v>
      </c>
      <c r="BO53" s="650">
        <f>IF('wgl tot'!BI53=100,0,'wgl tot'!F53)</f>
        <v>0</v>
      </c>
      <c r="BP53" s="653" t="str">
        <f>IF(OR('wgl tot'!F53="DA",'wgl tot'!F53="DB",'wgl tot'!F53="DBuit",'wgl tot'!F53="DC",'wgl tot'!F53="DCuit",MID('wgl tot'!F53,1,5)="meerh"),"j","n")</f>
        <v>n</v>
      </c>
      <c r="BQ53" s="653">
        <f t="shared" si="10"/>
        <v>1.9E-2</v>
      </c>
      <c r="BR53" s="654">
        <f>IF(AI53&gt;'wgl tot'!AH53,'wgl tot'!AH53,AI53)</f>
        <v>0</v>
      </c>
      <c r="BS53" s="654"/>
      <c r="BT53" s="655" t="e">
        <f>IF('wgl tot'!AJ53/'wgl tot'!H53&lt;tabellen!$E$54,0,(+'wgl tot'!AJ53-tabellen!$E$54*'wgl tot'!H53)/12*tabellen!$D$54)</f>
        <v>#DIV/0!</v>
      </c>
      <c r="BU53" s="655" t="e">
        <f>IF('wgl tot'!AJ53/'wgl tot'!H53&lt;tabellen!$E$55,0,(+'wgl tot'!AJ53-tabellen!$E$55*'wgl tot'!H53)/12*tabellen!$D$55)</f>
        <v>#DIV/0!</v>
      </c>
      <c r="BV53" s="655">
        <f>'wgl tot'!AJ53/12*tabellen!$D$56</f>
        <v>0</v>
      </c>
      <c r="BW53" s="656" t="e">
        <f t="shared" si="13"/>
        <v>#DIV/0!</v>
      </c>
      <c r="BX53" s="657" t="e">
        <f>+('wgl tot'!AF53+'wgl tot'!AK53)/12-'wgl tot'!BW53</f>
        <v>#DIV/0!</v>
      </c>
      <c r="BY53" s="657" t="e">
        <f>ROUND(IF('wgl tot'!BX53&gt;tabellen!$H$61,tabellen!$H$61,'wgl tot'!BX53)*tabellen!$C$61,2)</f>
        <v>#DIV/0!</v>
      </c>
      <c r="BZ53" s="646" t="e">
        <f>+'wgl tot'!BX53</f>
        <v>#DIV/0!</v>
      </c>
      <c r="CA53" s="654"/>
      <c r="CB53" s="635">
        <f>IF(AND(M53="j",tabellen!$C$118&gt;=E53),1,0)</f>
        <v>0</v>
      </c>
      <c r="CC53" s="647" t="str">
        <f t="shared" si="6"/>
        <v/>
      </c>
      <c r="CD53" s="648" t="str">
        <f t="shared" si="7"/>
        <v/>
      </c>
      <c r="CE53" s="286"/>
      <c r="CF53" s="286"/>
      <c r="CG53" s="286"/>
      <c r="CH53" s="286"/>
      <c r="CI53" s="286"/>
      <c r="CJ53" s="286"/>
    </row>
    <row r="54" spans="2:88" ht="13.5" customHeight="1" x14ac:dyDescent="0.2">
      <c r="B54" s="541"/>
      <c r="C54" s="560"/>
      <c r="D54" s="289"/>
      <c r="E54" s="290"/>
      <c r="F54" s="291"/>
      <c r="G54" s="291"/>
      <c r="H54" s="293"/>
      <c r="I54" s="291"/>
      <c r="J54" s="291"/>
      <c r="K54" s="291"/>
      <c r="L54" s="291"/>
      <c r="M54" s="291"/>
      <c r="N54" s="295"/>
      <c r="O54" s="560"/>
      <c r="P54" s="292">
        <f>IF(F54="",0,(VLOOKUP('wgl tot'!F54,salaristabellen,'wgl tot'!G54+1,FALSE)))</f>
        <v>0</v>
      </c>
      <c r="Q54" s="294">
        <f>+'wgl tot'!P54*'wgl tot'!H54</f>
        <v>0</v>
      </c>
      <c r="R54" s="560"/>
      <c r="S54" s="296">
        <f>ROUND(IF(I54="j",VLOOKUP(BK54,uitlooptoeslag,2,FALSE))*IF('wgl tot'!H54&gt;1,1,'wgl tot'!H54),2)</f>
        <v>0</v>
      </c>
      <c r="T54" s="296">
        <f>ROUND(IF(OR('wgl tot'!F54="LA",'wgl tot'!F54="LB"),IF(J54="j",tabellen!$C$75*'wgl tot'!H54,0),0),2)</f>
        <v>0</v>
      </c>
      <c r="U54" s="296">
        <f>ROUND(IF(('wgl tot'!Q54+'wgl tot'!S54+'wgl tot'!T54)*BM54&lt;'wgl tot'!H54*tabellen!$D$87,'wgl tot'!H54*tabellen!$D$87,('wgl tot'!Q54+'wgl tot'!S54+'wgl tot'!T54)*BM54),2)</f>
        <v>0</v>
      </c>
      <c r="V54" s="296">
        <f>ROUND(+('wgl tot'!Q54+'wgl tot'!S54+'wgl tot'!T54)*BN54,2)</f>
        <v>0</v>
      </c>
      <c r="W54" s="296">
        <f>+tabellen!$C$83*'wgl tot'!H54</f>
        <v>0</v>
      </c>
      <c r="X54" s="296">
        <f>VLOOKUP(BO54,eindejaarsuitkering_OOP,2,TRUE)*'wgl tot'!H54/12</f>
        <v>0</v>
      </c>
      <c r="Y54" s="296">
        <f>ROUND(IF(BP54="j",tabellen!$D$96*IF('wgl tot'!H54&gt;1,1,'wgl tot'!H54),0),2)</f>
        <v>0</v>
      </c>
      <c r="Z54" s="297">
        <f>+'wgl tot'!Q54+S54+T54+U54+V54+W54+X54+Y54</f>
        <v>0</v>
      </c>
      <c r="AA54" s="562"/>
      <c r="AB54" s="563"/>
      <c r="AC54" s="292">
        <f>+'wgl tot'!Z54*12</f>
        <v>0</v>
      </c>
      <c r="AD54" s="296">
        <f>ROUND(IF(L54="j",VLOOKUP(K54,bindingstoelage,2,FALSE))*IF('wgl tot'!H54&gt;1,1,'wgl tot'!H54),2)</f>
        <v>0</v>
      </c>
      <c r="AE54" s="296">
        <f>ROUND('wgl tot'!H54*tabellen!$D$94,2)</f>
        <v>0</v>
      </c>
      <c r="AF54" s="292">
        <f t="shared" si="12"/>
        <v>0</v>
      </c>
      <c r="AG54" s="560"/>
      <c r="AH54" s="296">
        <f>+('wgl tot'!AF54/(1+1.9%))*BQ54</f>
        <v>0</v>
      </c>
      <c r="AI54" s="296">
        <f t="shared" si="11"/>
        <v>0</v>
      </c>
      <c r="AJ54" s="292">
        <f>ROUND('wgl tot'!AF54-IF('wgl tot'!AI54&gt;'wgl tot'!AH54,'wgl tot'!AH54,'wgl tot'!AI54),0)</f>
        <v>0</v>
      </c>
      <c r="AK54" s="298">
        <f>IF('wgl tot'!E54&lt;1950,0,+('wgl tot'!Q54+'wgl tot'!S54+'wgl tot'!T54)*tabellen!$C$85)*12</f>
        <v>0</v>
      </c>
      <c r="AL54" s="560"/>
      <c r="AM54" s="296">
        <f>+'wgl tot'!AF54/12</f>
        <v>0</v>
      </c>
      <c r="AN54" s="296">
        <f>IF(F54="",0,(IF('wgl tot'!AJ54/'wgl tot'!H54&lt;tabellen!$E$54,0,('wgl tot'!AJ54-tabellen!$E$54*'wgl tot'!H54)/12)*tabellen!$C$54))</f>
        <v>0</v>
      </c>
      <c r="AO54" s="296">
        <f>IF(F54="",0,(IF('wgl tot'!AJ54/'wgl tot'!H54&lt;tabellen!$E$55,0,(+'wgl tot'!AJ54-tabellen!$E$55*'wgl tot'!H54)/12)*tabellen!$C$55))</f>
        <v>0</v>
      </c>
      <c r="AP54" s="296">
        <f>'wgl tot'!AJ54/12*tabellen!$C$56</f>
        <v>0</v>
      </c>
      <c r="AQ54" s="296">
        <f>IF(F54="",0,IF(CD54=0,IF(CB54=0,IF('wgl tot'!BX54&gt;tabellen!$G$57/12,tabellen!$G$57/12,'wgl tot'!BX54)*(tabellen!$C$57+tabellen!$C$58+tabellen!$C$59),IF('wgl tot'!BX54&gt;tabellen!$G$57/12,tabellen!$G$57/12,'wgl tot'!BX54)*(tabellen!$C$58+tabellen!$C$59)),IF('wgl tot'!BX54&gt;tabellen!$G$57/12,tabellen!$G$57/12,'wgl tot'!BX54)*(tabellen!$C$57+tabellen!$C$58+tabellen!$C$59)))</f>
        <v>0</v>
      </c>
      <c r="AR54" s="296">
        <f>IF(F54="",0,('wgl tot'!BY54))</f>
        <v>0</v>
      </c>
      <c r="AS54" s="299">
        <f>IF(F54="",0,(IF('wgl tot'!BX54&gt;tabellen!$G$62*'wgl tot'!H54/12,tabellen!$G$62*'wgl tot'!H54/12,'wgl tot'!BX54)*tabellen!$C$62))</f>
        <v>0</v>
      </c>
      <c r="AT54" s="299">
        <f>IF(F54="",0,('wgl tot'!BX54*IF(N54=1,tabellen!$C$63,IF(N54=2,tabellen!C105,IF(N54=3,tabellen!$C$65,tabellen!$C$66)))))</f>
        <v>0</v>
      </c>
      <c r="AU54" s="299">
        <f>IF(F54="",0,('wgl tot'!BX54*tabellen!$C$67))</f>
        <v>0</v>
      </c>
      <c r="AV54" s="299">
        <f>+'wgl tot'!AK54/12</f>
        <v>0</v>
      </c>
      <c r="AW54" s="618">
        <v>0</v>
      </c>
      <c r="AX54" s="299">
        <f t="shared" si="3"/>
        <v>0</v>
      </c>
      <c r="AY54" s="294">
        <f t="shared" si="4"/>
        <v>0</v>
      </c>
      <c r="AZ54" s="300">
        <f t="shared" si="5"/>
        <v>0</v>
      </c>
      <c r="BA54" s="560"/>
      <c r="BB54" s="301" t="str">
        <f>IF(AY54=0,"",(+'wgl tot'!AY54/'wgl tot'!Q54-1))</f>
        <v/>
      </c>
      <c r="BC54" s="560"/>
      <c r="BD54" s="542"/>
      <c r="BF54" s="649">
        <f ca="1">YEAR('wgl tot'!$BF$10)-YEAR('wgl tot'!E54)</f>
        <v>113</v>
      </c>
      <c r="BG54" s="650">
        <f ca="1">MONTH('wgl tot'!$BF$10)-MONTH('wgl tot'!E54)</f>
        <v>11</v>
      </c>
      <c r="BH54" s="650">
        <f ca="1">DAY('wgl tot'!$BF$10)-DAY('wgl tot'!E54)</f>
        <v>1</v>
      </c>
      <c r="BI54" s="635">
        <f>IF(AND('wgl tot'!F54&gt;0,'wgl tot'!F54&lt;16),0,100)</f>
        <v>100</v>
      </c>
      <c r="BJ54" s="635" t="e">
        <f>VLOOKUP('wgl tot'!F54,salaristabellen,22,FALSE)</f>
        <v>#N/A</v>
      </c>
      <c r="BK54" s="635">
        <f t="shared" si="14"/>
        <v>0</v>
      </c>
      <c r="BL54" s="651">
        <f t="shared" si="8"/>
        <v>41275</v>
      </c>
      <c r="BM54" s="652">
        <f t="shared" si="9"/>
        <v>0.08</v>
      </c>
      <c r="BN54" s="653">
        <f>+tabellen!$D$88</f>
        <v>6.3E-2</v>
      </c>
      <c r="BO54" s="650">
        <f>IF('wgl tot'!BI54=100,0,'wgl tot'!F54)</f>
        <v>0</v>
      </c>
      <c r="BP54" s="653" t="str">
        <f>IF(OR('wgl tot'!F54="DA",'wgl tot'!F54="DB",'wgl tot'!F54="DBuit",'wgl tot'!F54="DC",'wgl tot'!F54="DCuit",MID('wgl tot'!F54,1,5)="meerh"),"j","n")</f>
        <v>n</v>
      </c>
      <c r="BQ54" s="653">
        <f t="shared" si="10"/>
        <v>1.9E-2</v>
      </c>
      <c r="BR54" s="654">
        <f>IF(AI54&gt;'wgl tot'!AH54,'wgl tot'!AH54,AI54)</f>
        <v>0</v>
      </c>
      <c r="BS54" s="654"/>
      <c r="BT54" s="655" t="e">
        <f>IF('wgl tot'!AJ54/'wgl tot'!H54&lt;tabellen!$E$54,0,(+'wgl tot'!AJ54-tabellen!$E$54*'wgl tot'!H54)/12*tabellen!$D$54)</f>
        <v>#DIV/0!</v>
      </c>
      <c r="BU54" s="655" t="e">
        <f>IF('wgl tot'!AJ54/'wgl tot'!H54&lt;tabellen!$E$55,0,(+'wgl tot'!AJ54-tabellen!$E$55*'wgl tot'!H54)/12*tabellen!$D$55)</f>
        <v>#DIV/0!</v>
      </c>
      <c r="BV54" s="655">
        <f>'wgl tot'!AJ54/12*tabellen!$D$56</f>
        <v>0</v>
      </c>
      <c r="BW54" s="656" t="e">
        <f t="shared" si="13"/>
        <v>#DIV/0!</v>
      </c>
      <c r="BX54" s="657" t="e">
        <f>+('wgl tot'!AF54+'wgl tot'!AK54)/12-'wgl tot'!BW54</f>
        <v>#DIV/0!</v>
      </c>
      <c r="BY54" s="657" t="e">
        <f>ROUND(IF('wgl tot'!BX54&gt;tabellen!$H$61,tabellen!$H$61,'wgl tot'!BX54)*tabellen!$C$61,2)</f>
        <v>#DIV/0!</v>
      </c>
      <c r="BZ54" s="646" t="e">
        <f>+'wgl tot'!BX54</f>
        <v>#DIV/0!</v>
      </c>
      <c r="CA54" s="654"/>
      <c r="CB54" s="635">
        <f>IF(AND(M54="j",tabellen!$C$118&gt;=E54),1,0)</f>
        <v>0</v>
      </c>
      <c r="CC54" s="647" t="str">
        <f t="shared" si="6"/>
        <v/>
      </c>
      <c r="CD54" s="648" t="str">
        <f t="shared" si="7"/>
        <v/>
      </c>
      <c r="CE54" s="286"/>
      <c r="CF54" s="286"/>
      <c r="CG54" s="286"/>
      <c r="CH54" s="286"/>
      <c r="CI54" s="286"/>
      <c r="CJ54" s="286"/>
    </row>
    <row r="55" spans="2:88" ht="13.5" customHeight="1" x14ac:dyDescent="0.2">
      <c r="B55" s="541"/>
      <c r="C55" s="560"/>
      <c r="D55" s="289"/>
      <c r="E55" s="290"/>
      <c r="F55" s="291"/>
      <c r="G55" s="291"/>
      <c r="H55" s="293"/>
      <c r="I55" s="291"/>
      <c r="J55" s="291"/>
      <c r="K55" s="291"/>
      <c r="L55" s="291"/>
      <c r="M55" s="291"/>
      <c r="N55" s="295"/>
      <c r="O55" s="560"/>
      <c r="P55" s="292">
        <f>IF(F55="",0,(VLOOKUP('wgl tot'!F55,salaristabellen,'wgl tot'!G55+1,FALSE)))</f>
        <v>0</v>
      </c>
      <c r="Q55" s="294">
        <f>+'wgl tot'!P55*'wgl tot'!H55</f>
        <v>0</v>
      </c>
      <c r="R55" s="560"/>
      <c r="S55" s="296">
        <f>ROUND(IF(I55="j",VLOOKUP(BK55,uitlooptoeslag,2,FALSE))*IF('wgl tot'!H55&gt;1,1,'wgl tot'!H55),2)</f>
        <v>0</v>
      </c>
      <c r="T55" s="296">
        <f>ROUND(IF(OR('wgl tot'!F55="LA",'wgl tot'!F55="LB"),IF(J55="j",tabellen!$C$75*'wgl tot'!H55,0),0),2)</f>
        <v>0</v>
      </c>
      <c r="U55" s="296">
        <f>ROUND(IF(('wgl tot'!Q55+'wgl tot'!S55+'wgl tot'!T55)*BM55&lt;'wgl tot'!H55*tabellen!$D$87,'wgl tot'!H55*tabellen!$D$87,('wgl tot'!Q55+'wgl tot'!S55+'wgl tot'!T55)*BM55),2)</f>
        <v>0</v>
      </c>
      <c r="V55" s="296">
        <f>ROUND(+('wgl tot'!Q55+'wgl tot'!S55+'wgl tot'!T55)*BN55,2)</f>
        <v>0</v>
      </c>
      <c r="W55" s="296">
        <f>+tabellen!$C$83*'wgl tot'!H55</f>
        <v>0</v>
      </c>
      <c r="X55" s="296">
        <f>VLOOKUP(BO55,eindejaarsuitkering_OOP,2,TRUE)*'wgl tot'!H55/12</f>
        <v>0</v>
      </c>
      <c r="Y55" s="296">
        <f>ROUND(IF(BP55="j",tabellen!$D$96*IF('wgl tot'!H55&gt;1,1,'wgl tot'!H55),0),2)</f>
        <v>0</v>
      </c>
      <c r="Z55" s="297">
        <f>+'wgl tot'!Q55+S55+T55+U55+V55+W55+X55+Y55</f>
        <v>0</v>
      </c>
      <c r="AA55" s="562"/>
      <c r="AB55" s="563"/>
      <c r="AC55" s="292">
        <f>+'wgl tot'!Z55*12</f>
        <v>0</v>
      </c>
      <c r="AD55" s="296">
        <f>ROUND(IF(L55="j",VLOOKUP(K55,bindingstoelage,2,FALSE))*IF('wgl tot'!H55&gt;1,1,'wgl tot'!H55),2)</f>
        <v>0</v>
      </c>
      <c r="AE55" s="296">
        <f>ROUND('wgl tot'!H55*tabellen!$D$94,2)</f>
        <v>0</v>
      </c>
      <c r="AF55" s="292">
        <f t="shared" si="12"/>
        <v>0</v>
      </c>
      <c r="AG55" s="560"/>
      <c r="AH55" s="296">
        <f>+('wgl tot'!AF55/(1+1.9%))*BQ55</f>
        <v>0</v>
      </c>
      <c r="AI55" s="296">
        <f t="shared" si="11"/>
        <v>0</v>
      </c>
      <c r="AJ55" s="292">
        <f>ROUND('wgl tot'!AF55-IF('wgl tot'!AI55&gt;'wgl tot'!AH55,'wgl tot'!AH55,'wgl tot'!AI55),0)</f>
        <v>0</v>
      </c>
      <c r="AK55" s="298">
        <f>IF('wgl tot'!E55&lt;1950,0,+('wgl tot'!Q55+'wgl tot'!S55+'wgl tot'!T55)*tabellen!$C$85)*12</f>
        <v>0</v>
      </c>
      <c r="AL55" s="560"/>
      <c r="AM55" s="296">
        <f>+'wgl tot'!AF55/12</f>
        <v>0</v>
      </c>
      <c r="AN55" s="296">
        <f>IF(F55="",0,(IF('wgl tot'!AJ55/'wgl tot'!H55&lt;tabellen!$E$54,0,('wgl tot'!AJ55-tabellen!$E$54*'wgl tot'!H55)/12)*tabellen!$C$54))</f>
        <v>0</v>
      </c>
      <c r="AO55" s="296">
        <f>IF(F55="",0,(IF('wgl tot'!AJ55/'wgl tot'!H55&lt;tabellen!$E$55,0,(+'wgl tot'!AJ55-tabellen!$E$55*'wgl tot'!H55)/12)*tabellen!$C$55))</f>
        <v>0</v>
      </c>
      <c r="AP55" s="296">
        <f>'wgl tot'!AJ55/12*tabellen!$C$56</f>
        <v>0</v>
      </c>
      <c r="AQ55" s="296">
        <f>IF(F55="",0,IF(CD55=0,IF(CB55=0,IF('wgl tot'!BX55&gt;tabellen!$G$57/12,tabellen!$G$57/12,'wgl tot'!BX55)*(tabellen!$C$57+tabellen!$C$58+tabellen!$C$59),IF('wgl tot'!BX55&gt;tabellen!$G$57/12,tabellen!$G$57/12,'wgl tot'!BX55)*(tabellen!$C$58+tabellen!$C$59)),IF('wgl tot'!BX55&gt;tabellen!$G$57/12,tabellen!$G$57/12,'wgl tot'!BX55)*(tabellen!$C$57+tabellen!$C$58+tabellen!$C$59)))</f>
        <v>0</v>
      </c>
      <c r="AR55" s="296">
        <f>IF(F55="",0,('wgl tot'!BY55))</f>
        <v>0</v>
      </c>
      <c r="AS55" s="299">
        <f>IF(F55="",0,(IF('wgl tot'!BX55&gt;tabellen!$G$62*'wgl tot'!H55/12,tabellen!$G$62*'wgl tot'!H55/12,'wgl tot'!BX55)*tabellen!$C$62))</f>
        <v>0</v>
      </c>
      <c r="AT55" s="299">
        <f>IF(F55="",0,('wgl tot'!BX55*IF(N55=1,tabellen!$C$63,IF(N55=2,tabellen!C106,IF(N55=3,tabellen!$C$65,tabellen!$C$66)))))</f>
        <v>0</v>
      </c>
      <c r="AU55" s="299">
        <f>IF(F55="",0,('wgl tot'!BX55*tabellen!$C$67))</f>
        <v>0</v>
      </c>
      <c r="AV55" s="299">
        <f>+'wgl tot'!AK55/12</f>
        <v>0</v>
      </c>
      <c r="AW55" s="618">
        <v>0</v>
      </c>
      <c r="AX55" s="299">
        <f t="shared" si="3"/>
        <v>0</v>
      </c>
      <c r="AY55" s="294">
        <f t="shared" si="4"/>
        <v>0</v>
      </c>
      <c r="AZ55" s="300">
        <f t="shared" si="5"/>
        <v>0</v>
      </c>
      <c r="BA55" s="560"/>
      <c r="BB55" s="301" t="str">
        <f>IF(AY55=0,"",(+'wgl tot'!AY55/'wgl tot'!Q55-1))</f>
        <v/>
      </c>
      <c r="BC55" s="560"/>
      <c r="BD55" s="542"/>
      <c r="BF55" s="649">
        <f ca="1">YEAR('wgl tot'!$BF$10)-YEAR('wgl tot'!E55)</f>
        <v>113</v>
      </c>
      <c r="BG55" s="650">
        <f ca="1">MONTH('wgl tot'!$BF$10)-MONTH('wgl tot'!E55)</f>
        <v>11</v>
      </c>
      <c r="BH55" s="650">
        <f ca="1">DAY('wgl tot'!$BF$10)-DAY('wgl tot'!E55)</f>
        <v>1</v>
      </c>
      <c r="BI55" s="635">
        <f>IF(AND('wgl tot'!F55&gt;0,'wgl tot'!F55&lt;16),0,100)</f>
        <v>100</v>
      </c>
      <c r="BJ55" s="635" t="e">
        <f>VLOOKUP('wgl tot'!F55,salaristabellen,22,FALSE)</f>
        <v>#N/A</v>
      </c>
      <c r="BK55" s="635">
        <f t="shared" si="14"/>
        <v>0</v>
      </c>
      <c r="BL55" s="651">
        <f t="shared" si="8"/>
        <v>41275</v>
      </c>
      <c r="BM55" s="652">
        <f t="shared" si="9"/>
        <v>0.08</v>
      </c>
      <c r="BN55" s="653">
        <f>+tabellen!$D$88</f>
        <v>6.3E-2</v>
      </c>
      <c r="BO55" s="650">
        <f>IF('wgl tot'!BI55=100,0,'wgl tot'!F55)</f>
        <v>0</v>
      </c>
      <c r="BP55" s="653" t="str">
        <f>IF(OR('wgl tot'!F55="DA",'wgl tot'!F55="DB",'wgl tot'!F55="DBuit",'wgl tot'!F55="DC",'wgl tot'!F55="DCuit",MID('wgl tot'!F55,1,5)="meerh"),"j","n")</f>
        <v>n</v>
      </c>
      <c r="BQ55" s="653">
        <f t="shared" si="10"/>
        <v>1.9E-2</v>
      </c>
      <c r="BR55" s="654">
        <f>IF(AI55&gt;'wgl tot'!AH55,'wgl tot'!AH55,AI55)</f>
        <v>0</v>
      </c>
      <c r="BS55" s="654"/>
      <c r="BT55" s="655" t="e">
        <f>IF('wgl tot'!AJ55/'wgl tot'!H55&lt;tabellen!$E$54,0,(+'wgl tot'!AJ55-tabellen!$E$54*'wgl tot'!H55)/12*tabellen!$D$54)</f>
        <v>#DIV/0!</v>
      </c>
      <c r="BU55" s="655" t="e">
        <f>IF('wgl tot'!AJ55/'wgl tot'!H55&lt;tabellen!$E$55,0,(+'wgl tot'!AJ55-tabellen!$E$55*'wgl tot'!H55)/12*tabellen!$D$55)</f>
        <v>#DIV/0!</v>
      </c>
      <c r="BV55" s="655">
        <f>'wgl tot'!AJ55/12*tabellen!$D$56</f>
        <v>0</v>
      </c>
      <c r="BW55" s="656" t="e">
        <f t="shared" si="13"/>
        <v>#DIV/0!</v>
      </c>
      <c r="BX55" s="657" t="e">
        <f>+('wgl tot'!AF55+'wgl tot'!AK55)/12-'wgl tot'!BW55</f>
        <v>#DIV/0!</v>
      </c>
      <c r="BY55" s="657" t="e">
        <f>ROUND(IF('wgl tot'!BX55&gt;tabellen!$H$61,tabellen!$H$61,'wgl tot'!BX55)*tabellen!$C$61,2)</f>
        <v>#DIV/0!</v>
      </c>
      <c r="BZ55" s="646" t="e">
        <f>+'wgl tot'!BX55</f>
        <v>#DIV/0!</v>
      </c>
      <c r="CA55" s="654"/>
      <c r="CB55" s="635">
        <f>IF(AND(M55="j",tabellen!$C$118&gt;=E55),1,0)</f>
        <v>0</v>
      </c>
      <c r="CC55" s="647" t="str">
        <f t="shared" si="6"/>
        <v/>
      </c>
      <c r="CD55" s="648" t="str">
        <f t="shared" si="7"/>
        <v/>
      </c>
      <c r="CE55" s="286"/>
      <c r="CF55" s="286"/>
      <c r="CG55" s="286"/>
      <c r="CH55" s="286"/>
      <c r="CI55" s="286"/>
      <c r="CJ55" s="286"/>
    </row>
    <row r="56" spans="2:88" ht="13.5" customHeight="1" x14ac:dyDescent="0.2">
      <c r="B56" s="541"/>
      <c r="C56" s="560"/>
      <c r="D56" s="289"/>
      <c r="E56" s="290"/>
      <c r="F56" s="291"/>
      <c r="G56" s="291"/>
      <c r="H56" s="293"/>
      <c r="I56" s="291"/>
      <c r="J56" s="291"/>
      <c r="K56" s="291"/>
      <c r="L56" s="291"/>
      <c r="M56" s="291"/>
      <c r="N56" s="295"/>
      <c r="O56" s="560"/>
      <c r="P56" s="292">
        <f>IF(F56="",0,(VLOOKUP('wgl tot'!F56,salaristabellen,'wgl tot'!G56+1,FALSE)))</f>
        <v>0</v>
      </c>
      <c r="Q56" s="294">
        <f>+'wgl tot'!P56*'wgl tot'!H56</f>
        <v>0</v>
      </c>
      <c r="R56" s="560"/>
      <c r="S56" s="296">
        <f>ROUND(IF(I56="j",VLOOKUP(BK56,uitlooptoeslag,2,FALSE))*IF('wgl tot'!H56&gt;1,1,'wgl tot'!H56),2)</f>
        <v>0</v>
      </c>
      <c r="T56" s="296">
        <f>ROUND(IF(OR('wgl tot'!F56="LA",'wgl tot'!F56="LB"),IF(J56="j",tabellen!$C$75*'wgl tot'!H56,0),0),2)</f>
        <v>0</v>
      </c>
      <c r="U56" s="296">
        <f>ROUND(IF(('wgl tot'!Q56+'wgl tot'!S56+'wgl tot'!T56)*BM56&lt;'wgl tot'!H56*tabellen!$D$87,'wgl tot'!H56*tabellen!$D$87,('wgl tot'!Q56+'wgl tot'!S56+'wgl tot'!T56)*BM56),2)</f>
        <v>0</v>
      </c>
      <c r="V56" s="296">
        <f>ROUND(+('wgl tot'!Q56+'wgl tot'!S56+'wgl tot'!T56)*BN56,2)</f>
        <v>0</v>
      </c>
      <c r="W56" s="296">
        <f>+tabellen!$C$83*'wgl tot'!H56</f>
        <v>0</v>
      </c>
      <c r="X56" s="296">
        <f>VLOOKUP(BO56,eindejaarsuitkering_OOP,2,TRUE)*'wgl tot'!H56/12</f>
        <v>0</v>
      </c>
      <c r="Y56" s="296">
        <f>ROUND(IF(BP56="j",tabellen!$D$96*IF('wgl tot'!H56&gt;1,1,'wgl tot'!H56),0),2)</f>
        <v>0</v>
      </c>
      <c r="Z56" s="297">
        <f>+'wgl tot'!Q56+S56+T56+U56+V56+W56+X56+Y56</f>
        <v>0</v>
      </c>
      <c r="AA56" s="562"/>
      <c r="AB56" s="563"/>
      <c r="AC56" s="292">
        <f>+'wgl tot'!Z56*12</f>
        <v>0</v>
      </c>
      <c r="AD56" s="296">
        <f>ROUND(IF(L56="j",VLOOKUP(K56,bindingstoelage,2,FALSE))*IF('wgl tot'!H56&gt;1,1,'wgl tot'!H56),2)</f>
        <v>0</v>
      </c>
      <c r="AE56" s="296">
        <f>ROUND('wgl tot'!H56*tabellen!$D$94,2)</f>
        <v>0</v>
      </c>
      <c r="AF56" s="292">
        <f t="shared" si="12"/>
        <v>0</v>
      </c>
      <c r="AG56" s="560"/>
      <c r="AH56" s="296">
        <f>+('wgl tot'!AF56/(1+1.9%))*BQ56</f>
        <v>0</v>
      </c>
      <c r="AI56" s="296">
        <f t="shared" si="11"/>
        <v>0</v>
      </c>
      <c r="AJ56" s="292">
        <f>ROUND('wgl tot'!AF56-IF('wgl tot'!AI56&gt;'wgl tot'!AH56,'wgl tot'!AH56,'wgl tot'!AI56),0)</f>
        <v>0</v>
      </c>
      <c r="AK56" s="298">
        <f>IF('wgl tot'!E56&lt;1950,0,+('wgl tot'!Q56+'wgl tot'!S56+'wgl tot'!T56)*tabellen!$C$85)*12</f>
        <v>0</v>
      </c>
      <c r="AL56" s="560"/>
      <c r="AM56" s="296">
        <f>+'wgl tot'!AF56/12</f>
        <v>0</v>
      </c>
      <c r="AN56" s="296">
        <f>IF(F56="",0,(IF('wgl tot'!AJ56/'wgl tot'!H56&lt;tabellen!$E$54,0,('wgl tot'!AJ56-tabellen!$E$54*'wgl tot'!H56)/12)*tabellen!$C$54))</f>
        <v>0</v>
      </c>
      <c r="AO56" s="296">
        <f>IF(F56="",0,(IF('wgl tot'!AJ56/'wgl tot'!H56&lt;tabellen!$E$55,0,(+'wgl tot'!AJ56-tabellen!$E$55*'wgl tot'!H56)/12)*tabellen!$C$55))</f>
        <v>0</v>
      </c>
      <c r="AP56" s="296">
        <f>'wgl tot'!AJ56/12*tabellen!$C$56</f>
        <v>0</v>
      </c>
      <c r="AQ56" s="296">
        <f>IF(F56="",0,IF(CD56=0,IF(CB56=0,IF('wgl tot'!BX56&gt;tabellen!$G$57/12,tabellen!$G$57/12,'wgl tot'!BX56)*(tabellen!$C$57+tabellen!$C$58+tabellen!$C$59),IF('wgl tot'!BX56&gt;tabellen!$G$57/12,tabellen!$G$57/12,'wgl tot'!BX56)*(tabellen!$C$58+tabellen!$C$59)),IF('wgl tot'!BX56&gt;tabellen!$G$57/12,tabellen!$G$57/12,'wgl tot'!BX56)*(tabellen!$C$57+tabellen!$C$58+tabellen!$C$59)))</f>
        <v>0</v>
      </c>
      <c r="AR56" s="296">
        <f>IF(F56="",0,('wgl tot'!BY56))</f>
        <v>0</v>
      </c>
      <c r="AS56" s="299">
        <f>IF(F56="",0,(IF('wgl tot'!BX56&gt;tabellen!$G$62*'wgl tot'!H56/12,tabellen!$G$62*'wgl tot'!H56/12,'wgl tot'!BX56)*tabellen!$C$62))</f>
        <v>0</v>
      </c>
      <c r="AT56" s="299">
        <f>IF(F56="",0,('wgl tot'!BX56*IF(N56=1,tabellen!$C$63,IF(N56=2,tabellen!C107,IF(N56=3,tabellen!$C$65,tabellen!$C$66)))))</f>
        <v>0</v>
      </c>
      <c r="AU56" s="299">
        <f>IF(F56="",0,('wgl tot'!BX56*tabellen!$C$67))</f>
        <v>0</v>
      </c>
      <c r="AV56" s="299">
        <f>+'wgl tot'!AK56/12</f>
        <v>0</v>
      </c>
      <c r="AW56" s="618">
        <v>0</v>
      </c>
      <c r="AX56" s="299">
        <f t="shared" si="3"/>
        <v>0</v>
      </c>
      <c r="AY56" s="294">
        <f t="shared" si="4"/>
        <v>0</v>
      </c>
      <c r="AZ56" s="300">
        <f t="shared" si="5"/>
        <v>0</v>
      </c>
      <c r="BA56" s="560"/>
      <c r="BB56" s="301" t="str">
        <f>IF(AY56=0,"",(+'wgl tot'!AY56/'wgl tot'!Q56-1))</f>
        <v/>
      </c>
      <c r="BC56" s="560"/>
      <c r="BD56" s="542"/>
      <c r="BF56" s="649">
        <f ca="1">YEAR('wgl tot'!$BF$10)-YEAR('wgl tot'!E56)</f>
        <v>113</v>
      </c>
      <c r="BG56" s="650">
        <f ca="1">MONTH('wgl tot'!$BF$10)-MONTH('wgl tot'!E56)</f>
        <v>11</v>
      </c>
      <c r="BH56" s="650">
        <f ca="1">DAY('wgl tot'!$BF$10)-DAY('wgl tot'!E56)</f>
        <v>1</v>
      </c>
      <c r="BI56" s="635">
        <f>IF(AND('wgl tot'!F56&gt;0,'wgl tot'!F56&lt;16),0,100)</f>
        <v>100</v>
      </c>
      <c r="BJ56" s="635" t="e">
        <f>VLOOKUP('wgl tot'!F56,salaristabellen,22,FALSE)</f>
        <v>#N/A</v>
      </c>
      <c r="BK56" s="635">
        <f t="shared" si="14"/>
        <v>0</v>
      </c>
      <c r="BL56" s="651">
        <f t="shared" si="8"/>
        <v>41275</v>
      </c>
      <c r="BM56" s="652">
        <f t="shared" si="9"/>
        <v>0.08</v>
      </c>
      <c r="BN56" s="653">
        <f>+tabellen!$D$88</f>
        <v>6.3E-2</v>
      </c>
      <c r="BO56" s="650">
        <f>IF('wgl tot'!BI56=100,0,'wgl tot'!F56)</f>
        <v>0</v>
      </c>
      <c r="BP56" s="653" t="str">
        <f>IF(OR('wgl tot'!F56="DA",'wgl tot'!F56="DB",'wgl tot'!F56="DBuit",'wgl tot'!F56="DC",'wgl tot'!F56="DCuit",MID('wgl tot'!F56,1,5)="meerh"),"j","n")</f>
        <v>n</v>
      </c>
      <c r="BQ56" s="653">
        <f t="shared" si="10"/>
        <v>1.9E-2</v>
      </c>
      <c r="BR56" s="654">
        <f>IF(AI56&gt;'wgl tot'!AH56,'wgl tot'!AH56,AI56)</f>
        <v>0</v>
      </c>
      <c r="BS56" s="654"/>
      <c r="BT56" s="655" t="e">
        <f>IF('wgl tot'!AJ56/'wgl tot'!H56&lt;tabellen!$E$54,0,(+'wgl tot'!AJ56-tabellen!$E$54*'wgl tot'!H56)/12*tabellen!$D$54)</f>
        <v>#DIV/0!</v>
      </c>
      <c r="BU56" s="655" t="e">
        <f>IF('wgl tot'!AJ56/'wgl tot'!H56&lt;tabellen!$E$55,0,(+'wgl tot'!AJ56-tabellen!$E$55*'wgl tot'!H56)/12*tabellen!$D$55)</f>
        <v>#DIV/0!</v>
      </c>
      <c r="BV56" s="655">
        <f>'wgl tot'!AJ56/12*tabellen!$D$56</f>
        <v>0</v>
      </c>
      <c r="BW56" s="656" t="e">
        <f t="shared" si="13"/>
        <v>#DIV/0!</v>
      </c>
      <c r="BX56" s="657" t="e">
        <f>+('wgl tot'!AF56+'wgl tot'!AK56)/12-'wgl tot'!BW56</f>
        <v>#DIV/0!</v>
      </c>
      <c r="BY56" s="657" t="e">
        <f>ROUND(IF('wgl tot'!BX56&gt;tabellen!$H$61,tabellen!$H$61,'wgl tot'!BX56)*tabellen!$C$61,2)</f>
        <v>#DIV/0!</v>
      </c>
      <c r="BZ56" s="646" t="e">
        <f>+'wgl tot'!BX56</f>
        <v>#DIV/0!</v>
      </c>
      <c r="CA56" s="654"/>
      <c r="CB56" s="635">
        <f>IF(AND(M56="j",tabellen!$C$118&gt;=E56),1,0)</f>
        <v>0</v>
      </c>
      <c r="CC56" s="647" t="str">
        <f t="shared" si="6"/>
        <v/>
      </c>
      <c r="CD56" s="648" t="str">
        <f t="shared" si="7"/>
        <v/>
      </c>
      <c r="CE56" s="286"/>
      <c r="CF56" s="286"/>
      <c r="CG56" s="286"/>
      <c r="CH56" s="286"/>
      <c r="CI56" s="286"/>
      <c r="CJ56" s="286"/>
    </row>
    <row r="57" spans="2:88" ht="13.5" customHeight="1" x14ac:dyDescent="0.2">
      <c r="B57" s="541"/>
      <c r="C57" s="560"/>
      <c r="D57" s="289"/>
      <c r="E57" s="290"/>
      <c r="F57" s="291"/>
      <c r="G57" s="291"/>
      <c r="H57" s="293"/>
      <c r="I57" s="291"/>
      <c r="J57" s="291"/>
      <c r="K57" s="291"/>
      <c r="L57" s="291"/>
      <c r="M57" s="291"/>
      <c r="N57" s="295"/>
      <c r="O57" s="560"/>
      <c r="P57" s="292">
        <f>IF(F57="",0,(VLOOKUP('wgl tot'!F57,salaristabellen,'wgl tot'!G57+1,FALSE)))</f>
        <v>0</v>
      </c>
      <c r="Q57" s="294">
        <f>+'wgl tot'!P57*'wgl tot'!H57</f>
        <v>0</v>
      </c>
      <c r="R57" s="560"/>
      <c r="S57" s="296">
        <f>ROUND(IF(I57="j",VLOOKUP(BK57,uitlooptoeslag,2,FALSE))*IF('wgl tot'!H57&gt;1,1,'wgl tot'!H57),2)</f>
        <v>0</v>
      </c>
      <c r="T57" s="296">
        <f>ROUND(IF(OR('wgl tot'!F57="LA",'wgl tot'!F57="LB"),IF(J57="j",tabellen!$C$75*'wgl tot'!H57,0),0),2)</f>
        <v>0</v>
      </c>
      <c r="U57" s="296">
        <f>ROUND(IF(('wgl tot'!Q57+'wgl tot'!S57+'wgl tot'!T57)*BM57&lt;'wgl tot'!H57*tabellen!$D$87,'wgl tot'!H57*tabellen!$D$87,('wgl tot'!Q57+'wgl tot'!S57+'wgl tot'!T57)*BM57),2)</f>
        <v>0</v>
      </c>
      <c r="V57" s="296">
        <f>ROUND(+('wgl tot'!Q57+'wgl tot'!S57+'wgl tot'!T57)*BN57,2)</f>
        <v>0</v>
      </c>
      <c r="W57" s="296">
        <f>+tabellen!$C$83*'wgl tot'!H57</f>
        <v>0</v>
      </c>
      <c r="X57" s="296">
        <f>VLOOKUP(BO57,eindejaarsuitkering_OOP,2,TRUE)*'wgl tot'!H57/12</f>
        <v>0</v>
      </c>
      <c r="Y57" s="296">
        <f>ROUND(IF(BP57="j",tabellen!$D$96*IF('wgl tot'!H57&gt;1,1,'wgl tot'!H57),0),2)</f>
        <v>0</v>
      </c>
      <c r="Z57" s="297">
        <f>+'wgl tot'!Q57+S57+T57+U57+V57+W57+X57+Y57</f>
        <v>0</v>
      </c>
      <c r="AA57" s="562"/>
      <c r="AB57" s="563"/>
      <c r="AC57" s="292">
        <f>+'wgl tot'!Z57*12</f>
        <v>0</v>
      </c>
      <c r="AD57" s="296">
        <f>ROUND(IF(L57="j",VLOOKUP(K57,bindingstoelage,2,FALSE))*IF('wgl tot'!H57&gt;1,1,'wgl tot'!H57),2)</f>
        <v>0</v>
      </c>
      <c r="AE57" s="296">
        <f>ROUND('wgl tot'!H57*tabellen!$D$94,2)</f>
        <v>0</v>
      </c>
      <c r="AF57" s="292">
        <f>ROUND((AC57+AD57+AE57),0)</f>
        <v>0</v>
      </c>
      <c r="AG57" s="560"/>
      <c r="AH57" s="296">
        <f>+('wgl tot'!AF57/(1+1.9%))*BQ57</f>
        <v>0</v>
      </c>
      <c r="AI57" s="296">
        <f t="shared" si="11"/>
        <v>0</v>
      </c>
      <c r="AJ57" s="292">
        <f>ROUND('wgl tot'!AF57-IF('wgl tot'!AI57&gt;'wgl tot'!AH57,'wgl tot'!AH57,'wgl tot'!AI57),0)</f>
        <v>0</v>
      </c>
      <c r="AK57" s="298">
        <f>IF('wgl tot'!E57&lt;1950,0,+('wgl tot'!Q57+'wgl tot'!S57+'wgl tot'!T57)*tabellen!$C$85)*12</f>
        <v>0</v>
      </c>
      <c r="AL57" s="560"/>
      <c r="AM57" s="296">
        <f>+'wgl tot'!AF57/12</f>
        <v>0</v>
      </c>
      <c r="AN57" s="296">
        <f>IF(F57="",0,(IF('wgl tot'!AJ57/'wgl tot'!H57&lt;tabellen!$E$54,0,('wgl tot'!AJ57-tabellen!$E$54*'wgl tot'!H57)/12)*tabellen!$C$54))</f>
        <v>0</v>
      </c>
      <c r="AO57" s="296">
        <f>IF(F57="",0,(IF('wgl tot'!AJ57/'wgl tot'!H57&lt;tabellen!$E$55,0,(+'wgl tot'!AJ57-tabellen!$E$55*'wgl tot'!H57)/12)*tabellen!$C$55))</f>
        <v>0</v>
      </c>
      <c r="AP57" s="296">
        <f>'wgl tot'!AJ57/12*tabellen!$C$56</f>
        <v>0</v>
      </c>
      <c r="AQ57" s="296">
        <f>IF(F57="",0,IF(CD57=0,IF(CB57=0,IF('wgl tot'!BX57&gt;tabellen!$G$57/12,tabellen!$G$57/12,'wgl tot'!BX57)*(tabellen!$C$57+tabellen!$C$58+tabellen!$C$59),IF('wgl tot'!BX57&gt;tabellen!$G$57/12,tabellen!$G$57/12,'wgl tot'!BX57)*(tabellen!$C$58+tabellen!$C$59)),IF('wgl tot'!BX57&gt;tabellen!$G$57/12,tabellen!$G$57/12,'wgl tot'!BX57)*(tabellen!$C$57+tabellen!$C$58+tabellen!$C$59)))</f>
        <v>0</v>
      </c>
      <c r="AR57" s="296">
        <f>IF(F57="",0,('wgl tot'!BY57))</f>
        <v>0</v>
      </c>
      <c r="AS57" s="299">
        <f>IF(F57="",0,(IF('wgl tot'!BX57&gt;tabellen!$G$62*'wgl tot'!H57/12,tabellen!$G$62*'wgl tot'!H57/12,'wgl tot'!BX57)*tabellen!$C$62))</f>
        <v>0</v>
      </c>
      <c r="AT57" s="299">
        <f>IF(F57="",0,('wgl tot'!BX57*IF(N57=1,tabellen!$C$63,IF(N57=2,tabellen!C108,IF(N57=3,tabellen!$C$65,tabellen!$C$66)))))</f>
        <v>0</v>
      </c>
      <c r="AU57" s="299">
        <f>IF(F57="",0,('wgl tot'!BX57*tabellen!$C$67))</f>
        <v>0</v>
      </c>
      <c r="AV57" s="299">
        <f>+'wgl tot'!AK57/12</f>
        <v>0</v>
      </c>
      <c r="AW57" s="618">
        <v>0</v>
      </c>
      <c r="AX57" s="299">
        <f t="shared" si="3"/>
        <v>0</v>
      </c>
      <c r="AY57" s="294">
        <f t="shared" si="4"/>
        <v>0</v>
      </c>
      <c r="AZ57" s="300">
        <f t="shared" si="5"/>
        <v>0</v>
      </c>
      <c r="BA57" s="560"/>
      <c r="BB57" s="301" t="str">
        <f>IF(AY57=0,"",(+'wgl tot'!AY57/'wgl tot'!Q57-1))</f>
        <v/>
      </c>
      <c r="BC57" s="560"/>
      <c r="BD57" s="542"/>
      <c r="BF57" s="649">
        <f ca="1">YEAR('wgl tot'!$BF$10)-YEAR('wgl tot'!E57)</f>
        <v>113</v>
      </c>
      <c r="BG57" s="650">
        <f ca="1">MONTH('wgl tot'!$BF$10)-MONTH('wgl tot'!E57)</f>
        <v>11</v>
      </c>
      <c r="BH57" s="650">
        <f ca="1">DAY('wgl tot'!$BF$10)-DAY('wgl tot'!E57)</f>
        <v>1</v>
      </c>
      <c r="BI57" s="635">
        <f>IF(AND('wgl tot'!F57&gt;0,'wgl tot'!F57&lt;16),0,100)</f>
        <v>100</v>
      </c>
      <c r="BJ57" s="635" t="e">
        <f>VLOOKUP('wgl tot'!F57,salaristabellen,22,FALSE)</f>
        <v>#N/A</v>
      </c>
      <c r="BK57" s="635">
        <f t="shared" si="14"/>
        <v>0</v>
      </c>
      <c r="BL57" s="651">
        <f t="shared" si="8"/>
        <v>41275</v>
      </c>
      <c r="BM57" s="652">
        <f t="shared" si="9"/>
        <v>0.08</v>
      </c>
      <c r="BN57" s="653">
        <f>+tabellen!$D$88</f>
        <v>6.3E-2</v>
      </c>
      <c r="BO57" s="650">
        <f>IF('wgl tot'!BI57=100,0,'wgl tot'!F57)</f>
        <v>0</v>
      </c>
      <c r="BP57" s="653" t="str">
        <f>IF(OR('wgl tot'!F57="DA",'wgl tot'!F57="DB",'wgl tot'!F57="DBuit",'wgl tot'!F57="DC",'wgl tot'!F57="DCuit",MID('wgl tot'!F57,1,5)="meerh"),"j","n")</f>
        <v>n</v>
      </c>
      <c r="BQ57" s="653">
        <f t="shared" si="10"/>
        <v>1.9E-2</v>
      </c>
      <c r="BR57" s="654">
        <f>IF(AI57&gt;'wgl tot'!AH57,'wgl tot'!AH57,AI57)</f>
        <v>0</v>
      </c>
      <c r="BS57" s="654"/>
      <c r="BT57" s="655" t="e">
        <f>IF('wgl tot'!AJ57/'wgl tot'!H57&lt;tabellen!$E$54,0,(+'wgl tot'!AJ57-tabellen!$E$54*'wgl tot'!H57)/12*tabellen!$D$54)</f>
        <v>#DIV/0!</v>
      </c>
      <c r="BU57" s="655" t="e">
        <f>IF('wgl tot'!AJ57/'wgl tot'!H57&lt;tabellen!$E$55,0,(+'wgl tot'!AJ57-tabellen!$E$55*'wgl tot'!H57)/12*tabellen!$D$55)</f>
        <v>#DIV/0!</v>
      </c>
      <c r="BV57" s="655">
        <f>'wgl tot'!AJ57/12*tabellen!$D$56</f>
        <v>0</v>
      </c>
      <c r="BW57" s="656" t="e">
        <f>SUM(BT57:BV57)</f>
        <v>#DIV/0!</v>
      </c>
      <c r="BX57" s="657" t="e">
        <f>+('wgl tot'!AF57+'wgl tot'!AK57)/12-'wgl tot'!BW57</f>
        <v>#DIV/0!</v>
      </c>
      <c r="BY57" s="657" t="e">
        <f>ROUND(IF('wgl tot'!BX57&gt;tabellen!$H$61,tabellen!$H$61,'wgl tot'!BX57)*tabellen!$C$61,2)</f>
        <v>#DIV/0!</v>
      </c>
      <c r="BZ57" s="646" t="e">
        <f>+'wgl tot'!BX57</f>
        <v>#DIV/0!</v>
      </c>
      <c r="CA57" s="654"/>
      <c r="CB57" s="635">
        <f>IF(AND(M57="j",tabellen!$C$118&gt;=E57),1,0)</f>
        <v>0</v>
      </c>
      <c r="CC57" s="647" t="str">
        <f t="shared" si="6"/>
        <v/>
      </c>
      <c r="CD57" s="648" t="str">
        <f t="shared" si="7"/>
        <v/>
      </c>
      <c r="CE57" s="286"/>
      <c r="CF57" s="286"/>
      <c r="CG57" s="286"/>
      <c r="CH57" s="286"/>
      <c r="CI57" s="286"/>
      <c r="CJ57" s="286"/>
    </row>
    <row r="58" spans="2:88" ht="13.5" customHeight="1" x14ac:dyDescent="0.2">
      <c r="B58" s="541"/>
      <c r="C58" s="560"/>
      <c r="D58" s="289"/>
      <c r="E58" s="290"/>
      <c r="F58" s="291"/>
      <c r="G58" s="291"/>
      <c r="H58" s="293"/>
      <c r="I58" s="291"/>
      <c r="J58" s="291"/>
      <c r="K58" s="291"/>
      <c r="L58" s="291"/>
      <c r="M58" s="291"/>
      <c r="N58" s="295"/>
      <c r="O58" s="560"/>
      <c r="P58" s="292">
        <f>IF(F58="",0,(VLOOKUP('wgl tot'!F58,salaristabellen,'wgl tot'!G58+1,FALSE)))</f>
        <v>0</v>
      </c>
      <c r="Q58" s="294">
        <f>+'wgl tot'!P58*'wgl tot'!H58</f>
        <v>0</v>
      </c>
      <c r="R58" s="560"/>
      <c r="S58" s="296">
        <f>ROUND(IF(I58="j",VLOOKUP(BK58,uitlooptoeslag,2,FALSE))*IF('wgl tot'!H58&gt;1,1,'wgl tot'!H58),2)</f>
        <v>0</v>
      </c>
      <c r="T58" s="296">
        <f>ROUND(IF(OR('wgl tot'!F58="LA",'wgl tot'!F58="LB"),IF(J58="j",tabellen!$C$75*'wgl tot'!H58,0),0),2)</f>
        <v>0</v>
      </c>
      <c r="U58" s="296">
        <f>ROUND(IF(('wgl tot'!Q58+'wgl tot'!S58+'wgl tot'!T58)*BM58&lt;'wgl tot'!H58*tabellen!$D$87,'wgl tot'!H58*tabellen!$D$87,('wgl tot'!Q58+'wgl tot'!S58+'wgl tot'!T58)*BM58),2)</f>
        <v>0</v>
      </c>
      <c r="V58" s="296">
        <f>ROUND(+('wgl tot'!Q58+'wgl tot'!S58+'wgl tot'!T58)*BN58,2)</f>
        <v>0</v>
      </c>
      <c r="W58" s="296">
        <f>+tabellen!$C$83*'wgl tot'!H58</f>
        <v>0</v>
      </c>
      <c r="X58" s="296">
        <f>VLOOKUP(BO58,eindejaarsuitkering_OOP,2,TRUE)*'wgl tot'!H58/12</f>
        <v>0</v>
      </c>
      <c r="Y58" s="296">
        <f>ROUND(IF(BP58="j",tabellen!$D$96*IF('wgl tot'!H58&gt;1,1,'wgl tot'!H58),0),2)</f>
        <v>0</v>
      </c>
      <c r="Z58" s="297">
        <f>+'wgl tot'!Q58+S58+T58+U58+V58+W58+X58+Y58</f>
        <v>0</v>
      </c>
      <c r="AA58" s="562"/>
      <c r="AB58" s="563"/>
      <c r="AC58" s="292">
        <f>+'wgl tot'!Z58*12</f>
        <v>0</v>
      </c>
      <c r="AD58" s="296">
        <f>ROUND(IF(L58="j",VLOOKUP(K58,bindingstoelage,2,FALSE))*IF('wgl tot'!H58&gt;1,1,'wgl tot'!H58),2)</f>
        <v>0</v>
      </c>
      <c r="AE58" s="296">
        <f>ROUND('wgl tot'!H58*tabellen!$D$94,2)</f>
        <v>0</v>
      </c>
      <c r="AF58" s="292">
        <f>ROUND((AC58+AD58+AE58),0)</f>
        <v>0</v>
      </c>
      <c r="AG58" s="560"/>
      <c r="AH58" s="296">
        <f>+('wgl tot'!AF58/(1+1.9%))*BQ58</f>
        <v>0</v>
      </c>
      <c r="AI58" s="296">
        <f t="shared" si="11"/>
        <v>0</v>
      </c>
      <c r="AJ58" s="292">
        <f>ROUND('wgl tot'!AF58-IF('wgl tot'!AI58&gt;'wgl tot'!AH58,'wgl tot'!AH58,'wgl tot'!AI58),0)</f>
        <v>0</v>
      </c>
      <c r="AK58" s="298">
        <f>IF('wgl tot'!E58&lt;1950,0,+('wgl tot'!Q58+'wgl tot'!S58+'wgl tot'!T58)*tabellen!$C$85)*12</f>
        <v>0</v>
      </c>
      <c r="AL58" s="560"/>
      <c r="AM58" s="296">
        <f>+'wgl tot'!AF58/12</f>
        <v>0</v>
      </c>
      <c r="AN58" s="296">
        <f>IF(F58="",0,(IF('wgl tot'!AJ58/'wgl tot'!H58&lt;tabellen!$E$54,0,('wgl tot'!AJ58-tabellen!$E$54*'wgl tot'!H58)/12)*tabellen!$C$54))</f>
        <v>0</v>
      </c>
      <c r="AO58" s="296">
        <f>IF(F58="",0,(IF('wgl tot'!AJ58/'wgl tot'!H58&lt;tabellen!$E$55,0,(+'wgl tot'!AJ58-tabellen!$E$55*'wgl tot'!H58)/12)*tabellen!$C$55))</f>
        <v>0</v>
      </c>
      <c r="AP58" s="296">
        <f>'wgl tot'!AJ58/12*tabellen!$C$56</f>
        <v>0</v>
      </c>
      <c r="AQ58" s="296">
        <f>IF(F58="",0,IF(CD58=0,IF(CB58=0,IF('wgl tot'!BX58&gt;tabellen!$G$57/12,tabellen!$G$57/12,'wgl tot'!BX58)*(tabellen!$C$57+tabellen!$C$58+tabellen!$C$59),IF('wgl tot'!BX58&gt;tabellen!$G$57/12,tabellen!$G$57/12,'wgl tot'!BX58)*(tabellen!$C$58+tabellen!$C$59)),IF('wgl tot'!BX58&gt;tabellen!$G$57/12,tabellen!$G$57/12,'wgl tot'!BX58)*(tabellen!$C$57+tabellen!$C$58+tabellen!$C$59)))</f>
        <v>0</v>
      </c>
      <c r="AR58" s="296">
        <f>IF(F58="",0,('wgl tot'!BY58))</f>
        <v>0</v>
      </c>
      <c r="AS58" s="299">
        <f>IF(F58="",0,(IF('wgl tot'!BX58&gt;tabellen!$G$62*'wgl tot'!H58/12,tabellen!$G$62*'wgl tot'!H58/12,'wgl tot'!BX58)*tabellen!$C$62))</f>
        <v>0</v>
      </c>
      <c r="AT58" s="299">
        <f>IF(F58="",0,('wgl tot'!BX58*IF(N58=1,tabellen!$C$63,IF(N58=2,tabellen!C109,IF(N58=3,tabellen!$C$65,tabellen!$C$66)))))</f>
        <v>0</v>
      </c>
      <c r="AU58" s="299">
        <f>IF(F58="",0,('wgl tot'!BX58*tabellen!$C$67))</f>
        <v>0</v>
      </c>
      <c r="AV58" s="299">
        <f>+'wgl tot'!AK58/12</f>
        <v>0</v>
      </c>
      <c r="AW58" s="618">
        <v>0</v>
      </c>
      <c r="AX58" s="299">
        <f t="shared" si="3"/>
        <v>0</v>
      </c>
      <c r="AY58" s="294">
        <f t="shared" si="4"/>
        <v>0</v>
      </c>
      <c r="AZ58" s="300">
        <f t="shared" si="5"/>
        <v>0</v>
      </c>
      <c r="BA58" s="560"/>
      <c r="BB58" s="301" t="str">
        <f>IF(AY58=0,"",(+'wgl tot'!AY58/'wgl tot'!Q58-1))</f>
        <v/>
      </c>
      <c r="BC58" s="560"/>
      <c r="BD58" s="542"/>
      <c r="BF58" s="649">
        <f ca="1">YEAR('wgl tot'!$BF$10)-YEAR('wgl tot'!E58)</f>
        <v>113</v>
      </c>
      <c r="BG58" s="650">
        <f ca="1">MONTH('wgl tot'!$BF$10)-MONTH('wgl tot'!E58)</f>
        <v>11</v>
      </c>
      <c r="BH58" s="650">
        <f ca="1">DAY('wgl tot'!$BF$10)-DAY('wgl tot'!E58)</f>
        <v>1</v>
      </c>
      <c r="BI58" s="635">
        <f>IF(AND('wgl tot'!F58&gt;0,'wgl tot'!F58&lt;16),0,100)</f>
        <v>100</v>
      </c>
      <c r="BJ58" s="635" t="e">
        <f>VLOOKUP('wgl tot'!F58,salaristabellen,22,FALSE)</f>
        <v>#N/A</v>
      </c>
      <c r="BK58" s="635">
        <f t="shared" si="14"/>
        <v>0</v>
      </c>
      <c r="BL58" s="651">
        <f t="shared" si="8"/>
        <v>41275</v>
      </c>
      <c r="BM58" s="652">
        <f t="shared" si="9"/>
        <v>0.08</v>
      </c>
      <c r="BN58" s="653">
        <f>+tabellen!$D$88</f>
        <v>6.3E-2</v>
      </c>
      <c r="BO58" s="650">
        <f>IF('wgl tot'!BI58=100,0,'wgl tot'!F58)</f>
        <v>0</v>
      </c>
      <c r="BP58" s="653" t="str">
        <f>IF(OR('wgl tot'!F58="DA",'wgl tot'!F58="DB",'wgl tot'!F58="DBuit",'wgl tot'!F58="DC",'wgl tot'!F58="DCuit",MID('wgl tot'!F58,1,5)="meerh"),"j","n")</f>
        <v>n</v>
      </c>
      <c r="BQ58" s="653">
        <f t="shared" si="10"/>
        <v>1.9E-2</v>
      </c>
      <c r="BR58" s="654">
        <f>IF(AI58&gt;'wgl tot'!AH58,'wgl tot'!AH58,AI58)</f>
        <v>0</v>
      </c>
      <c r="BS58" s="654"/>
      <c r="BT58" s="655" t="e">
        <f>IF('wgl tot'!AJ58/'wgl tot'!H58&lt;tabellen!$E$54,0,(+'wgl tot'!AJ58-tabellen!$E$54*'wgl tot'!H58)/12*tabellen!$D$54)</f>
        <v>#DIV/0!</v>
      </c>
      <c r="BU58" s="655" t="e">
        <f>IF('wgl tot'!AJ58/'wgl tot'!H58&lt;tabellen!$E$55,0,(+'wgl tot'!AJ58-tabellen!$E$55*'wgl tot'!H58)/12*tabellen!$D$55)</f>
        <v>#DIV/0!</v>
      </c>
      <c r="BV58" s="655">
        <f>'wgl tot'!AJ58/12*tabellen!$D$56</f>
        <v>0</v>
      </c>
      <c r="BW58" s="656" t="e">
        <f>SUM(BT58:BV58)</f>
        <v>#DIV/0!</v>
      </c>
      <c r="BX58" s="657" t="e">
        <f>+('wgl tot'!AF58+'wgl tot'!AK58)/12-'wgl tot'!BW58</f>
        <v>#DIV/0!</v>
      </c>
      <c r="BY58" s="657" t="e">
        <f>ROUND(IF('wgl tot'!BX58&gt;tabellen!$H$61,tabellen!$H$61,'wgl tot'!BX58)*tabellen!$C$61,2)</f>
        <v>#DIV/0!</v>
      </c>
      <c r="BZ58" s="646" t="e">
        <f>+'wgl tot'!BX58</f>
        <v>#DIV/0!</v>
      </c>
      <c r="CA58" s="654"/>
      <c r="CB58" s="635">
        <f>IF(AND(M58="j",tabellen!$C$118&gt;=E58),1,0)</f>
        <v>0</v>
      </c>
      <c r="CC58" s="647" t="str">
        <f t="shared" si="6"/>
        <v/>
      </c>
      <c r="CD58" s="648" t="str">
        <f t="shared" si="7"/>
        <v/>
      </c>
      <c r="CE58" s="286"/>
      <c r="CF58" s="286"/>
      <c r="CG58" s="286"/>
      <c r="CH58" s="286"/>
      <c r="CI58" s="286"/>
      <c r="CJ58" s="286"/>
    </row>
    <row r="59" spans="2:88" ht="13.5" customHeight="1" x14ac:dyDescent="0.2">
      <c r="B59" s="541"/>
      <c r="C59" s="560"/>
      <c r="D59" s="289"/>
      <c r="E59" s="290"/>
      <c r="F59" s="291"/>
      <c r="G59" s="291"/>
      <c r="H59" s="293"/>
      <c r="I59" s="291"/>
      <c r="J59" s="291"/>
      <c r="K59" s="291"/>
      <c r="L59" s="291"/>
      <c r="M59" s="291"/>
      <c r="N59" s="295"/>
      <c r="O59" s="560"/>
      <c r="P59" s="292">
        <f>IF(F59="",0,(VLOOKUP('wgl tot'!F59,salaristabellen,'wgl tot'!G59+1,FALSE)))</f>
        <v>0</v>
      </c>
      <c r="Q59" s="294">
        <f>+'wgl tot'!P59*'wgl tot'!H59</f>
        <v>0</v>
      </c>
      <c r="R59" s="560"/>
      <c r="S59" s="296">
        <f>ROUND(IF(I59="j",VLOOKUP(BK59,uitlooptoeslag,2,FALSE))*IF('wgl tot'!H59&gt;1,1,'wgl tot'!H59),2)</f>
        <v>0</v>
      </c>
      <c r="T59" s="296">
        <f>ROUND(IF(OR('wgl tot'!F59="LA",'wgl tot'!F59="LB"),IF(J59="j",tabellen!$C$75*'wgl tot'!H59,0),0),2)</f>
        <v>0</v>
      </c>
      <c r="U59" s="296">
        <f>ROUND(IF(('wgl tot'!Q59+'wgl tot'!S59+'wgl tot'!T59)*BM59&lt;'wgl tot'!H59*tabellen!$D$87,'wgl tot'!H59*tabellen!$D$87,('wgl tot'!Q59+'wgl tot'!S59+'wgl tot'!T59)*BM59),2)</f>
        <v>0</v>
      </c>
      <c r="V59" s="296">
        <f>ROUND(+('wgl tot'!Q59+'wgl tot'!S59+'wgl tot'!T59)*BN59,2)</f>
        <v>0</v>
      </c>
      <c r="W59" s="296">
        <f>+tabellen!$C$83*'wgl tot'!H59</f>
        <v>0</v>
      </c>
      <c r="X59" s="296">
        <f>VLOOKUP(BO59,eindejaarsuitkering_OOP,2,TRUE)*'wgl tot'!H59/12</f>
        <v>0</v>
      </c>
      <c r="Y59" s="296">
        <f>ROUND(IF(BP59="j",tabellen!$D$96*IF('wgl tot'!H59&gt;1,1,'wgl tot'!H59),0),2)</f>
        <v>0</v>
      </c>
      <c r="Z59" s="297">
        <f>+'wgl tot'!Q59+S59+T59+U59+V59+W59+X59+Y59</f>
        <v>0</v>
      </c>
      <c r="AA59" s="562"/>
      <c r="AB59" s="563"/>
      <c r="AC59" s="292">
        <f>+'wgl tot'!Z59*12</f>
        <v>0</v>
      </c>
      <c r="AD59" s="296">
        <f>ROUND(IF(L59="j",VLOOKUP(K59,bindingstoelage,2,FALSE))*IF('wgl tot'!H59&gt;1,1,'wgl tot'!H59),2)</f>
        <v>0</v>
      </c>
      <c r="AE59" s="296">
        <f>ROUND('wgl tot'!H59*tabellen!$D$94,2)</f>
        <v>0</v>
      </c>
      <c r="AF59" s="292">
        <f>ROUND((AC59+AD59+AE59),0)</f>
        <v>0</v>
      </c>
      <c r="AG59" s="560"/>
      <c r="AH59" s="296">
        <f>+('wgl tot'!AF59/(1+1.9%))*BQ59</f>
        <v>0</v>
      </c>
      <c r="AI59" s="296">
        <f t="shared" si="11"/>
        <v>0</v>
      </c>
      <c r="AJ59" s="292">
        <f>ROUND('wgl tot'!AF59-IF('wgl tot'!AI59&gt;'wgl tot'!AH59,'wgl tot'!AH59,'wgl tot'!AI59),0)</f>
        <v>0</v>
      </c>
      <c r="AK59" s="298">
        <f>IF('wgl tot'!E59&lt;1950,0,+('wgl tot'!Q59+'wgl tot'!S59+'wgl tot'!T59)*tabellen!$C$85)*12</f>
        <v>0</v>
      </c>
      <c r="AL59" s="560"/>
      <c r="AM59" s="296">
        <f>+'wgl tot'!AF59/12</f>
        <v>0</v>
      </c>
      <c r="AN59" s="296">
        <f>IF(F59="",0,(IF('wgl tot'!AJ59/'wgl tot'!H59&lt;tabellen!$E$54,0,('wgl tot'!AJ59-tabellen!$E$54*'wgl tot'!H59)/12)*tabellen!$C$54))</f>
        <v>0</v>
      </c>
      <c r="AO59" s="296">
        <f>IF(F59="",0,(IF('wgl tot'!AJ59/'wgl tot'!H59&lt;tabellen!$E$55,0,(+'wgl tot'!AJ59-tabellen!$E$55*'wgl tot'!H59)/12)*tabellen!$C$55))</f>
        <v>0</v>
      </c>
      <c r="AP59" s="296">
        <f>'wgl tot'!AJ59/12*tabellen!$C$56</f>
        <v>0</v>
      </c>
      <c r="AQ59" s="296">
        <f>IF(F59="",0,IF(CD59=0,IF(CB59=0,IF('wgl tot'!BX59&gt;tabellen!$G$57/12,tabellen!$G$57/12,'wgl tot'!BX59)*(tabellen!$C$57+tabellen!$C$58+tabellen!$C$59),IF('wgl tot'!BX59&gt;tabellen!$G$57/12,tabellen!$G$57/12,'wgl tot'!BX59)*(tabellen!$C$58+tabellen!$C$59)),IF('wgl tot'!BX59&gt;tabellen!$G$57/12,tabellen!$G$57/12,'wgl tot'!BX59)*(tabellen!$C$57+tabellen!$C$58+tabellen!$C$59)))</f>
        <v>0</v>
      </c>
      <c r="AR59" s="296">
        <f>IF(F59="",0,('wgl tot'!BY59))</f>
        <v>0</v>
      </c>
      <c r="AS59" s="299">
        <f>IF(F59="",0,(IF('wgl tot'!BX59&gt;tabellen!$G$62*'wgl tot'!H59/12,tabellen!$G$62*'wgl tot'!H59/12,'wgl tot'!BX59)*tabellen!$C$62))</f>
        <v>0</v>
      </c>
      <c r="AT59" s="299">
        <f>IF(F59="",0,('wgl tot'!BX59*IF(N59=1,tabellen!$C$63,IF(N59=2,tabellen!C110,IF(N59=3,tabellen!$C$65,tabellen!$C$66)))))</f>
        <v>0</v>
      </c>
      <c r="AU59" s="299">
        <f>IF(F59="",0,('wgl tot'!BX59*tabellen!$C$67))</f>
        <v>0</v>
      </c>
      <c r="AV59" s="299">
        <f>+'wgl tot'!AK59/12</f>
        <v>0</v>
      </c>
      <c r="AW59" s="618">
        <v>0</v>
      </c>
      <c r="AX59" s="299">
        <f t="shared" si="3"/>
        <v>0</v>
      </c>
      <c r="AY59" s="294">
        <f t="shared" si="4"/>
        <v>0</v>
      </c>
      <c r="AZ59" s="300">
        <f t="shared" si="5"/>
        <v>0</v>
      </c>
      <c r="BA59" s="560"/>
      <c r="BB59" s="301" t="str">
        <f>IF(AY59=0,"",(+'wgl tot'!AY59/'wgl tot'!Q59-1))</f>
        <v/>
      </c>
      <c r="BC59" s="560"/>
      <c r="BD59" s="542"/>
      <c r="BF59" s="649">
        <f ca="1">YEAR('wgl tot'!$BF$10)-YEAR('wgl tot'!E59)</f>
        <v>113</v>
      </c>
      <c r="BG59" s="650">
        <f ca="1">MONTH('wgl tot'!$BF$10)-MONTH('wgl tot'!E59)</f>
        <v>11</v>
      </c>
      <c r="BH59" s="650">
        <f ca="1">DAY('wgl tot'!$BF$10)-DAY('wgl tot'!E59)</f>
        <v>1</v>
      </c>
      <c r="BI59" s="635">
        <f>IF(AND('wgl tot'!F59&gt;0,'wgl tot'!F59&lt;16),0,100)</f>
        <v>100</v>
      </c>
      <c r="BJ59" s="635" t="e">
        <f>VLOOKUP('wgl tot'!F59,salaristabellen,22,FALSE)</f>
        <v>#N/A</v>
      </c>
      <c r="BK59" s="635">
        <f t="shared" si="14"/>
        <v>0</v>
      </c>
      <c r="BL59" s="651">
        <f t="shared" si="8"/>
        <v>41275</v>
      </c>
      <c r="BM59" s="652">
        <f t="shared" si="9"/>
        <v>0.08</v>
      </c>
      <c r="BN59" s="653">
        <f>+tabellen!$D$88</f>
        <v>6.3E-2</v>
      </c>
      <c r="BO59" s="650">
        <f>IF('wgl tot'!BI59=100,0,'wgl tot'!F59)</f>
        <v>0</v>
      </c>
      <c r="BP59" s="653" t="str">
        <f>IF(OR('wgl tot'!F59="DA",'wgl tot'!F59="DB",'wgl tot'!F59="DBuit",'wgl tot'!F59="DC",'wgl tot'!F59="DCuit",MID('wgl tot'!F59,1,5)="meerh"),"j","n")</f>
        <v>n</v>
      </c>
      <c r="BQ59" s="653">
        <f t="shared" si="10"/>
        <v>1.9E-2</v>
      </c>
      <c r="BR59" s="654">
        <f>IF(AI59&gt;'wgl tot'!AH59,'wgl tot'!AH59,AI59)</f>
        <v>0</v>
      </c>
      <c r="BS59" s="654"/>
      <c r="BT59" s="655" t="e">
        <f>IF('wgl tot'!AJ59/'wgl tot'!H59&lt;tabellen!$E$54,0,(+'wgl tot'!AJ59-tabellen!$E$54*'wgl tot'!H59)/12*tabellen!$D$54)</f>
        <v>#DIV/0!</v>
      </c>
      <c r="BU59" s="655" t="e">
        <f>IF('wgl tot'!AJ59/'wgl tot'!H59&lt;tabellen!$E$55,0,(+'wgl tot'!AJ59-tabellen!$E$55*'wgl tot'!H59)/12*tabellen!$D$55)</f>
        <v>#DIV/0!</v>
      </c>
      <c r="BV59" s="655">
        <f>'wgl tot'!AJ59/12*tabellen!$D$56</f>
        <v>0</v>
      </c>
      <c r="BW59" s="656" t="e">
        <f>SUM(BT59:BV59)</f>
        <v>#DIV/0!</v>
      </c>
      <c r="BX59" s="657" t="e">
        <f>+('wgl tot'!AF59+'wgl tot'!AK59)/12-'wgl tot'!BW59</f>
        <v>#DIV/0!</v>
      </c>
      <c r="BY59" s="657" t="e">
        <f>ROUND(IF('wgl tot'!BX59&gt;tabellen!$H$61,tabellen!$H$61,'wgl tot'!BX59)*tabellen!$C$61,2)</f>
        <v>#DIV/0!</v>
      </c>
      <c r="BZ59" s="646" t="e">
        <f>+'wgl tot'!BX59</f>
        <v>#DIV/0!</v>
      </c>
      <c r="CA59" s="654"/>
      <c r="CB59" s="635">
        <f>IF(AND(M59="j",tabellen!$C$118&gt;=E59),1,0)</f>
        <v>0</v>
      </c>
      <c r="CC59" s="647" t="str">
        <f t="shared" si="6"/>
        <v/>
      </c>
      <c r="CD59" s="648" t="str">
        <f t="shared" si="7"/>
        <v/>
      </c>
      <c r="CE59" s="286"/>
      <c r="CF59" s="286"/>
      <c r="CG59" s="286"/>
      <c r="CH59" s="286"/>
      <c r="CI59" s="286"/>
      <c r="CJ59" s="286"/>
    </row>
    <row r="60" spans="2:88" ht="13.5" customHeight="1" x14ac:dyDescent="0.2">
      <c r="B60" s="541"/>
      <c r="C60" s="560"/>
      <c r="D60" s="289"/>
      <c r="E60" s="290"/>
      <c r="F60" s="291"/>
      <c r="G60" s="291"/>
      <c r="H60" s="293"/>
      <c r="I60" s="291"/>
      <c r="J60" s="291"/>
      <c r="K60" s="291"/>
      <c r="L60" s="291"/>
      <c r="M60" s="291"/>
      <c r="N60" s="295"/>
      <c r="O60" s="560"/>
      <c r="P60" s="292">
        <f>IF(F60="",0,(VLOOKUP('wgl tot'!F60,salaristabellen,'wgl tot'!G60+1,FALSE)))</f>
        <v>0</v>
      </c>
      <c r="Q60" s="294">
        <f>+'wgl tot'!P60*'wgl tot'!H60</f>
        <v>0</v>
      </c>
      <c r="R60" s="560"/>
      <c r="S60" s="296">
        <f>ROUND(IF(I60="j",VLOOKUP(BK60,uitlooptoeslag,2,FALSE))*IF('wgl tot'!H60&gt;1,1,'wgl tot'!H60),2)</f>
        <v>0</v>
      </c>
      <c r="T60" s="296">
        <f>ROUND(IF(OR('wgl tot'!F60="LA",'wgl tot'!F60="LB"),IF(J60="j",tabellen!$C$75*'wgl tot'!H60,0),0),2)</f>
        <v>0</v>
      </c>
      <c r="U60" s="296">
        <f>ROUND(IF(('wgl tot'!Q60+'wgl tot'!S60+'wgl tot'!T60)*BM60&lt;'wgl tot'!H60*tabellen!$D$87,'wgl tot'!H60*tabellen!$D$87,('wgl tot'!Q60+'wgl tot'!S60+'wgl tot'!T60)*BM60),2)</f>
        <v>0</v>
      </c>
      <c r="V60" s="296">
        <f>ROUND(+('wgl tot'!Q60+'wgl tot'!S60+'wgl tot'!T60)*BN60,2)</f>
        <v>0</v>
      </c>
      <c r="W60" s="296">
        <f>+tabellen!$C$83*'wgl tot'!H60</f>
        <v>0</v>
      </c>
      <c r="X60" s="296">
        <f>VLOOKUP(BO60,eindejaarsuitkering_OOP,2,TRUE)*'wgl tot'!H60/12</f>
        <v>0</v>
      </c>
      <c r="Y60" s="296">
        <f>ROUND(IF(BP60="j",tabellen!$D$96*IF('wgl tot'!H60&gt;1,1,'wgl tot'!H60),0),2)</f>
        <v>0</v>
      </c>
      <c r="Z60" s="297">
        <f>+'wgl tot'!Q60+S60+T60+U60+V60+W60+X60+Y60</f>
        <v>0</v>
      </c>
      <c r="AA60" s="562"/>
      <c r="AB60" s="563"/>
      <c r="AC60" s="292">
        <f>+'wgl tot'!Z60*12</f>
        <v>0</v>
      </c>
      <c r="AD60" s="296">
        <f>ROUND(IF(L60="j",VLOOKUP(K60,bindingstoelage,2,FALSE))*IF('wgl tot'!H60&gt;1,1,'wgl tot'!H60),2)</f>
        <v>0</v>
      </c>
      <c r="AE60" s="296">
        <f>ROUND('wgl tot'!H60*tabellen!$D$94,2)</f>
        <v>0</v>
      </c>
      <c r="AF60" s="292">
        <f>ROUND((AC60+AD60+AE60),0)</f>
        <v>0</v>
      </c>
      <c r="AG60" s="560"/>
      <c r="AH60" s="296">
        <f>+('wgl tot'!AF60/(1+1.9%))*BQ60</f>
        <v>0</v>
      </c>
      <c r="AI60" s="296">
        <f t="shared" si="11"/>
        <v>0</v>
      </c>
      <c r="AJ60" s="292">
        <f>ROUND('wgl tot'!AF60-IF('wgl tot'!AI60&gt;'wgl tot'!AH60,'wgl tot'!AH60,'wgl tot'!AI60),0)</f>
        <v>0</v>
      </c>
      <c r="AK60" s="298">
        <f>IF('wgl tot'!E60&lt;1950,0,+('wgl tot'!Q60+'wgl tot'!S60+'wgl tot'!T60)*tabellen!$C$85)*12</f>
        <v>0</v>
      </c>
      <c r="AL60" s="560"/>
      <c r="AM60" s="296">
        <f>+'wgl tot'!AF60/12</f>
        <v>0</v>
      </c>
      <c r="AN60" s="296">
        <f>IF(F60="",0,(IF('wgl tot'!AJ60/'wgl tot'!H60&lt;tabellen!$E$54,0,('wgl tot'!AJ60-tabellen!$E$54*'wgl tot'!H60)/12)*tabellen!$C$54))</f>
        <v>0</v>
      </c>
      <c r="AO60" s="296">
        <f>IF(F60="",0,(IF('wgl tot'!AJ60/'wgl tot'!H60&lt;tabellen!$E$55,0,(+'wgl tot'!AJ60-tabellen!$E$55*'wgl tot'!H60)/12)*tabellen!$C$55))</f>
        <v>0</v>
      </c>
      <c r="AP60" s="296">
        <f>'wgl tot'!AJ60/12*tabellen!$C$56</f>
        <v>0</v>
      </c>
      <c r="AQ60" s="296">
        <f>IF(F60="",0,IF(CD60=0,IF(CB60=0,IF('wgl tot'!BX60&gt;tabellen!$G$57/12,tabellen!$G$57/12,'wgl tot'!BX60)*(tabellen!$C$57+tabellen!$C$58+tabellen!$C$59),IF('wgl tot'!BX60&gt;tabellen!$G$57/12,tabellen!$G$57/12,'wgl tot'!BX60)*(tabellen!$C$58+tabellen!$C$59)),IF('wgl tot'!BX60&gt;tabellen!$G$57/12,tabellen!$G$57/12,'wgl tot'!BX60)*(tabellen!$C$57+tabellen!$C$58+tabellen!$C$59)))</f>
        <v>0</v>
      </c>
      <c r="AR60" s="296">
        <f>IF(F60="",0,('wgl tot'!BY60))</f>
        <v>0</v>
      </c>
      <c r="AS60" s="299">
        <f>IF(F60="",0,(IF('wgl tot'!BX60&gt;tabellen!$G$62*'wgl tot'!H60/12,tabellen!$G$62*'wgl tot'!H60/12,'wgl tot'!BX60)*tabellen!$C$62))</f>
        <v>0</v>
      </c>
      <c r="AT60" s="299">
        <f>IF(F60="",0,('wgl tot'!BX60*IF(N60=1,tabellen!$C$63,IF(N60=2,tabellen!C111,IF(N60=3,tabellen!$C$65,tabellen!$C$66)))))</f>
        <v>0</v>
      </c>
      <c r="AU60" s="299">
        <f>IF(F60="",0,('wgl tot'!BX60*tabellen!$C$67))</f>
        <v>0</v>
      </c>
      <c r="AV60" s="299">
        <f>+'wgl tot'!AK60/12</f>
        <v>0</v>
      </c>
      <c r="AW60" s="618">
        <v>0</v>
      </c>
      <c r="AX60" s="299">
        <f t="shared" si="3"/>
        <v>0</v>
      </c>
      <c r="AY60" s="294">
        <f t="shared" si="4"/>
        <v>0</v>
      </c>
      <c r="AZ60" s="300">
        <f t="shared" si="5"/>
        <v>0</v>
      </c>
      <c r="BA60" s="560"/>
      <c r="BB60" s="301" t="str">
        <f>IF(AY60=0,"",(+'wgl tot'!AY60/'wgl tot'!Q60-1))</f>
        <v/>
      </c>
      <c r="BC60" s="560"/>
      <c r="BD60" s="542"/>
      <c r="BF60" s="649">
        <f ca="1">YEAR('wgl tot'!$BF$10)-YEAR('wgl tot'!E60)</f>
        <v>113</v>
      </c>
      <c r="BG60" s="650">
        <f ca="1">MONTH('wgl tot'!$BF$10)-MONTH('wgl tot'!E60)</f>
        <v>11</v>
      </c>
      <c r="BH60" s="650">
        <f ca="1">DAY('wgl tot'!$BF$10)-DAY('wgl tot'!E60)</f>
        <v>1</v>
      </c>
      <c r="BI60" s="635">
        <f>IF(AND('wgl tot'!F60&gt;0,'wgl tot'!F60&lt;16),0,100)</f>
        <v>100</v>
      </c>
      <c r="BJ60" s="635" t="e">
        <f>VLOOKUP('wgl tot'!F60,salaristabellen,22,FALSE)</f>
        <v>#N/A</v>
      </c>
      <c r="BK60" s="635">
        <f t="shared" si="14"/>
        <v>0</v>
      </c>
      <c r="BL60" s="651">
        <f t="shared" si="8"/>
        <v>41275</v>
      </c>
      <c r="BM60" s="652">
        <f t="shared" si="9"/>
        <v>0.08</v>
      </c>
      <c r="BN60" s="653">
        <f>+tabellen!$D$88</f>
        <v>6.3E-2</v>
      </c>
      <c r="BO60" s="650">
        <f>IF('wgl tot'!BI60=100,0,'wgl tot'!F60)</f>
        <v>0</v>
      </c>
      <c r="BP60" s="653" t="str">
        <f>IF(OR('wgl tot'!F60="DA",'wgl tot'!F60="DB",'wgl tot'!F60="DBuit",'wgl tot'!F60="DC",'wgl tot'!F60="DCuit",MID('wgl tot'!F60,1,5)="meerh"),"j","n")</f>
        <v>n</v>
      </c>
      <c r="BQ60" s="653">
        <f t="shared" si="10"/>
        <v>1.9E-2</v>
      </c>
      <c r="BR60" s="654">
        <f>IF(AI60&gt;'wgl tot'!AH60,'wgl tot'!AH60,AI60)</f>
        <v>0</v>
      </c>
      <c r="BS60" s="654"/>
      <c r="BT60" s="655" t="e">
        <f>IF('wgl tot'!AJ60/'wgl tot'!H60&lt;tabellen!$E$54,0,(+'wgl tot'!AJ60-tabellen!$E$54*'wgl tot'!H60)/12*tabellen!$D$54)</f>
        <v>#DIV/0!</v>
      </c>
      <c r="BU60" s="655" t="e">
        <f>IF('wgl tot'!AJ60/'wgl tot'!H60&lt;tabellen!$E$55,0,(+'wgl tot'!AJ60-tabellen!$E$55*'wgl tot'!H60)/12*tabellen!$D$55)</f>
        <v>#DIV/0!</v>
      </c>
      <c r="BV60" s="655">
        <f>'wgl tot'!AJ60/12*tabellen!$D$56</f>
        <v>0</v>
      </c>
      <c r="BW60" s="656" t="e">
        <f>SUM(BT60:BV60)</f>
        <v>#DIV/0!</v>
      </c>
      <c r="BX60" s="657" t="e">
        <f>+('wgl tot'!AF60+'wgl tot'!AK60)/12-'wgl tot'!BW60</f>
        <v>#DIV/0!</v>
      </c>
      <c r="BY60" s="657" t="e">
        <f>ROUND(IF('wgl tot'!BX60&gt;tabellen!$H$61,tabellen!$H$61,'wgl tot'!BX60)*tabellen!$C$61,2)</f>
        <v>#DIV/0!</v>
      </c>
      <c r="BZ60" s="646" t="e">
        <f>+'wgl tot'!BX60</f>
        <v>#DIV/0!</v>
      </c>
      <c r="CA60" s="654"/>
      <c r="CB60" s="635">
        <f>IF(AND(M60="j",tabellen!$C$118&gt;=E60),1,0)</f>
        <v>0</v>
      </c>
      <c r="CC60" s="647" t="str">
        <f t="shared" si="6"/>
        <v/>
      </c>
      <c r="CD60" s="648" t="str">
        <f t="shared" si="7"/>
        <v/>
      </c>
      <c r="CE60" s="286"/>
      <c r="CF60" s="286"/>
      <c r="CG60" s="286"/>
      <c r="CH60" s="286"/>
      <c r="CI60" s="286"/>
      <c r="CJ60" s="286"/>
    </row>
    <row r="61" spans="2:88" ht="13.5" customHeight="1" x14ac:dyDescent="0.2">
      <c r="B61" s="541"/>
      <c r="C61" s="560"/>
      <c r="D61" s="289"/>
      <c r="E61" s="290"/>
      <c r="F61" s="291"/>
      <c r="G61" s="291"/>
      <c r="H61" s="293"/>
      <c r="I61" s="291"/>
      <c r="J61" s="291"/>
      <c r="K61" s="291"/>
      <c r="L61" s="291"/>
      <c r="M61" s="291"/>
      <c r="N61" s="295"/>
      <c r="O61" s="560"/>
      <c r="P61" s="292">
        <f>IF(F61="",0,(VLOOKUP('wgl tot'!F61,salaristabellen,'wgl tot'!G61+1,FALSE)))</f>
        <v>0</v>
      </c>
      <c r="Q61" s="294">
        <f>+'wgl tot'!P61*'wgl tot'!H61</f>
        <v>0</v>
      </c>
      <c r="R61" s="560"/>
      <c r="S61" s="296">
        <f>ROUND(IF(I61="j",VLOOKUP(BK61,uitlooptoeslag,2,FALSE))*IF('wgl tot'!H61&gt;1,1,'wgl tot'!H61),2)</f>
        <v>0</v>
      </c>
      <c r="T61" s="296">
        <f>ROUND(IF(OR('wgl tot'!F61="LA",'wgl tot'!F61="LB"),IF(J61="j",tabellen!$C$75*'wgl tot'!H61,0),0),2)</f>
        <v>0</v>
      </c>
      <c r="U61" s="296">
        <f>ROUND(IF(('wgl tot'!Q61+'wgl tot'!S61+'wgl tot'!T61)*BM61&lt;'wgl tot'!H61*tabellen!$D$87,'wgl tot'!H61*tabellen!$D$87,('wgl tot'!Q61+'wgl tot'!S61+'wgl tot'!T61)*BM61),2)</f>
        <v>0</v>
      </c>
      <c r="V61" s="296">
        <f>ROUND(+('wgl tot'!Q61+'wgl tot'!S61+'wgl tot'!T61)*BN61,2)</f>
        <v>0</v>
      </c>
      <c r="W61" s="296">
        <f>+tabellen!$C$83*'wgl tot'!H61</f>
        <v>0</v>
      </c>
      <c r="X61" s="296">
        <f>VLOOKUP(BO61,eindejaarsuitkering_OOP,2,TRUE)*'wgl tot'!H61/12</f>
        <v>0</v>
      </c>
      <c r="Y61" s="296">
        <f>ROUND(IF(BP61="j",tabellen!$D$96*IF('wgl tot'!H61&gt;1,1,'wgl tot'!H61),0),2)</f>
        <v>0</v>
      </c>
      <c r="Z61" s="297">
        <f>+'wgl tot'!Q61+S61+T61+U61+V61+W61+X61+Y61</f>
        <v>0</v>
      </c>
      <c r="AA61" s="562"/>
      <c r="AB61" s="563"/>
      <c r="AC61" s="292">
        <f>+'wgl tot'!Z61*12</f>
        <v>0</v>
      </c>
      <c r="AD61" s="296">
        <f>ROUND(IF(L61="j",VLOOKUP(K61,bindingstoelage,2,FALSE))*IF('wgl tot'!H61&gt;1,1,'wgl tot'!H61),2)</f>
        <v>0</v>
      </c>
      <c r="AE61" s="296">
        <f>ROUND('wgl tot'!H61*tabellen!$D$94,2)</f>
        <v>0</v>
      </c>
      <c r="AF61" s="292">
        <f>ROUND((AC61+AD61+AE61),0)</f>
        <v>0</v>
      </c>
      <c r="AG61" s="560"/>
      <c r="AH61" s="296">
        <f>+('wgl tot'!AF61/(1+1.9%))*BQ61</f>
        <v>0</v>
      </c>
      <c r="AI61" s="296">
        <f t="shared" si="11"/>
        <v>0</v>
      </c>
      <c r="AJ61" s="292">
        <f>ROUND('wgl tot'!AF61-IF('wgl tot'!AI61&gt;'wgl tot'!AH61,'wgl tot'!AH61,'wgl tot'!AI61),0)</f>
        <v>0</v>
      </c>
      <c r="AK61" s="298">
        <f>IF('wgl tot'!E61&lt;1950,0,+('wgl tot'!Q61+'wgl tot'!S61+'wgl tot'!T61)*tabellen!$C$85)*12</f>
        <v>0</v>
      </c>
      <c r="AL61" s="560"/>
      <c r="AM61" s="296">
        <f>+'wgl tot'!AF61/12</f>
        <v>0</v>
      </c>
      <c r="AN61" s="296">
        <f>IF(F61="",0,(IF('wgl tot'!AJ61/'wgl tot'!H61&lt;tabellen!$E$54,0,('wgl tot'!AJ61-tabellen!$E$54*'wgl tot'!H61)/12)*tabellen!$C$54))</f>
        <v>0</v>
      </c>
      <c r="AO61" s="296">
        <f>IF(F61="",0,(IF('wgl tot'!AJ61/'wgl tot'!H61&lt;tabellen!$E$55,0,(+'wgl tot'!AJ61-tabellen!$E$55*'wgl tot'!H61)/12)*tabellen!$C$55))</f>
        <v>0</v>
      </c>
      <c r="AP61" s="296">
        <f>'wgl tot'!AJ61/12*tabellen!$C$56</f>
        <v>0</v>
      </c>
      <c r="AQ61" s="296">
        <f>IF(F61="",0,IF(CD61=0,IF(CB61=0,IF('wgl tot'!BX61&gt;tabellen!$G$57/12,tabellen!$G$57/12,'wgl tot'!BX61)*(tabellen!$C$57+tabellen!$C$58+tabellen!$C$59),IF('wgl tot'!BX61&gt;tabellen!$G$57/12,tabellen!$G$57/12,'wgl tot'!BX61)*(tabellen!$C$58+tabellen!$C$59)),IF('wgl tot'!BX61&gt;tabellen!$G$57/12,tabellen!$G$57/12,'wgl tot'!BX61)*(tabellen!$C$57+tabellen!$C$58+tabellen!$C$59)))</f>
        <v>0</v>
      </c>
      <c r="AR61" s="296">
        <f>IF(F61="",0,('wgl tot'!BY61))</f>
        <v>0</v>
      </c>
      <c r="AS61" s="299">
        <f>IF(F61="",0,(IF('wgl tot'!BX61&gt;tabellen!$G$62*'wgl tot'!H61/12,tabellen!$G$62*'wgl tot'!H61/12,'wgl tot'!BX61)*tabellen!$C$62))</f>
        <v>0</v>
      </c>
      <c r="AT61" s="299">
        <f>IF(F61="",0,('wgl tot'!BX61*IF(N61=1,tabellen!$C$63,IF(N61=2,tabellen!C112,IF(N61=3,tabellen!$C$65,tabellen!$C$66)))))</f>
        <v>0</v>
      </c>
      <c r="AU61" s="299">
        <f>IF(F61="",0,('wgl tot'!BX61*tabellen!$C$67))</f>
        <v>0</v>
      </c>
      <c r="AV61" s="299">
        <f>+'wgl tot'!AK61/12</f>
        <v>0</v>
      </c>
      <c r="AW61" s="618">
        <v>0</v>
      </c>
      <c r="AX61" s="299">
        <f t="shared" si="3"/>
        <v>0</v>
      </c>
      <c r="AY61" s="294">
        <f t="shared" si="4"/>
        <v>0</v>
      </c>
      <c r="AZ61" s="300">
        <f t="shared" si="5"/>
        <v>0</v>
      </c>
      <c r="BA61" s="560"/>
      <c r="BB61" s="301" t="str">
        <f>IF(AY61=0,"",(+'wgl tot'!AY61/'wgl tot'!Q61-1))</f>
        <v/>
      </c>
      <c r="BC61" s="560"/>
      <c r="BD61" s="542"/>
      <c r="BF61" s="649">
        <f ca="1">YEAR('wgl tot'!$BF$10)-YEAR('wgl tot'!E61)</f>
        <v>113</v>
      </c>
      <c r="BG61" s="650">
        <f ca="1">MONTH('wgl tot'!$BF$10)-MONTH('wgl tot'!E61)</f>
        <v>11</v>
      </c>
      <c r="BH61" s="650">
        <f ca="1">DAY('wgl tot'!$BF$10)-DAY('wgl tot'!E61)</f>
        <v>1</v>
      </c>
      <c r="BI61" s="635">
        <f>IF(AND('wgl tot'!F61&gt;0,'wgl tot'!F61&lt;16),0,100)</f>
        <v>100</v>
      </c>
      <c r="BJ61" s="635" t="e">
        <f>VLOOKUP('wgl tot'!F61,salaristabellen,22,FALSE)</f>
        <v>#N/A</v>
      </c>
      <c r="BK61" s="635">
        <f t="shared" si="14"/>
        <v>0</v>
      </c>
      <c r="BL61" s="651">
        <f t="shared" si="8"/>
        <v>41275</v>
      </c>
      <c r="BM61" s="652">
        <f t="shared" si="9"/>
        <v>0.08</v>
      </c>
      <c r="BN61" s="653">
        <f>+tabellen!$D$88</f>
        <v>6.3E-2</v>
      </c>
      <c r="BO61" s="650">
        <f>IF('wgl tot'!BI61=100,0,'wgl tot'!F61)</f>
        <v>0</v>
      </c>
      <c r="BP61" s="653" t="str">
        <f>IF(OR('wgl tot'!F61="DA",'wgl tot'!F61="DB",'wgl tot'!F61="DBuit",'wgl tot'!F61="DC",'wgl tot'!F61="DCuit",MID('wgl tot'!F61,1,5)="meerh"),"j","n")</f>
        <v>n</v>
      </c>
      <c r="BQ61" s="653">
        <f t="shared" si="10"/>
        <v>1.9E-2</v>
      </c>
      <c r="BR61" s="654">
        <f>IF(AI61&gt;'wgl tot'!AH61,'wgl tot'!AH61,AI61)</f>
        <v>0</v>
      </c>
      <c r="BS61" s="654"/>
      <c r="BT61" s="655" t="e">
        <f>IF('wgl tot'!AJ61/'wgl tot'!H61&lt;tabellen!$E$54,0,(+'wgl tot'!AJ61-tabellen!$E$54*'wgl tot'!H61)/12*tabellen!$D$54)</f>
        <v>#DIV/0!</v>
      </c>
      <c r="BU61" s="655" t="e">
        <f>IF('wgl tot'!AJ61/'wgl tot'!H61&lt;tabellen!$E$55,0,(+'wgl tot'!AJ61-tabellen!$E$55*'wgl tot'!H61)/12*tabellen!$D$55)</f>
        <v>#DIV/0!</v>
      </c>
      <c r="BV61" s="655">
        <f>'wgl tot'!AJ61/12*tabellen!$D$56</f>
        <v>0</v>
      </c>
      <c r="BW61" s="656" t="e">
        <f>SUM(BT61:BV61)</f>
        <v>#DIV/0!</v>
      </c>
      <c r="BX61" s="657" t="e">
        <f>+('wgl tot'!AF61+'wgl tot'!AK61)/12-'wgl tot'!BW61</f>
        <v>#DIV/0!</v>
      </c>
      <c r="BY61" s="657" t="e">
        <f>ROUND(IF('wgl tot'!BX61&gt;tabellen!$H$61,tabellen!$H$61,'wgl tot'!BX61)*tabellen!$C$61,2)</f>
        <v>#DIV/0!</v>
      </c>
      <c r="BZ61" s="646" t="e">
        <f>+'wgl tot'!BX61</f>
        <v>#DIV/0!</v>
      </c>
      <c r="CA61" s="654"/>
      <c r="CB61" s="635">
        <f>IF(AND(M61="j",tabellen!$C$118&gt;=E61),1,0)</f>
        <v>0</v>
      </c>
      <c r="CC61" s="647" t="str">
        <f t="shared" si="6"/>
        <v/>
      </c>
      <c r="CD61" s="648" t="str">
        <f t="shared" si="7"/>
        <v/>
      </c>
      <c r="CE61" s="286"/>
      <c r="CF61" s="286"/>
      <c r="CG61" s="286"/>
      <c r="CH61" s="286"/>
      <c r="CI61" s="286"/>
      <c r="CJ61" s="286"/>
    </row>
    <row r="62" spans="2:88" ht="13.5" customHeight="1" x14ac:dyDescent="0.2">
      <c r="B62" s="541"/>
      <c r="C62" s="560"/>
      <c r="D62" s="289"/>
      <c r="E62" s="290"/>
      <c r="F62" s="291"/>
      <c r="G62" s="291"/>
      <c r="H62" s="293"/>
      <c r="I62" s="291"/>
      <c r="J62" s="291"/>
      <c r="K62" s="291"/>
      <c r="L62" s="291"/>
      <c r="M62" s="291"/>
      <c r="N62" s="295"/>
      <c r="O62" s="560"/>
      <c r="P62" s="292">
        <f>IF(F62="",0,(VLOOKUP('wgl tot'!F62,salaristabellen,'wgl tot'!G62+1,FALSE)))</f>
        <v>0</v>
      </c>
      <c r="Q62" s="294">
        <f>+'wgl tot'!P62*'wgl tot'!H62</f>
        <v>0</v>
      </c>
      <c r="R62" s="560"/>
      <c r="S62" s="296">
        <f>ROUND(IF(I62="j",VLOOKUP(BK62,uitlooptoeslag,2,FALSE))*IF('wgl tot'!H62&gt;1,1,'wgl tot'!H62),2)</f>
        <v>0</v>
      </c>
      <c r="T62" s="296">
        <f>ROUND(IF(OR('wgl tot'!F62="LA",'wgl tot'!F62="LB"),IF(J62="j",tabellen!$C$75*'wgl tot'!H62,0),0),2)</f>
        <v>0</v>
      </c>
      <c r="U62" s="296">
        <f>ROUND(IF(('wgl tot'!Q62+'wgl tot'!S62+'wgl tot'!T62)*BM62&lt;'wgl tot'!H62*tabellen!$D$87,'wgl tot'!H62*tabellen!$D$87,('wgl tot'!Q62+'wgl tot'!S62+'wgl tot'!T62)*BM62),2)</f>
        <v>0</v>
      </c>
      <c r="V62" s="296">
        <f>ROUND(+('wgl tot'!Q62+'wgl tot'!S62+'wgl tot'!T62)*BN62,2)</f>
        <v>0</v>
      </c>
      <c r="W62" s="296">
        <f>+tabellen!$C$83*'wgl tot'!H62</f>
        <v>0</v>
      </c>
      <c r="X62" s="296">
        <f>VLOOKUP(BO62,eindejaarsuitkering_OOP,2,TRUE)*'wgl tot'!H62/12</f>
        <v>0</v>
      </c>
      <c r="Y62" s="296">
        <f>ROUND(IF(BP62="j",tabellen!$D$96*IF('wgl tot'!H62&gt;1,1,'wgl tot'!H62),0),2)</f>
        <v>0</v>
      </c>
      <c r="Z62" s="297">
        <f>+'wgl tot'!Q62+S62+T62+U62+V62+W62+X62+Y62</f>
        <v>0</v>
      </c>
      <c r="AA62" s="562"/>
      <c r="AB62" s="563"/>
      <c r="AC62" s="292">
        <f>+'wgl tot'!Z62*12</f>
        <v>0</v>
      </c>
      <c r="AD62" s="296">
        <f>ROUND(IF(L62="j",VLOOKUP(K62,bindingstoelage,2,FALSE))*IF('wgl tot'!H62&gt;1,1,'wgl tot'!H62),2)</f>
        <v>0</v>
      </c>
      <c r="AE62" s="296">
        <f>ROUND('wgl tot'!H62*tabellen!$D$94,2)</f>
        <v>0</v>
      </c>
      <c r="AF62" s="292">
        <f t="shared" si="12"/>
        <v>0</v>
      </c>
      <c r="AG62" s="560"/>
      <c r="AH62" s="296">
        <f>+('wgl tot'!AF62/(1+1.9%))*BQ62</f>
        <v>0</v>
      </c>
      <c r="AI62" s="296">
        <f t="shared" si="11"/>
        <v>0</v>
      </c>
      <c r="AJ62" s="292">
        <f>ROUND('wgl tot'!AF62-IF('wgl tot'!AI62&gt;'wgl tot'!AH62,'wgl tot'!AH62,'wgl tot'!AI62),0)</f>
        <v>0</v>
      </c>
      <c r="AK62" s="298">
        <f>IF('wgl tot'!E62&lt;1950,0,+('wgl tot'!Q62+'wgl tot'!S62+'wgl tot'!T62)*tabellen!$C$85)*12</f>
        <v>0</v>
      </c>
      <c r="AL62" s="560"/>
      <c r="AM62" s="296">
        <f>+'wgl tot'!AF62/12</f>
        <v>0</v>
      </c>
      <c r="AN62" s="296">
        <f>IF(F62="",0,(IF('wgl tot'!AJ62/'wgl tot'!H62&lt;tabellen!$E$54,0,('wgl tot'!AJ62-tabellen!$E$54*'wgl tot'!H62)/12)*tabellen!$C$54))</f>
        <v>0</v>
      </c>
      <c r="AO62" s="296">
        <f>IF(F62="",0,(IF('wgl tot'!AJ62/'wgl tot'!H62&lt;tabellen!$E$55,0,(+'wgl tot'!AJ62-tabellen!$E$55*'wgl tot'!H62)/12)*tabellen!$C$55))</f>
        <v>0</v>
      </c>
      <c r="AP62" s="296">
        <f>'wgl tot'!AJ62/12*tabellen!$C$56</f>
        <v>0</v>
      </c>
      <c r="AQ62" s="296">
        <f>IF(F62="",0,IF(CD62=0,IF(CB62=0,IF('wgl tot'!BX62&gt;tabellen!$G$57/12,tabellen!$G$57/12,'wgl tot'!BX62)*(tabellen!$C$57+tabellen!$C$58+tabellen!$C$59),IF('wgl tot'!BX62&gt;tabellen!$G$57/12,tabellen!$G$57/12,'wgl tot'!BX62)*(tabellen!$C$58+tabellen!$C$59)),IF('wgl tot'!BX62&gt;tabellen!$G$57/12,tabellen!$G$57/12,'wgl tot'!BX62)*(tabellen!$C$57+tabellen!$C$58+tabellen!$C$59)))</f>
        <v>0</v>
      </c>
      <c r="AR62" s="296">
        <f>IF(F62="",0,('wgl tot'!BY62))</f>
        <v>0</v>
      </c>
      <c r="AS62" s="299">
        <f>IF(F62="",0,(IF('wgl tot'!BX62&gt;tabellen!$G$62*'wgl tot'!H62/12,tabellen!$G$62*'wgl tot'!H62/12,'wgl tot'!BX62)*tabellen!$C$62))</f>
        <v>0</v>
      </c>
      <c r="AT62" s="299">
        <f>IF(F62="",0,('wgl tot'!BX62*IF(N62=1,tabellen!$C$63,IF(N62=2,tabellen!C113,IF(N62=3,tabellen!$C$65,tabellen!$C$66)))))</f>
        <v>0</v>
      </c>
      <c r="AU62" s="299">
        <f>IF(F62="",0,('wgl tot'!BX62*tabellen!$C$67))</f>
        <v>0</v>
      </c>
      <c r="AV62" s="299">
        <f>+'wgl tot'!AK62/12</f>
        <v>0</v>
      </c>
      <c r="AW62" s="618">
        <v>0</v>
      </c>
      <c r="AX62" s="299">
        <f t="shared" si="3"/>
        <v>0</v>
      </c>
      <c r="AY62" s="294">
        <f t="shared" si="4"/>
        <v>0</v>
      </c>
      <c r="AZ62" s="300">
        <f t="shared" si="5"/>
        <v>0</v>
      </c>
      <c r="BA62" s="560"/>
      <c r="BB62" s="301" t="str">
        <f>IF(AY62=0,"",(+'wgl tot'!AY62/'wgl tot'!Q62-1))</f>
        <v/>
      </c>
      <c r="BC62" s="560"/>
      <c r="BD62" s="542"/>
      <c r="BF62" s="649">
        <f ca="1">YEAR('wgl tot'!$BF$10)-YEAR('wgl tot'!E62)</f>
        <v>113</v>
      </c>
      <c r="BG62" s="650">
        <f ca="1">MONTH('wgl tot'!$BF$10)-MONTH('wgl tot'!E62)</f>
        <v>11</v>
      </c>
      <c r="BH62" s="650">
        <f ca="1">DAY('wgl tot'!$BF$10)-DAY('wgl tot'!E62)</f>
        <v>1</v>
      </c>
      <c r="BI62" s="635">
        <f>IF(AND('wgl tot'!F62&gt;0,'wgl tot'!F62&lt;16),0,100)</f>
        <v>100</v>
      </c>
      <c r="BJ62" s="635" t="e">
        <f>VLOOKUP('wgl tot'!F62,salaristabellen,22,FALSE)</f>
        <v>#N/A</v>
      </c>
      <c r="BK62" s="635">
        <f t="shared" si="14"/>
        <v>0</v>
      </c>
      <c r="BL62" s="651">
        <f t="shared" si="8"/>
        <v>41275</v>
      </c>
      <c r="BM62" s="652">
        <f t="shared" si="9"/>
        <v>0.08</v>
      </c>
      <c r="BN62" s="653">
        <f>+tabellen!$D$88</f>
        <v>6.3E-2</v>
      </c>
      <c r="BO62" s="650">
        <f>IF('wgl tot'!BI62=100,0,'wgl tot'!F62)</f>
        <v>0</v>
      </c>
      <c r="BP62" s="653" t="str">
        <f>IF(OR('wgl tot'!F62="DA",'wgl tot'!F62="DB",'wgl tot'!F62="DBuit",'wgl tot'!F62="DC",'wgl tot'!F62="DCuit",MID('wgl tot'!F62,1,5)="meerh"),"j","n")</f>
        <v>n</v>
      </c>
      <c r="BQ62" s="653">
        <f t="shared" si="10"/>
        <v>1.9E-2</v>
      </c>
      <c r="BR62" s="654">
        <f>IF(AI62&gt;'wgl tot'!AH62,'wgl tot'!AH62,AI62)</f>
        <v>0</v>
      </c>
      <c r="BS62" s="654"/>
      <c r="BT62" s="655" t="e">
        <f>IF('wgl tot'!AJ62/'wgl tot'!H62&lt;tabellen!$E$54,0,(+'wgl tot'!AJ62-tabellen!$E$54*'wgl tot'!H62)/12*tabellen!$D$54)</f>
        <v>#DIV/0!</v>
      </c>
      <c r="BU62" s="655" t="e">
        <f>IF('wgl tot'!AJ62/'wgl tot'!H62&lt;tabellen!$E$55,0,(+'wgl tot'!AJ62-tabellen!$E$55*'wgl tot'!H62)/12*tabellen!$D$55)</f>
        <v>#DIV/0!</v>
      </c>
      <c r="BV62" s="655">
        <f>'wgl tot'!AJ62/12*tabellen!$D$56</f>
        <v>0</v>
      </c>
      <c r="BW62" s="656" t="e">
        <f t="shared" si="13"/>
        <v>#DIV/0!</v>
      </c>
      <c r="BX62" s="657" t="e">
        <f>+('wgl tot'!AF62+'wgl tot'!AK62)/12-'wgl tot'!BW62</f>
        <v>#DIV/0!</v>
      </c>
      <c r="BY62" s="657" t="e">
        <f>ROUND(IF('wgl tot'!BX62&gt;tabellen!$H$61,tabellen!$H$61,'wgl tot'!BX62)*tabellen!$C$61,2)</f>
        <v>#DIV/0!</v>
      </c>
      <c r="BZ62" s="646" t="e">
        <f>+'wgl tot'!BX62</f>
        <v>#DIV/0!</v>
      </c>
      <c r="CA62" s="654"/>
      <c r="CB62" s="635">
        <f>IF(AND(M62="j",tabellen!$C$118&gt;=E62),1,0)</f>
        <v>0</v>
      </c>
      <c r="CC62" s="647" t="str">
        <f t="shared" si="6"/>
        <v/>
      </c>
      <c r="CD62" s="648" t="str">
        <f t="shared" si="7"/>
        <v/>
      </c>
      <c r="CE62" s="286"/>
      <c r="CF62" s="286"/>
      <c r="CG62" s="286"/>
      <c r="CH62" s="286"/>
      <c r="CI62" s="286"/>
      <c r="CJ62" s="286"/>
    </row>
    <row r="63" spans="2:88" ht="13.5" customHeight="1" x14ac:dyDescent="0.2">
      <c r="B63" s="541"/>
      <c r="C63" s="560"/>
      <c r="D63" s="289"/>
      <c r="E63" s="290"/>
      <c r="F63" s="291"/>
      <c r="G63" s="291"/>
      <c r="H63" s="293"/>
      <c r="I63" s="291"/>
      <c r="J63" s="291"/>
      <c r="K63" s="291"/>
      <c r="L63" s="291"/>
      <c r="M63" s="291"/>
      <c r="N63" s="295"/>
      <c r="O63" s="560"/>
      <c r="P63" s="292">
        <f>IF(F63="",0,(VLOOKUP('wgl tot'!F63,salaristabellen,'wgl tot'!G63+1,FALSE)))</f>
        <v>0</v>
      </c>
      <c r="Q63" s="294">
        <f>+'wgl tot'!P63*'wgl tot'!H63</f>
        <v>0</v>
      </c>
      <c r="R63" s="560"/>
      <c r="S63" s="296">
        <f>ROUND(IF(I63="j",VLOOKUP(BK63,uitlooptoeslag,2,FALSE))*IF('wgl tot'!H63&gt;1,1,'wgl tot'!H63),2)</f>
        <v>0</v>
      </c>
      <c r="T63" s="296">
        <f>ROUND(IF(OR('wgl tot'!F63="LA",'wgl tot'!F63="LB"),IF(J63="j",tabellen!$C$75*'wgl tot'!H63,0),0),2)</f>
        <v>0</v>
      </c>
      <c r="U63" s="296">
        <f>ROUND(IF(('wgl tot'!Q63+'wgl tot'!S63+'wgl tot'!T63)*BM63&lt;'wgl tot'!H63*tabellen!$D$87,'wgl tot'!H63*tabellen!$D$87,('wgl tot'!Q63+'wgl tot'!S63+'wgl tot'!T63)*BM63),2)</f>
        <v>0</v>
      </c>
      <c r="V63" s="296">
        <f>ROUND(+('wgl tot'!Q63+'wgl tot'!S63+'wgl tot'!T63)*BN63,2)</f>
        <v>0</v>
      </c>
      <c r="W63" s="296">
        <f>+tabellen!$C$83*'wgl tot'!H63</f>
        <v>0</v>
      </c>
      <c r="X63" s="296">
        <f>VLOOKUP(BO63,eindejaarsuitkering_OOP,2,TRUE)*'wgl tot'!H63/12</f>
        <v>0</v>
      </c>
      <c r="Y63" s="296">
        <f>ROUND(IF(BP63="j",tabellen!$D$96*IF('wgl tot'!H63&gt;1,1,'wgl tot'!H63),0),2)</f>
        <v>0</v>
      </c>
      <c r="Z63" s="297">
        <f>+'wgl tot'!Q63+S63+T63+U63+V63+W63+X63+Y63</f>
        <v>0</v>
      </c>
      <c r="AA63" s="562"/>
      <c r="AB63" s="563"/>
      <c r="AC63" s="292">
        <f>+'wgl tot'!Z63*12</f>
        <v>0</v>
      </c>
      <c r="AD63" s="296">
        <f>ROUND(IF(L63="j",VLOOKUP(K63,bindingstoelage,2,FALSE))*IF('wgl tot'!H63&gt;1,1,'wgl tot'!H63),2)</f>
        <v>0</v>
      </c>
      <c r="AE63" s="296">
        <f>ROUND('wgl tot'!H63*tabellen!$D$94,2)</f>
        <v>0</v>
      </c>
      <c r="AF63" s="292">
        <f t="shared" si="12"/>
        <v>0</v>
      </c>
      <c r="AG63" s="560"/>
      <c r="AH63" s="296">
        <f>+('wgl tot'!AF63/(1+1.9%))*BQ63</f>
        <v>0</v>
      </c>
      <c r="AI63" s="296">
        <f t="shared" si="11"/>
        <v>0</v>
      </c>
      <c r="AJ63" s="292">
        <f>ROUND('wgl tot'!AF63-IF('wgl tot'!AI63&gt;'wgl tot'!AH63,'wgl tot'!AH63,'wgl tot'!AI63),0)</f>
        <v>0</v>
      </c>
      <c r="AK63" s="298">
        <f>IF('wgl tot'!E63&lt;1950,0,+('wgl tot'!Q63+'wgl tot'!S63+'wgl tot'!T63)*tabellen!$C$85)*12</f>
        <v>0</v>
      </c>
      <c r="AL63" s="560"/>
      <c r="AM63" s="296">
        <f>+'wgl tot'!AF63/12</f>
        <v>0</v>
      </c>
      <c r="AN63" s="296">
        <f>IF(F63="",0,(IF('wgl tot'!AJ63/'wgl tot'!H63&lt;tabellen!$E$54,0,('wgl tot'!AJ63-tabellen!$E$54*'wgl tot'!H63)/12)*tabellen!$C$54))</f>
        <v>0</v>
      </c>
      <c r="AO63" s="296">
        <f>IF(F63="",0,(IF('wgl tot'!AJ63/'wgl tot'!H63&lt;tabellen!$E$55,0,(+'wgl tot'!AJ63-tabellen!$E$55*'wgl tot'!H63)/12)*tabellen!$C$55))</f>
        <v>0</v>
      </c>
      <c r="AP63" s="296">
        <f>'wgl tot'!AJ63/12*tabellen!$C$56</f>
        <v>0</v>
      </c>
      <c r="AQ63" s="296">
        <f>IF(F63="",0,IF(CD63=0,IF(CB63=0,IF('wgl tot'!BX63&gt;tabellen!$G$57/12,tabellen!$G$57/12,'wgl tot'!BX63)*(tabellen!$C$57+tabellen!$C$58+tabellen!$C$59),IF('wgl tot'!BX63&gt;tabellen!$G$57/12,tabellen!$G$57/12,'wgl tot'!BX63)*(tabellen!$C$58+tabellen!$C$59)),IF('wgl tot'!BX63&gt;tabellen!$G$57/12,tabellen!$G$57/12,'wgl tot'!BX63)*(tabellen!$C$57+tabellen!$C$58+tabellen!$C$59)))</f>
        <v>0</v>
      </c>
      <c r="AR63" s="296">
        <f>IF(F63="",0,('wgl tot'!BY63))</f>
        <v>0</v>
      </c>
      <c r="AS63" s="299">
        <f>IF(F63="",0,(IF('wgl tot'!BX63&gt;tabellen!$G$62*'wgl tot'!H63/12,tabellen!$G$62*'wgl tot'!H63/12,'wgl tot'!BX63)*tabellen!$C$62))</f>
        <v>0</v>
      </c>
      <c r="AT63" s="299">
        <f>IF(F63="",0,('wgl tot'!BX63*IF(N63=1,tabellen!$C$63,IF(N63=2,tabellen!C114,IF(N63=3,tabellen!$C$65,tabellen!$C$66)))))</f>
        <v>0</v>
      </c>
      <c r="AU63" s="299">
        <f>IF(F63="",0,('wgl tot'!BX63*tabellen!$C$67))</f>
        <v>0</v>
      </c>
      <c r="AV63" s="299">
        <f>+'wgl tot'!AK63/12</f>
        <v>0</v>
      </c>
      <c r="AW63" s="618">
        <v>0</v>
      </c>
      <c r="AX63" s="299">
        <f t="shared" si="3"/>
        <v>0</v>
      </c>
      <c r="AY63" s="294">
        <f t="shared" si="4"/>
        <v>0</v>
      </c>
      <c r="AZ63" s="300">
        <f t="shared" si="5"/>
        <v>0</v>
      </c>
      <c r="BA63" s="560"/>
      <c r="BB63" s="301" t="str">
        <f>IF(AY63=0,"",(+'wgl tot'!AY63/'wgl tot'!Q63-1))</f>
        <v/>
      </c>
      <c r="BC63" s="560"/>
      <c r="BD63" s="542"/>
      <c r="BF63" s="649">
        <f ca="1">YEAR('wgl tot'!$BF$10)-YEAR('wgl tot'!E63)</f>
        <v>113</v>
      </c>
      <c r="BG63" s="650">
        <f ca="1">MONTH('wgl tot'!$BF$10)-MONTH('wgl tot'!E63)</f>
        <v>11</v>
      </c>
      <c r="BH63" s="650">
        <f ca="1">DAY('wgl tot'!$BF$10)-DAY('wgl tot'!E63)</f>
        <v>1</v>
      </c>
      <c r="BI63" s="635">
        <f>IF(AND('wgl tot'!F63&gt;0,'wgl tot'!F63&lt;16),0,100)</f>
        <v>100</v>
      </c>
      <c r="BJ63" s="635" t="e">
        <f>VLOOKUP('wgl tot'!F63,salaristabellen,22,FALSE)</f>
        <v>#N/A</v>
      </c>
      <c r="BK63" s="635">
        <f t="shared" si="14"/>
        <v>0</v>
      </c>
      <c r="BL63" s="651">
        <f t="shared" si="8"/>
        <v>41275</v>
      </c>
      <c r="BM63" s="652">
        <f t="shared" si="9"/>
        <v>0.08</v>
      </c>
      <c r="BN63" s="653">
        <f>+tabellen!$D$88</f>
        <v>6.3E-2</v>
      </c>
      <c r="BO63" s="650">
        <f>IF('wgl tot'!BI63=100,0,'wgl tot'!F63)</f>
        <v>0</v>
      </c>
      <c r="BP63" s="653" t="str">
        <f>IF(OR('wgl tot'!F63="DA",'wgl tot'!F63="DB",'wgl tot'!F63="DBuit",'wgl tot'!F63="DC",'wgl tot'!F63="DCuit",MID('wgl tot'!F63,1,5)="meerh"),"j","n")</f>
        <v>n</v>
      </c>
      <c r="BQ63" s="653">
        <f t="shared" si="10"/>
        <v>1.9E-2</v>
      </c>
      <c r="BR63" s="654">
        <f>IF(AI63&gt;'wgl tot'!AH63,'wgl tot'!AH63,AI63)</f>
        <v>0</v>
      </c>
      <c r="BS63" s="654"/>
      <c r="BT63" s="655" t="e">
        <f>IF('wgl tot'!AJ63/'wgl tot'!H63&lt;tabellen!$E$54,0,(+'wgl tot'!AJ63-tabellen!$E$54*'wgl tot'!H63)/12*tabellen!$D$54)</f>
        <v>#DIV/0!</v>
      </c>
      <c r="BU63" s="655" t="e">
        <f>IF('wgl tot'!AJ63/'wgl tot'!H63&lt;tabellen!$E$55,0,(+'wgl tot'!AJ63-tabellen!$E$55*'wgl tot'!H63)/12*tabellen!$D$55)</f>
        <v>#DIV/0!</v>
      </c>
      <c r="BV63" s="655">
        <f>'wgl tot'!AJ63/12*tabellen!$D$56</f>
        <v>0</v>
      </c>
      <c r="BW63" s="656" t="e">
        <f t="shared" si="13"/>
        <v>#DIV/0!</v>
      </c>
      <c r="BX63" s="657" t="e">
        <f>+('wgl tot'!AF63+'wgl tot'!AK63)/12-'wgl tot'!BW63</f>
        <v>#DIV/0!</v>
      </c>
      <c r="BY63" s="657" t="e">
        <f>ROUND(IF('wgl tot'!BX63&gt;tabellen!$H$61,tabellen!$H$61,'wgl tot'!BX63)*tabellen!$C$61,2)</f>
        <v>#DIV/0!</v>
      </c>
      <c r="BZ63" s="646" t="e">
        <f>+'wgl tot'!BX63</f>
        <v>#DIV/0!</v>
      </c>
      <c r="CA63" s="654"/>
      <c r="CB63" s="635">
        <f>IF(AND(M63="j",tabellen!$C$118&gt;=E63),1,0)</f>
        <v>0</v>
      </c>
      <c r="CC63" s="647" t="str">
        <f t="shared" si="6"/>
        <v/>
      </c>
      <c r="CD63" s="648" t="str">
        <f t="shared" si="7"/>
        <v/>
      </c>
      <c r="CE63" s="286"/>
      <c r="CF63" s="286"/>
      <c r="CG63" s="286"/>
      <c r="CH63" s="286"/>
      <c r="CI63" s="286"/>
      <c r="CJ63" s="286"/>
    </row>
    <row r="64" spans="2:88" ht="13.5" customHeight="1" x14ac:dyDescent="0.2">
      <c r="B64" s="541"/>
      <c r="C64" s="560"/>
      <c r="D64" s="289"/>
      <c r="E64" s="290"/>
      <c r="F64" s="291"/>
      <c r="G64" s="291"/>
      <c r="H64" s="293"/>
      <c r="I64" s="291"/>
      <c r="J64" s="291"/>
      <c r="K64" s="291"/>
      <c r="L64" s="291"/>
      <c r="M64" s="291"/>
      <c r="N64" s="295"/>
      <c r="O64" s="560"/>
      <c r="P64" s="292">
        <f>IF(F64="",0,(VLOOKUP('wgl tot'!F64,salaristabellen,'wgl tot'!G64+1,FALSE)))</f>
        <v>0</v>
      </c>
      <c r="Q64" s="294">
        <f>+'wgl tot'!P64*'wgl tot'!H64</f>
        <v>0</v>
      </c>
      <c r="R64" s="560"/>
      <c r="S64" s="296">
        <f>ROUND(IF(I64="j",VLOOKUP(BK64,uitlooptoeslag,2,FALSE))*IF('wgl tot'!H64&gt;1,1,'wgl tot'!H64),2)</f>
        <v>0</v>
      </c>
      <c r="T64" s="296">
        <f>ROUND(IF(OR('wgl tot'!F64="LA",'wgl tot'!F64="LB"),IF(J64="j",tabellen!$C$75*'wgl tot'!H64,0),0),2)</f>
        <v>0</v>
      </c>
      <c r="U64" s="296">
        <f>ROUND(IF(('wgl tot'!Q64+'wgl tot'!S64+'wgl tot'!T64)*BM64&lt;'wgl tot'!H64*tabellen!$D$87,'wgl tot'!H64*tabellen!$D$87,('wgl tot'!Q64+'wgl tot'!S64+'wgl tot'!T64)*BM64),2)</f>
        <v>0</v>
      </c>
      <c r="V64" s="296">
        <f>ROUND(+('wgl tot'!Q64+'wgl tot'!S64+'wgl tot'!T64)*BN64,2)</f>
        <v>0</v>
      </c>
      <c r="W64" s="296">
        <f>+tabellen!$C$83*'wgl tot'!H64</f>
        <v>0</v>
      </c>
      <c r="X64" s="296">
        <f>VLOOKUP(BO64,eindejaarsuitkering_OOP,2,TRUE)*'wgl tot'!H64/12</f>
        <v>0</v>
      </c>
      <c r="Y64" s="296">
        <f>ROUND(IF(BP64="j",tabellen!$D$96*IF('wgl tot'!H64&gt;1,1,'wgl tot'!H64),0),2)</f>
        <v>0</v>
      </c>
      <c r="Z64" s="297">
        <f>+'wgl tot'!Q64+S64+T64+U64+V64+W64+X64+Y64</f>
        <v>0</v>
      </c>
      <c r="AA64" s="562"/>
      <c r="AB64" s="563"/>
      <c r="AC64" s="292">
        <f>+'wgl tot'!Z64*12</f>
        <v>0</v>
      </c>
      <c r="AD64" s="296">
        <f>ROUND(IF(L64="j",VLOOKUP(K64,bindingstoelage,2,FALSE))*IF('wgl tot'!H64&gt;1,1,'wgl tot'!H64),2)</f>
        <v>0</v>
      </c>
      <c r="AE64" s="296">
        <f>ROUND('wgl tot'!H64*tabellen!$D$94,2)</f>
        <v>0</v>
      </c>
      <c r="AF64" s="292">
        <f t="shared" si="12"/>
        <v>0</v>
      </c>
      <c r="AG64" s="560"/>
      <c r="AH64" s="296">
        <f>+('wgl tot'!AF64/(1+1.9%))*BQ64</f>
        <v>0</v>
      </c>
      <c r="AI64" s="296">
        <f t="shared" si="11"/>
        <v>0</v>
      </c>
      <c r="AJ64" s="292">
        <f>ROUND('wgl tot'!AF64-IF('wgl tot'!AI64&gt;'wgl tot'!AH64,'wgl tot'!AH64,'wgl tot'!AI64),0)</f>
        <v>0</v>
      </c>
      <c r="AK64" s="298">
        <f>IF('wgl tot'!E64&lt;1950,0,+('wgl tot'!Q64+'wgl tot'!S64+'wgl tot'!T64)*tabellen!$C$85)*12</f>
        <v>0</v>
      </c>
      <c r="AL64" s="560"/>
      <c r="AM64" s="296">
        <f>+'wgl tot'!AF64/12</f>
        <v>0</v>
      </c>
      <c r="AN64" s="296">
        <f>IF(F64="",0,(IF('wgl tot'!AJ64/'wgl tot'!H64&lt;tabellen!$E$54,0,('wgl tot'!AJ64-tabellen!$E$54*'wgl tot'!H64)/12)*tabellen!$C$54))</f>
        <v>0</v>
      </c>
      <c r="AO64" s="296">
        <f>IF(F64="",0,(IF('wgl tot'!AJ64/'wgl tot'!H64&lt;tabellen!$E$55,0,(+'wgl tot'!AJ64-tabellen!$E$55*'wgl tot'!H64)/12)*tabellen!$C$55))</f>
        <v>0</v>
      </c>
      <c r="AP64" s="296">
        <f>'wgl tot'!AJ64/12*tabellen!$C$56</f>
        <v>0</v>
      </c>
      <c r="AQ64" s="296">
        <f>IF(F64="",0,IF(CD64=0,IF(CB64=0,IF('wgl tot'!BX64&gt;tabellen!$G$57/12,tabellen!$G$57/12,'wgl tot'!BX64)*(tabellen!$C$57+tabellen!$C$58+tabellen!$C$59),IF('wgl tot'!BX64&gt;tabellen!$G$57/12,tabellen!$G$57/12,'wgl tot'!BX64)*(tabellen!$C$58+tabellen!$C$59)),IF('wgl tot'!BX64&gt;tabellen!$G$57/12,tabellen!$G$57/12,'wgl tot'!BX64)*(tabellen!$C$57+tabellen!$C$58+tabellen!$C$59)))</f>
        <v>0</v>
      </c>
      <c r="AR64" s="296">
        <f>IF(F64="",0,('wgl tot'!BY64))</f>
        <v>0</v>
      </c>
      <c r="AS64" s="299">
        <f>IF(F64="",0,(IF('wgl tot'!BX64&gt;tabellen!$G$62*'wgl tot'!H64/12,tabellen!$G$62*'wgl tot'!H64/12,'wgl tot'!BX64)*tabellen!$C$62))</f>
        <v>0</v>
      </c>
      <c r="AT64" s="299">
        <f>IF(F64="",0,('wgl tot'!BX64*IF(N64=1,tabellen!$C$63,IF(N64=2,tabellen!C115,IF(N64=3,tabellen!$C$65,tabellen!$C$66)))))</f>
        <v>0</v>
      </c>
      <c r="AU64" s="299">
        <f>IF(F64="",0,('wgl tot'!BX64*tabellen!$C$67))</f>
        <v>0</v>
      </c>
      <c r="AV64" s="299">
        <f>+'wgl tot'!AK64/12</f>
        <v>0</v>
      </c>
      <c r="AW64" s="618">
        <v>0</v>
      </c>
      <c r="AX64" s="299">
        <f t="shared" si="3"/>
        <v>0</v>
      </c>
      <c r="AY64" s="294">
        <f t="shared" si="4"/>
        <v>0</v>
      </c>
      <c r="AZ64" s="300">
        <f t="shared" si="5"/>
        <v>0</v>
      </c>
      <c r="BA64" s="560"/>
      <c r="BB64" s="301" t="str">
        <f>IF(AY64=0,"",(+'wgl tot'!AY64/'wgl tot'!Q64-1))</f>
        <v/>
      </c>
      <c r="BC64" s="560"/>
      <c r="BD64" s="542"/>
      <c r="BF64" s="649">
        <f ca="1">YEAR('wgl tot'!$BF$10)-YEAR('wgl tot'!E64)</f>
        <v>113</v>
      </c>
      <c r="BG64" s="650">
        <f ca="1">MONTH('wgl tot'!$BF$10)-MONTH('wgl tot'!E64)</f>
        <v>11</v>
      </c>
      <c r="BH64" s="650">
        <f ca="1">DAY('wgl tot'!$BF$10)-DAY('wgl tot'!E64)</f>
        <v>1</v>
      </c>
      <c r="BI64" s="635">
        <f>IF(AND('wgl tot'!F64&gt;0,'wgl tot'!F64&lt;16),0,100)</f>
        <v>100</v>
      </c>
      <c r="BJ64" s="635" t="e">
        <f>VLOOKUP('wgl tot'!F64,salaristabellen,22,FALSE)</f>
        <v>#N/A</v>
      </c>
      <c r="BK64" s="635">
        <f t="shared" si="14"/>
        <v>0</v>
      </c>
      <c r="BL64" s="651">
        <f t="shared" si="8"/>
        <v>41275</v>
      </c>
      <c r="BM64" s="652">
        <f t="shared" si="9"/>
        <v>0.08</v>
      </c>
      <c r="BN64" s="653">
        <f>+tabellen!$D$88</f>
        <v>6.3E-2</v>
      </c>
      <c r="BO64" s="650">
        <f>IF('wgl tot'!BI64=100,0,'wgl tot'!F64)</f>
        <v>0</v>
      </c>
      <c r="BP64" s="653" t="str">
        <f>IF(OR('wgl tot'!F64="DA",'wgl tot'!F64="DB",'wgl tot'!F64="DBuit",'wgl tot'!F64="DC",'wgl tot'!F64="DCuit",MID('wgl tot'!F64,1,5)="meerh"),"j","n")</f>
        <v>n</v>
      </c>
      <c r="BQ64" s="653">
        <f t="shared" si="10"/>
        <v>1.9E-2</v>
      </c>
      <c r="BR64" s="654">
        <f>IF(AI64&gt;'wgl tot'!AH64,'wgl tot'!AH64,AI64)</f>
        <v>0</v>
      </c>
      <c r="BS64" s="654"/>
      <c r="BT64" s="655" t="e">
        <f>IF('wgl tot'!AJ64/'wgl tot'!H64&lt;tabellen!$E$54,0,(+'wgl tot'!AJ64-tabellen!$E$54*'wgl tot'!H64)/12*tabellen!$D$54)</f>
        <v>#DIV/0!</v>
      </c>
      <c r="BU64" s="655" t="e">
        <f>IF('wgl tot'!AJ64/'wgl tot'!H64&lt;tabellen!$E$55,0,(+'wgl tot'!AJ64-tabellen!$E$55*'wgl tot'!H64)/12*tabellen!$D$55)</f>
        <v>#DIV/0!</v>
      </c>
      <c r="BV64" s="655">
        <f>'wgl tot'!AJ64/12*tabellen!$D$56</f>
        <v>0</v>
      </c>
      <c r="BW64" s="656" t="e">
        <f t="shared" si="13"/>
        <v>#DIV/0!</v>
      </c>
      <c r="BX64" s="657" t="e">
        <f>+('wgl tot'!AF64+'wgl tot'!AK64)/12-'wgl tot'!BW64</f>
        <v>#DIV/0!</v>
      </c>
      <c r="BY64" s="657" t="e">
        <f>ROUND(IF('wgl tot'!BX64&gt;tabellen!$H$61,tabellen!$H$61,'wgl tot'!BX64)*tabellen!$C$61,2)</f>
        <v>#DIV/0!</v>
      </c>
      <c r="BZ64" s="646" t="e">
        <f>+'wgl tot'!BX64</f>
        <v>#DIV/0!</v>
      </c>
      <c r="CA64" s="654"/>
      <c r="CB64" s="635">
        <f>IF(AND(M64="j",tabellen!$C$118&gt;=E64),1,0)</f>
        <v>0</v>
      </c>
      <c r="CC64" s="647" t="str">
        <f t="shared" si="6"/>
        <v/>
      </c>
      <c r="CD64" s="648" t="str">
        <f t="shared" si="7"/>
        <v/>
      </c>
      <c r="CE64" s="286"/>
      <c r="CF64" s="286"/>
      <c r="CG64" s="286"/>
      <c r="CH64" s="286"/>
      <c r="CI64" s="286"/>
      <c r="CJ64" s="286"/>
    </row>
    <row r="65" spans="2:88" ht="13.5" customHeight="1" x14ac:dyDescent="0.2">
      <c r="B65" s="541"/>
      <c r="C65" s="560"/>
      <c r="D65" s="289"/>
      <c r="E65" s="290"/>
      <c r="F65" s="291"/>
      <c r="G65" s="291"/>
      <c r="H65" s="293"/>
      <c r="I65" s="291"/>
      <c r="J65" s="291"/>
      <c r="K65" s="291"/>
      <c r="L65" s="291"/>
      <c r="M65" s="291"/>
      <c r="N65" s="295"/>
      <c r="O65" s="560"/>
      <c r="P65" s="292">
        <f>IF(F65="",0,(VLOOKUP('wgl tot'!F65,salaristabellen,'wgl tot'!G65+1,FALSE)))</f>
        <v>0</v>
      </c>
      <c r="Q65" s="294">
        <f>+'wgl tot'!P65*'wgl tot'!H65</f>
        <v>0</v>
      </c>
      <c r="R65" s="560"/>
      <c r="S65" s="296">
        <f>ROUND(IF(I65="j",VLOOKUP(BK65,uitlooptoeslag,2,FALSE))*IF('wgl tot'!H65&gt;1,1,'wgl tot'!H65),2)</f>
        <v>0</v>
      </c>
      <c r="T65" s="296">
        <f>ROUND(IF(OR('wgl tot'!F65="LA",'wgl tot'!F65="LB"),IF(J65="j",tabellen!$C$75*'wgl tot'!H65,0),0),2)</f>
        <v>0</v>
      </c>
      <c r="U65" s="296">
        <f>ROUND(IF(('wgl tot'!Q65+'wgl tot'!S65+'wgl tot'!T65)*BM65&lt;'wgl tot'!H65*tabellen!$D$87,'wgl tot'!H65*tabellen!$D$87,('wgl tot'!Q65+'wgl tot'!S65+'wgl tot'!T65)*BM65),2)</f>
        <v>0</v>
      </c>
      <c r="V65" s="296">
        <f>ROUND(+('wgl tot'!Q65+'wgl tot'!S65+'wgl tot'!T65)*BN65,2)</f>
        <v>0</v>
      </c>
      <c r="W65" s="296">
        <f>+tabellen!$C$83*'wgl tot'!H65</f>
        <v>0</v>
      </c>
      <c r="X65" s="296">
        <f>VLOOKUP(BO65,eindejaarsuitkering_OOP,2,TRUE)*'wgl tot'!H65/12</f>
        <v>0</v>
      </c>
      <c r="Y65" s="296">
        <f>ROUND(IF(BP65="j",tabellen!$D$96*IF('wgl tot'!H65&gt;1,1,'wgl tot'!H65),0),2)</f>
        <v>0</v>
      </c>
      <c r="Z65" s="297">
        <f>+'wgl tot'!Q65+S65+T65+U65+V65+W65+X65+Y65</f>
        <v>0</v>
      </c>
      <c r="AA65" s="562"/>
      <c r="AB65" s="563"/>
      <c r="AC65" s="292">
        <f>+'wgl tot'!Z65*12</f>
        <v>0</v>
      </c>
      <c r="AD65" s="296">
        <f>ROUND(IF(L65="j",VLOOKUP(K65,bindingstoelage,2,FALSE))*IF('wgl tot'!H65&gt;1,1,'wgl tot'!H65),2)</f>
        <v>0</v>
      </c>
      <c r="AE65" s="296">
        <f>ROUND('wgl tot'!H65*tabellen!$D$94,2)</f>
        <v>0</v>
      </c>
      <c r="AF65" s="292">
        <f t="shared" si="12"/>
        <v>0</v>
      </c>
      <c r="AG65" s="560"/>
      <c r="AH65" s="296">
        <f>+('wgl tot'!AF65/(1+1.9%))*BQ65</f>
        <v>0</v>
      </c>
      <c r="AI65" s="296">
        <f t="shared" si="11"/>
        <v>0</v>
      </c>
      <c r="AJ65" s="292">
        <f>ROUND('wgl tot'!AF65-IF('wgl tot'!AI65&gt;'wgl tot'!AH65,'wgl tot'!AH65,'wgl tot'!AI65),0)</f>
        <v>0</v>
      </c>
      <c r="AK65" s="298">
        <f>IF('wgl tot'!E65&lt;1950,0,+('wgl tot'!Q65+'wgl tot'!S65+'wgl tot'!T65)*tabellen!$C$85)*12</f>
        <v>0</v>
      </c>
      <c r="AL65" s="560"/>
      <c r="AM65" s="296">
        <f>+'wgl tot'!AF65/12</f>
        <v>0</v>
      </c>
      <c r="AN65" s="296">
        <f>IF(F65="",0,(IF('wgl tot'!AJ65/'wgl tot'!H65&lt;tabellen!$E$54,0,('wgl tot'!AJ65-tabellen!$E$54*'wgl tot'!H65)/12)*tabellen!$C$54))</f>
        <v>0</v>
      </c>
      <c r="AO65" s="296">
        <f>IF(F65="",0,(IF('wgl tot'!AJ65/'wgl tot'!H65&lt;tabellen!$E$55,0,(+'wgl tot'!AJ65-tabellen!$E$55*'wgl tot'!H65)/12)*tabellen!$C$55))</f>
        <v>0</v>
      </c>
      <c r="AP65" s="296">
        <f>'wgl tot'!AJ65/12*tabellen!$C$56</f>
        <v>0</v>
      </c>
      <c r="AQ65" s="296">
        <f>IF(F65="",0,IF(CD65=0,IF(CB65=0,IF('wgl tot'!BX65&gt;tabellen!$G$57/12,tabellen!$G$57/12,'wgl tot'!BX65)*(tabellen!$C$57+tabellen!$C$58+tabellen!$C$59),IF('wgl tot'!BX65&gt;tabellen!$G$57/12,tabellen!$G$57/12,'wgl tot'!BX65)*(tabellen!$C$58+tabellen!$C$59)),IF('wgl tot'!BX65&gt;tabellen!$G$57/12,tabellen!$G$57/12,'wgl tot'!BX65)*(tabellen!$C$57+tabellen!$C$58+tabellen!$C$59)))</f>
        <v>0</v>
      </c>
      <c r="AR65" s="296">
        <f>IF(F65="",0,('wgl tot'!BY65))</f>
        <v>0</v>
      </c>
      <c r="AS65" s="299">
        <f>IF(F65="",0,(IF('wgl tot'!BX65&gt;tabellen!$G$62*'wgl tot'!H65/12,tabellen!$G$62*'wgl tot'!H65/12,'wgl tot'!BX65)*tabellen!$C$62))</f>
        <v>0</v>
      </c>
      <c r="AT65" s="299">
        <f>IF(F65="",0,('wgl tot'!BX65*IF(N65=1,tabellen!$C$63,IF(N65=2,tabellen!C116,IF(N65=3,tabellen!$C$65,tabellen!$C$66)))))</f>
        <v>0</v>
      </c>
      <c r="AU65" s="299">
        <f>IF(F65="",0,('wgl tot'!BX65*tabellen!$C$67))</f>
        <v>0</v>
      </c>
      <c r="AV65" s="299">
        <f>+'wgl tot'!AK65/12</f>
        <v>0</v>
      </c>
      <c r="AW65" s="618">
        <v>0</v>
      </c>
      <c r="AX65" s="299">
        <f t="shared" si="3"/>
        <v>0</v>
      </c>
      <c r="AY65" s="294">
        <f t="shared" si="4"/>
        <v>0</v>
      </c>
      <c r="AZ65" s="300">
        <f t="shared" si="5"/>
        <v>0</v>
      </c>
      <c r="BA65" s="560"/>
      <c r="BB65" s="301" t="str">
        <f>IF(AY65=0,"",(+'wgl tot'!AY65/'wgl tot'!Q65-1))</f>
        <v/>
      </c>
      <c r="BC65" s="560"/>
      <c r="BD65" s="542"/>
      <c r="BF65" s="649">
        <f ca="1">YEAR('wgl tot'!$BF$10)-YEAR('wgl tot'!E65)</f>
        <v>113</v>
      </c>
      <c r="BG65" s="650">
        <f ca="1">MONTH('wgl tot'!$BF$10)-MONTH('wgl tot'!E65)</f>
        <v>11</v>
      </c>
      <c r="BH65" s="650">
        <f ca="1">DAY('wgl tot'!$BF$10)-DAY('wgl tot'!E65)</f>
        <v>1</v>
      </c>
      <c r="BI65" s="635">
        <f>IF(AND('wgl tot'!F65&gt;0,'wgl tot'!F65&lt;16),0,100)</f>
        <v>100</v>
      </c>
      <c r="BJ65" s="635" t="e">
        <f>VLOOKUP('wgl tot'!F65,salaristabellen,22,FALSE)</f>
        <v>#N/A</v>
      </c>
      <c r="BK65" s="635">
        <f t="shared" si="14"/>
        <v>0</v>
      </c>
      <c r="BL65" s="651">
        <f t="shared" si="8"/>
        <v>41275</v>
      </c>
      <c r="BM65" s="652">
        <f t="shared" si="9"/>
        <v>0.08</v>
      </c>
      <c r="BN65" s="653">
        <f>+tabellen!$D$88</f>
        <v>6.3E-2</v>
      </c>
      <c r="BO65" s="650">
        <f>IF('wgl tot'!BI65=100,0,'wgl tot'!F65)</f>
        <v>0</v>
      </c>
      <c r="BP65" s="653" t="str">
        <f>IF(OR('wgl tot'!F65="DA",'wgl tot'!F65="DB",'wgl tot'!F65="DBuit",'wgl tot'!F65="DC",'wgl tot'!F65="DCuit",MID('wgl tot'!F65,1,5)="meerh"),"j","n")</f>
        <v>n</v>
      </c>
      <c r="BQ65" s="653">
        <f t="shared" si="10"/>
        <v>1.9E-2</v>
      </c>
      <c r="BR65" s="654">
        <f>IF(AI65&gt;'wgl tot'!AH65,'wgl tot'!AH65,AI65)</f>
        <v>0</v>
      </c>
      <c r="BS65" s="654"/>
      <c r="BT65" s="655" t="e">
        <f>IF('wgl tot'!AJ65/'wgl tot'!H65&lt;tabellen!$E$54,0,(+'wgl tot'!AJ65-tabellen!$E$54*'wgl tot'!H65)/12*tabellen!$D$54)</f>
        <v>#DIV/0!</v>
      </c>
      <c r="BU65" s="655" t="e">
        <f>IF('wgl tot'!AJ65/'wgl tot'!H65&lt;tabellen!$E$55,0,(+'wgl tot'!AJ65-tabellen!$E$55*'wgl tot'!H65)/12*tabellen!$D$55)</f>
        <v>#DIV/0!</v>
      </c>
      <c r="BV65" s="655">
        <f>'wgl tot'!AJ65/12*tabellen!$D$56</f>
        <v>0</v>
      </c>
      <c r="BW65" s="656" t="e">
        <f t="shared" si="13"/>
        <v>#DIV/0!</v>
      </c>
      <c r="BX65" s="657" t="e">
        <f>+('wgl tot'!AF65+'wgl tot'!AK65)/12-'wgl tot'!BW65</f>
        <v>#DIV/0!</v>
      </c>
      <c r="BY65" s="657" t="e">
        <f>ROUND(IF('wgl tot'!BX65&gt;tabellen!$H$61,tabellen!$H$61,'wgl tot'!BX65)*tabellen!$C$61,2)</f>
        <v>#DIV/0!</v>
      </c>
      <c r="BZ65" s="646" t="e">
        <f>+'wgl tot'!BX65</f>
        <v>#DIV/0!</v>
      </c>
      <c r="CA65" s="654"/>
      <c r="CB65" s="635">
        <f>IF(AND(M65="j",tabellen!$C$118&gt;=E65),1,0)</f>
        <v>0</v>
      </c>
      <c r="CC65" s="647" t="str">
        <f t="shared" si="6"/>
        <v/>
      </c>
      <c r="CD65" s="648" t="str">
        <f t="shared" si="7"/>
        <v/>
      </c>
      <c r="CE65" s="286"/>
      <c r="CF65" s="286"/>
      <c r="CG65" s="286"/>
      <c r="CH65" s="286"/>
      <c r="CI65" s="286"/>
      <c r="CJ65" s="286"/>
    </row>
    <row r="66" spans="2:88" ht="13.5" customHeight="1" x14ac:dyDescent="0.2">
      <c r="B66" s="541"/>
      <c r="C66" s="560"/>
      <c r="D66" s="289"/>
      <c r="E66" s="290"/>
      <c r="F66" s="291"/>
      <c r="G66" s="291"/>
      <c r="H66" s="293"/>
      <c r="I66" s="291"/>
      <c r="J66" s="291"/>
      <c r="K66" s="291"/>
      <c r="L66" s="291"/>
      <c r="M66" s="291"/>
      <c r="N66" s="295"/>
      <c r="O66" s="560"/>
      <c r="P66" s="292">
        <f>IF(F66="",0,(VLOOKUP('wgl tot'!F66,salaristabellen,'wgl tot'!G66+1,FALSE)))</f>
        <v>0</v>
      </c>
      <c r="Q66" s="294">
        <f>+'wgl tot'!P66*'wgl tot'!H66</f>
        <v>0</v>
      </c>
      <c r="R66" s="560"/>
      <c r="S66" s="296">
        <f>ROUND(IF(I66="j",VLOOKUP(BK66,uitlooptoeslag,2,FALSE))*IF('wgl tot'!H66&gt;1,1,'wgl tot'!H66),2)</f>
        <v>0</v>
      </c>
      <c r="T66" s="296">
        <f>ROUND(IF(OR('wgl tot'!F66="LA",'wgl tot'!F66="LB"),IF(J66="j",tabellen!$C$75*'wgl tot'!H66,0),0),2)</f>
        <v>0</v>
      </c>
      <c r="U66" s="296">
        <f>ROUND(IF(('wgl tot'!Q66+'wgl tot'!S66+'wgl tot'!T66)*BM66&lt;'wgl tot'!H66*tabellen!$D$87,'wgl tot'!H66*tabellen!$D$87,('wgl tot'!Q66+'wgl tot'!S66+'wgl tot'!T66)*BM66),2)</f>
        <v>0</v>
      </c>
      <c r="V66" s="296">
        <f>ROUND(+('wgl tot'!Q66+'wgl tot'!S66+'wgl tot'!T66)*BN66,2)</f>
        <v>0</v>
      </c>
      <c r="W66" s="296">
        <f>+tabellen!$C$83*'wgl tot'!H66</f>
        <v>0</v>
      </c>
      <c r="X66" s="296">
        <f>VLOOKUP(BO66,eindejaarsuitkering_OOP,2,TRUE)*'wgl tot'!H66/12</f>
        <v>0</v>
      </c>
      <c r="Y66" s="296">
        <f>ROUND(IF(BP66="j",tabellen!$D$96*IF('wgl tot'!H66&gt;1,1,'wgl tot'!H66),0),2)</f>
        <v>0</v>
      </c>
      <c r="Z66" s="297">
        <f>+'wgl tot'!Q66+S66+T66+U66+V66+W66+X66+Y66</f>
        <v>0</v>
      </c>
      <c r="AA66" s="562"/>
      <c r="AB66" s="563"/>
      <c r="AC66" s="292">
        <f>+'wgl tot'!Z66*12</f>
        <v>0</v>
      </c>
      <c r="AD66" s="296">
        <f>ROUND(IF(L66="j",VLOOKUP(K66,bindingstoelage,2,FALSE))*IF('wgl tot'!H66&gt;1,1,'wgl tot'!H66),2)</f>
        <v>0</v>
      </c>
      <c r="AE66" s="296">
        <f>ROUND('wgl tot'!H66*tabellen!$D$94,2)</f>
        <v>0</v>
      </c>
      <c r="AF66" s="292">
        <f t="shared" si="12"/>
        <v>0</v>
      </c>
      <c r="AG66" s="560"/>
      <c r="AH66" s="296">
        <f>+('wgl tot'!AF66/(1+1.9%))*BQ66</f>
        <v>0</v>
      </c>
      <c r="AI66" s="296">
        <f t="shared" si="11"/>
        <v>0</v>
      </c>
      <c r="AJ66" s="292">
        <f>ROUND('wgl tot'!AF66-IF('wgl tot'!AI66&gt;'wgl tot'!AH66,'wgl tot'!AH66,'wgl tot'!AI66),0)</f>
        <v>0</v>
      </c>
      <c r="AK66" s="298">
        <f>IF('wgl tot'!E66&lt;1950,0,+('wgl tot'!Q66+'wgl tot'!S66+'wgl tot'!T66)*tabellen!$C$85)*12</f>
        <v>0</v>
      </c>
      <c r="AL66" s="560"/>
      <c r="AM66" s="296">
        <f>+'wgl tot'!AF66/12</f>
        <v>0</v>
      </c>
      <c r="AN66" s="296">
        <f>IF(F66="",0,(IF('wgl tot'!AJ66/'wgl tot'!H66&lt;tabellen!$E$54,0,('wgl tot'!AJ66-tabellen!$E$54*'wgl tot'!H66)/12)*tabellen!$C$54))</f>
        <v>0</v>
      </c>
      <c r="AO66" s="296">
        <f>IF(F66="",0,(IF('wgl tot'!AJ66/'wgl tot'!H66&lt;tabellen!$E$55,0,(+'wgl tot'!AJ66-tabellen!$E$55*'wgl tot'!H66)/12)*tabellen!$C$55))</f>
        <v>0</v>
      </c>
      <c r="AP66" s="296">
        <f>'wgl tot'!AJ66/12*tabellen!$C$56</f>
        <v>0</v>
      </c>
      <c r="AQ66" s="296">
        <f>IF(F66="",0,IF(CD66=0,IF(CB66=0,IF('wgl tot'!BX66&gt;tabellen!$G$57/12,tabellen!$G$57/12,'wgl tot'!BX66)*(tabellen!$C$57+tabellen!$C$58+tabellen!$C$59),IF('wgl tot'!BX66&gt;tabellen!$G$57/12,tabellen!$G$57/12,'wgl tot'!BX66)*(tabellen!$C$58+tabellen!$C$59)),IF('wgl tot'!BX66&gt;tabellen!$G$57/12,tabellen!$G$57/12,'wgl tot'!BX66)*(tabellen!$C$57+tabellen!$C$58+tabellen!$C$59)))</f>
        <v>0</v>
      </c>
      <c r="AR66" s="296">
        <f>IF(F66="",0,('wgl tot'!BY66))</f>
        <v>0</v>
      </c>
      <c r="AS66" s="299">
        <f>IF(F66="",0,(IF('wgl tot'!BX66&gt;tabellen!$G$62*'wgl tot'!H66/12,tabellen!$G$62*'wgl tot'!H66/12,'wgl tot'!BX66)*tabellen!$C$62))</f>
        <v>0</v>
      </c>
      <c r="AT66" s="299">
        <f>IF(F66="",0,('wgl tot'!BX66*IF(N66=1,tabellen!$C$63,IF(N66=2,tabellen!C117,IF(N66=3,tabellen!$C$65,tabellen!$C$66)))))</f>
        <v>0</v>
      </c>
      <c r="AU66" s="299">
        <f>IF(F66="",0,('wgl tot'!BX66*tabellen!$C$67))</f>
        <v>0</v>
      </c>
      <c r="AV66" s="299">
        <f>+'wgl tot'!AK66/12</f>
        <v>0</v>
      </c>
      <c r="AW66" s="618">
        <v>0</v>
      </c>
      <c r="AX66" s="299">
        <f t="shared" si="3"/>
        <v>0</v>
      </c>
      <c r="AY66" s="294">
        <f t="shared" si="4"/>
        <v>0</v>
      </c>
      <c r="AZ66" s="300">
        <f t="shared" si="5"/>
        <v>0</v>
      </c>
      <c r="BA66" s="560"/>
      <c r="BB66" s="301" t="str">
        <f>IF(AY66=0,"",(+'wgl tot'!AY66/'wgl tot'!Q66-1))</f>
        <v/>
      </c>
      <c r="BC66" s="560"/>
      <c r="BD66" s="542"/>
      <c r="BF66" s="649">
        <f ca="1">YEAR('wgl tot'!$BF$10)-YEAR('wgl tot'!E66)</f>
        <v>113</v>
      </c>
      <c r="BG66" s="650">
        <f ca="1">MONTH('wgl tot'!$BF$10)-MONTH('wgl tot'!E66)</f>
        <v>11</v>
      </c>
      <c r="BH66" s="650">
        <f ca="1">DAY('wgl tot'!$BF$10)-DAY('wgl tot'!E66)</f>
        <v>1</v>
      </c>
      <c r="BI66" s="635">
        <f>IF(AND('wgl tot'!F66&gt;0,'wgl tot'!F66&lt;16),0,100)</f>
        <v>100</v>
      </c>
      <c r="BJ66" s="635" t="e">
        <f>VLOOKUP('wgl tot'!F66,salaristabellen,22,FALSE)</f>
        <v>#N/A</v>
      </c>
      <c r="BK66" s="635">
        <f t="shared" si="14"/>
        <v>0</v>
      </c>
      <c r="BL66" s="651">
        <f t="shared" si="8"/>
        <v>41275</v>
      </c>
      <c r="BM66" s="652">
        <f t="shared" si="9"/>
        <v>0.08</v>
      </c>
      <c r="BN66" s="653">
        <f>+tabellen!$D$88</f>
        <v>6.3E-2</v>
      </c>
      <c r="BO66" s="650">
        <f>IF('wgl tot'!BI66=100,0,'wgl tot'!F66)</f>
        <v>0</v>
      </c>
      <c r="BP66" s="653" t="str">
        <f>IF(OR('wgl tot'!F66="DA",'wgl tot'!F66="DB",'wgl tot'!F66="DBuit",'wgl tot'!F66="DC",'wgl tot'!F66="DCuit",MID('wgl tot'!F66,1,5)="meerh"),"j","n")</f>
        <v>n</v>
      </c>
      <c r="BQ66" s="653">
        <f t="shared" si="10"/>
        <v>1.9E-2</v>
      </c>
      <c r="BR66" s="654">
        <f>IF(AI66&gt;'wgl tot'!AH66,'wgl tot'!AH66,AI66)</f>
        <v>0</v>
      </c>
      <c r="BS66" s="654"/>
      <c r="BT66" s="655" t="e">
        <f>IF('wgl tot'!AJ66/'wgl tot'!H66&lt;tabellen!$E$54,0,(+'wgl tot'!AJ66-tabellen!$E$54*'wgl tot'!H66)/12*tabellen!$D$54)</f>
        <v>#DIV/0!</v>
      </c>
      <c r="BU66" s="655" t="e">
        <f>IF('wgl tot'!AJ66/'wgl tot'!H66&lt;tabellen!$E$55,0,(+'wgl tot'!AJ66-tabellen!$E$55*'wgl tot'!H66)/12*tabellen!$D$55)</f>
        <v>#DIV/0!</v>
      </c>
      <c r="BV66" s="655">
        <f>'wgl tot'!AJ66/12*tabellen!$D$56</f>
        <v>0</v>
      </c>
      <c r="BW66" s="656" t="e">
        <f t="shared" si="13"/>
        <v>#DIV/0!</v>
      </c>
      <c r="BX66" s="657" t="e">
        <f>+('wgl tot'!AF66+'wgl tot'!AK66)/12-'wgl tot'!BW66</f>
        <v>#DIV/0!</v>
      </c>
      <c r="BY66" s="657" t="e">
        <f>ROUND(IF('wgl tot'!BX66&gt;tabellen!$H$61,tabellen!$H$61,'wgl tot'!BX66)*tabellen!$C$61,2)</f>
        <v>#DIV/0!</v>
      </c>
      <c r="BZ66" s="646" t="e">
        <f>+'wgl tot'!BX66</f>
        <v>#DIV/0!</v>
      </c>
      <c r="CA66" s="654"/>
      <c r="CB66" s="635">
        <f>IF(AND(M66="j",tabellen!$C$118&gt;=E66),1,0)</f>
        <v>0</v>
      </c>
      <c r="CC66" s="647" t="str">
        <f t="shared" si="6"/>
        <v/>
      </c>
      <c r="CD66" s="648" t="str">
        <f t="shared" si="7"/>
        <v/>
      </c>
      <c r="CE66" s="286"/>
      <c r="CF66" s="286"/>
      <c r="CG66" s="286"/>
      <c r="CH66" s="286"/>
      <c r="CI66" s="286"/>
      <c r="CJ66" s="286"/>
    </row>
    <row r="67" spans="2:88" ht="13.5" customHeight="1" x14ac:dyDescent="0.2">
      <c r="B67" s="541"/>
      <c r="C67" s="560"/>
      <c r="D67" s="289"/>
      <c r="E67" s="290"/>
      <c r="F67" s="291"/>
      <c r="G67" s="291"/>
      <c r="H67" s="293"/>
      <c r="I67" s="291"/>
      <c r="J67" s="291"/>
      <c r="K67" s="291"/>
      <c r="L67" s="291"/>
      <c r="M67" s="291"/>
      <c r="N67" s="295"/>
      <c r="O67" s="560"/>
      <c r="P67" s="292">
        <f>IF(F67="",0,(VLOOKUP('wgl tot'!F67,salaristabellen,'wgl tot'!G67+1,FALSE)))</f>
        <v>0</v>
      </c>
      <c r="Q67" s="294">
        <f>+'wgl tot'!P67*'wgl tot'!H67</f>
        <v>0</v>
      </c>
      <c r="R67" s="560"/>
      <c r="S67" s="296">
        <f>ROUND(IF(I67="j",VLOOKUP(BK67,uitlooptoeslag,2,FALSE))*IF('wgl tot'!H67&gt;1,1,'wgl tot'!H67),2)</f>
        <v>0</v>
      </c>
      <c r="T67" s="296">
        <f>ROUND(IF(OR('wgl tot'!F67="LA",'wgl tot'!F67="LB"),IF(J67="j",tabellen!$C$75*'wgl tot'!H67,0),0),2)</f>
        <v>0</v>
      </c>
      <c r="U67" s="296">
        <f>ROUND(IF(('wgl tot'!Q67+'wgl tot'!S67+'wgl tot'!T67)*BM67&lt;'wgl tot'!H67*tabellen!$D$87,'wgl tot'!H67*tabellen!$D$87,('wgl tot'!Q67+'wgl tot'!S67+'wgl tot'!T67)*BM67),2)</f>
        <v>0</v>
      </c>
      <c r="V67" s="296">
        <f>ROUND(+('wgl tot'!Q67+'wgl tot'!S67+'wgl tot'!T67)*BN67,2)</f>
        <v>0</v>
      </c>
      <c r="W67" s="296">
        <f>+tabellen!$C$83*'wgl tot'!H67</f>
        <v>0</v>
      </c>
      <c r="X67" s="296">
        <f>VLOOKUP(BO67,eindejaarsuitkering_OOP,2,TRUE)*'wgl tot'!H67/12</f>
        <v>0</v>
      </c>
      <c r="Y67" s="296">
        <f>ROUND(IF(BP67="j",tabellen!$D$96*IF('wgl tot'!H67&gt;1,1,'wgl tot'!H67),0),2)</f>
        <v>0</v>
      </c>
      <c r="Z67" s="297">
        <f>+'wgl tot'!Q67+S67+T67+U67+V67+W67+X67+Y67</f>
        <v>0</v>
      </c>
      <c r="AA67" s="562"/>
      <c r="AB67" s="563"/>
      <c r="AC67" s="292">
        <f>+'wgl tot'!Z67*12</f>
        <v>0</v>
      </c>
      <c r="AD67" s="296">
        <f>ROUND(IF(L67="j",VLOOKUP(K67,bindingstoelage,2,FALSE))*IF('wgl tot'!H67&gt;1,1,'wgl tot'!H67),2)</f>
        <v>0</v>
      </c>
      <c r="AE67" s="296">
        <f>ROUND('wgl tot'!H67*tabellen!$D$94,2)</f>
        <v>0</v>
      </c>
      <c r="AF67" s="292">
        <f t="shared" si="12"/>
        <v>0</v>
      </c>
      <c r="AG67" s="560"/>
      <c r="AH67" s="296">
        <f>+('wgl tot'!AF67/(1+1.9%))*BQ67</f>
        <v>0</v>
      </c>
      <c r="AI67" s="296">
        <f t="shared" si="11"/>
        <v>0</v>
      </c>
      <c r="AJ67" s="292">
        <f>ROUND('wgl tot'!AF67-IF('wgl tot'!AI67&gt;'wgl tot'!AH67,'wgl tot'!AH67,'wgl tot'!AI67),0)</f>
        <v>0</v>
      </c>
      <c r="AK67" s="298">
        <f>IF('wgl tot'!E67&lt;1950,0,+('wgl tot'!Q67+'wgl tot'!S67+'wgl tot'!T67)*tabellen!$C$85)*12</f>
        <v>0</v>
      </c>
      <c r="AL67" s="560"/>
      <c r="AM67" s="296">
        <f>+'wgl tot'!AF67/12</f>
        <v>0</v>
      </c>
      <c r="AN67" s="296">
        <f>IF(F67="",0,(IF('wgl tot'!AJ67/'wgl tot'!H67&lt;tabellen!$E$54,0,('wgl tot'!AJ67-tabellen!$E$54*'wgl tot'!H67)/12)*tabellen!$C$54))</f>
        <v>0</v>
      </c>
      <c r="AO67" s="296">
        <f>IF(F67="",0,(IF('wgl tot'!AJ67/'wgl tot'!H67&lt;tabellen!$E$55,0,(+'wgl tot'!AJ67-tabellen!$E$55*'wgl tot'!H67)/12)*tabellen!$C$55))</f>
        <v>0</v>
      </c>
      <c r="AP67" s="296">
        <f>'wgl tot'!AJ67/12*tabellen!$C$56</f>
        <v>0</v>
      </c>
      <c r="AQ67" s="296">
        <f>IF(F67="",0,IF(CD67=0,IF(CB67=0,IF('wgl tot'!BX67&gt;tabellen!$G$57/12,tabellen!$G$57/12,'wgl tot'!BX67)*(tabellen!$C$57+tabellen!$C$58+tabellen!$C$59),IF('wgl tot'!BX67&gt;tabellen!$G$57/12,tabellen!$G$57/12,'wgl tot'!BX67)*(tabellen!$C$58+tabellen!$C$59)),IF('wgl tot'!BX67&gt;tabellen!$G$57/12,tabellen!$G$57/12,'wgl tot'!BX67)*(tabellen!$C$57+tabellen!$C$58+tabellen!$C$59)))</f>
        <v>0</v>
      </c>
      <c r="AR67" s="296">
        <f>IF(F67="",0,('wgl tot'!BY67))</f>
        <v>0</v>
      </c>
      <c r="AS67" s="299">
        <f>IF(F67="",0,(IF('wgl tot'!BX67&gt;tabellen!$G$62*'wgl tot'!H67/12,tabellen!$G$62*'wgl tot'!H67/12,'wgl tot'!BX67)*tabellen!$C$62))</f>
        <v>0</v>
      </c>
      <c r="AT67" s="299">
        <f>IF(F67="",0,('wgl tot'!BX67*IF(N67=1,tabellen!$C$63,IF(N67=2,tabellen!C118,IF(N67=3,tabellen!$C$65,tabellen!$C$66)))))</f>
        <v>0</v>
      </c>
      <c r="AU67" s="299">
        <f>IF(F67="",0,('wgl tot'!BX67*tabellen!$C$67))</f>
        <v>0</v>
      </c>
      <c r="AV67" s="299">
        <f>+'wgl tot'!AK67/12</f>
        <v>0</v>
      </c>
      <c r="AW67" s="618">
        <v>0</v>
      </c>
      <c r="AX67" s="299">
        <f t="shared" si="3"/>
        <v>0</v>
      </c>
      <c r="AY67" s="294">
        <f t="shared" si="4"/>
        <v>0</v>
      </c>
      <c r="AZ67" s="300">
        <f t="shared" si="5"/>
        <v>0</v>
      </c>
      <c r="BA67" s="560"/>
      <c r="BB67" s="301" t="str">
        <f>IF(AY67=0,"",(+'wgl tot'!AY67/'wgl tot'!Q67-1))</f>
        <v/>
      </c>
      <c r="BC67" s="560"/>
      <c r="BD67" s="542"/>
      <c r="BF67" s="658">
        <f ca="1">YEAR('wgl tot'!$BF$10)-YEAR('wgl tot'!E67)</f>
        <v>113</v>
      </c>
      <c r="BG67" s="659">
        <f ca="1">MONTH('wgl tot'!$BF$10)-MONTH('wgl tot'!E67)</f>
        <v>11</v>
      </c>
      <c r="BH67" s="659">
        <f ca="1">DAY('wgl tot'!$BF$10)-DAY('wgl tot'!E67)</f>
        <v>1</v>
      </c>
      <c r="BI67" s="660">
        <f>IF(AND('wgl tot'!F67&gt;0,'wgl tot'!F67&lt;16),0,100)</f>
        <v>100</v>
      </c>
      <c r="BJ67" s="660" t="e">
        <f>VLOOKUP('wgl tot'!F67,salaristabellen,22,FALSE)</f>
        <v>#N/A</v>
      </c>
      <c r="BK67" s="635">
        <f t="shared" si="14"/>
        <v>0</v>
      </c>
      <c r="BL67" s="651">
        <f t="shared" si="8"/>
        <v>41275</v>
      </c>
      <c r="BM67" s="652">
        <f t="shared" si="9"/>
        <v>0.08</v>
      </c>
      <c r="BN67" s="661">
        <f>+tabellen!$D$88</f>
        <v>6.3E-2</v>
      </c>
      <c r="BO67" s="659">
        <f>IF('wgl tot'!BI67=100,0,'wgl tot'!F67)</f>
        <v>0</v>
      </c>
      <c r="BP67" s="661" t="str">
        <f>IF(OR('wgl tot'!F67="DA",'wgl tot'!F67="DB",'wgl tot'!F67="DBuit",'wgl tot'!F67="DC",'wgl tot'!F67="DCuit",MID('wgl tot'!F67,1,5)="meerh"),"j","n")</f>
        <v>n</v>
      </c>
      <c r="BQ67" s="653">
        <f t="shared" si="10"/>
        <v>1.9E-2</v>
      </c>
      <c r="BR67" s="662">
        <f>IF(AI67&gt;'wgl tot'!AH67,'wgl tot'!AH67,AI67)</f>
        <v>0</v>
      </c>
      <c r="BS67" s="662"/>
      <c r="BT67" s="663" t="e">
        <f>IF('wgl tot'!AJ67/'wgl tot'!H67&lt;tabellen!$E$54,0,(+'wgl tot'!AJ67-tabellen!$E$54*'wgl tot'!H67)/12*tabellen!$D$54)</f>
        <v>#DIV/0!</v>
      </c>
      <c r="BU67" s="663" t="e">
        <f>IF('wgl tot'!AJ67/'wgl tot'!H67&lt;tabellen!$E$55,0,(+'wgl tot'!AJ67-tabellen!$E$55*'wgl tot'!H67)/12*tabellen!$D$55)</f>
        <v>#DIV/0!</v>
      </c>
      <c r="BV67" s="663">
        <f>'wgl tot'!AJ67/12*tabellen!$D$56</f>
        <v>0</v>
      </c>
      <c r="BW67" s="664" t="e">
        <f t="shared" si="13"/>
        <v>#DIV/0!</v>
      </c>
      <c r="BX67" s="665" t="e">
        <f>+('wgl tot'!AF67+'wgl tot'!AK67)/12-'wgl tot'!BW67</f>
        <v>#DIV/0!</v>
      </c>
      <c r="BY67" s="665" t="e">
        <f>ROUND(IF('wgl tot'!BX67&gt;tabellen!$H$61,tabellen!$H$61,'wgl tot'!BX67)*tabellen!$C$61,2)</f>
        <v>#DIV/0!</v>
      </c>
      <c r="BZ67" s="646" t="e">
        <f>+'wgl tot'!BX67</f>
        <v>#DIV/0!</v>
      </c>
      <c r="CA67" s="662"/>
      <c r="CB67" s="635">
        <f>IF(AND(M67="j",tabellen!$C$118&gt;=E67),1,0)</f>
        <v>0</v>
      </c>
      <c r="CC67" s="647" t="str">
        <f t="shared" si="6"/>
        <v/>
      </c>
      <c r="CD67" s="648" t="str">
        <f t="shared" si="7"/>
        <v/>
      </c>
      <c r="CE67" s="286"/>
      <c r="CF67" s="286"/>
      <c r="CG67" s="286"/>
      <c r="CH67" s="286"/>
      <c r="CI67" s="286"/>
      <c r="CJ67" s="286"/>
    </row>
    <row r="68" spans="2:88" ht="13.5" customHeight="1" x14ac:dyDescent="0.2">
      <c r="B68" s="541"/>
      <c r="C68" s="560"/>
      <c r="D68" s="561"/>
      <c r="E68" s="560"/>
      <c r="F68" s="560"/>
      <c r="G68" s="560"/>
      <c r="H68" s="560"/>
      <c r="I68" s="560"/>
      <c r="J68" s="560"/>
      <c r="K68" s="560"/>
      <c r="L68" s="560"/>
      <c r="M68" s="560"/>
      <c r="N68" s="560"/>
      <c r="O68" s="560"/>
      <c r="P68" s="560"/>
      <c r="Q68" s="560"/>
      <c r="R68" s="560"/>
      <c r="S68" s="560"/>
      <c r="T68" s="560"/>
      <c r="U68" s="560"/>
      <c r="V68" s="560"/>
      <c r="W68" s="560"/>
      <c r="X68" s="560"/>
      <c r="Y68" s="560"/>
      <c r="Z68" s="560"/>
      <c r="AA68" s="562"/>
      <c r="AB68" s="563"/>
      <c r="AC68" s="564"/>
      <c r="AD68" s="560"/>
      <c r="AE68" s="560"/>
      <c r="AF68" s="560"/>
      <c r="AG68" s="560"/>
      <c r="AH68" s="560"/>
      <c r="AI68" s="560"/>
      <c r="AJ68" s="560"/>
      <c r="AK68" s="560"/>
      <c r="AL68" s="560"/>
      <c r="AM68" s="560"/>
      <c r="AN68" s="560"/>
      <c r="AO68" s="560"/>
      <c r="AP68" s="560"/>
      <c r="AQ68" s="560"/>
      <c r="AR68" s="560"/>
      <c r="AS68" s="565"/>
      <c r="AT68" s="565"/>
      <c r="AU68" s="565"/>
      <c r="AV68" s="565"/>
      <c r="AW68" s="619"/>
      <c r="AX68" s="565"/>
      <c r="AY68" s="560"/>
      <c r="AZ68" s="560"/>
      <c r="BA68" s="560"/>
      <c r="BB68" s="560"/>
      <c r="BC68" s="560"/>
      <c r="BD68" s="542"/>
      <c r="BK68" s="635"/>
    </row>
    <row r="69" spans="2:88" ht="13.5" customHeight="1" x14ac:dyDescent="0.2">
      <c r="B69" s="541"/>
      <c r="C69" s="560"/>
      <c r="D69" s="561"/>
      <c r="E69" s="560"/>
      <c r="F69" s="560"/>
      <c r="G69" s="560"/>
      <c r="H69" s="560"/>
      <c r="I69" s="560"/>
      <c r="J69" s="560"/>
      <c r="K69" s="560"/>
      <c r="L69" s="560"/>
      <c r="M69" s="560"/>
      <c r="N69" s="560"/>
      <c r="O69" s="560"/>
      <c r="P69" s="560"/>
      <c r="Q69" s="294">
        <f>SUM(Q13:Q67)</f>
        <v>6548</v>
      </c>
      <c r="R69" s="560"/>
      <c r="S69" s="560"/>
      <c r="T69" s="560"/>
      <c r="U69" s="560"/>
      <c r="V69" s="560"/>
      <c r="W69" s="560"/>
      <c r="X69" s="560"/>
      <c r="Y69" s="560"/>
      <c r="Z69" s="560"/>
      <c r="AA69" s="562"/>
      <c r="AB69" s="563"/>
      <c r="AC69" s="564"/>
      <c r="AD69" s="560"/>
      <c r="AE69" s="560"/>
      <c r="AF69" s="560"/>
      <c r="AG69" s="560"/>
      <c r="AH69" s="560"/>
      <c r="AI69" s="560"/>
      <c r="AJ69" s="560"/>
      <c r="AK69" s="560"/>
      <c r="AL69" s="560"/>
      <c r="AM69" s="560"/>
      <c r="AN69" s="560"/>
      <c r="AO69" s="560"/>
      <c r="AP69" s="560"/>
      <c r="AQ69" s="560"/>
      <c r="AR69" s="560"/>
      <c r="AS69" s="565"/>
      <c r="AT69" s="565"/>
      <c r="AU69" s="565"/>
      <c r="AV69" s="565"/>
      <c r="AW69" s="619"/>
      <c r="AX69" s="565"/>
      <c r="AY69" s="294">
        <f ca="1">SUM(AY13:AY67)</f>
        <v>10818.015495726835</v>
      </c>
      <c r="AZ69" s="294">
        <f ca="1">SUM(AZ13:AZ67)</f>
        <v>129816.18594872202</v>
      </c>
      <c r="BA69" s="560"/>
      <c r="BB69" s="301">
        <f ca="1">+'wgl tot'!AY69/'wgl tot'!Q69-1</f>
        <v>0.65210988022706706</v>
      </c>
      <c r="BC69" s="560"/>
      <c r="BD69" s="542"/>
      <c r="BK69" s="635"/>
    </row>
    <row r="70" spans="2:88" ht="13.5" customHeight="1" x14ac:dyDescent="0.2">
      <c r="B70" s="541"/>
      <c r="C70" s="560"/>
      <c r="D70" s="561"/>
      <c r="E70" s="560"/>
      <c r="F70" s="560"/>
      <c r="G70" s="560"/>
      <c r="H70" s="560"/>
      <c r="I70" s="560"/>
      <c r="J70" s="560"/>
      <c r="K70" s="560"/>
      <c r="L70" s="560"/>
      <c r="M70" s="560"/>
      <c r="N70" s="560"/>
      <c r="O70" s="560"/>
      <c r="P70" s="560"/>
      <c r="Q70" s="560"/>
      <c r="R70" s="560"/>
      <c r="S70" s="560"/>
      <c r="T70" s="560"/>
      <c r="U70" s="560"/>
      <c r="V70" s="560"/>
      <c r="W70" s="560"/>
      <c r="X70" s="560"/>
      <c r="Y70" s="560"/>
      <c r="Z70" s="560"/>
      <c r="AA70" s="562"/>
      <c r="AB70" s="563"/>
      <c r="AC70" s="564"/>
      <c r="AD70" s="560"/>
      <c r="AE70" s="560"/>
      <c r="AF70" s="560"/>
      <c r="AG70" s="560"/>
      <c r="AH70" s="560"/>
      <c r="AI70" s="560"/>
      <c r="AJ70" s="560"/>
      <c r="AK70" s="560"/>
      <c r="AL70" s="560"/>
      <c r="AM70" s="560"/>
      <c r="AN70" s="560"/>
      <c r="AO70" s="560"/>
      <c r="AP70" s="560"/>
      <c r="AQ70" s="560"/>
      <c r="AR70" s="560"/>
      <c r="AS70" s="565"/>
      <c r="AT70" s="565"/>
      <c r="AU70" s="565"/>
      <c r="AV70" s="565"/>
      <c r="AW70" s="619"/>
      <c r="AX70" s="565"/>
      <c r="AY70" s="560"/>
      <c r="AZ70" s="560"/>
      <c r="BA70" s="560"/>
      <c r="BB70" s="560"/>
      <c r="BC70" s="560"/>
      <c r="BD70" s="542"/>
      <c r="BK70" s="635"/>
    </row>
    <row r="71" spans="2:88" ht="13.5" customHeight="1" x14ac:dyDescent="0.2">
      <c r="B71" s="541"/>
      <c r="C71" s="510"/>
      <c r="D71" s="281"/>
      <c r="E71" s="510"/>
      <c r="F71" s="510"/>
      <c r="G71" s="510"/>
      <c r="H71" s="510"/>
      <c r="I71" s="510"/>
      <c r="J71" s="510"/>
      <c r="K71" s="510"/>
      <c r="L71" s="510"/>
      <c r="M71" s="510"/>
      <c r="N71" s="510"/>
      <c r="O71" s="510"/>
      <c r="P71" s="510"/>
      <c r="Q71" s="510"/>
      <c r="R71" s="510"/>
      <c r="S71" s="510"/>
      <c r="T71" s="510"/>
      <c r="U71" s="510"/>
      <c r="V71" s="510"/>
      <c r="W71" s="510"/>
      <c r="X71" s="510"/>
      <c r="Y71" s="510"/>
      <c r="Z71" s="510"/>
      <c r="AA71" s="542"/>
      <c r="AB71" s="541"/>
      <c r="AC71" s="280"/>
      <c r="AD71" s="510"/>
      <c r="AE71" s="510"/>
      <c r="AF71" s="510"/>
      <c r="AG71" s="510"/>
      <c r="AH71" s="510"/>
      <c r="AI71" s="510"/>
      <c r="AJ71" s="510"/>
      <c r="AK71" s="510"/>
      <c r="AL71" s="510"/>
      <c r="AM71" s="510"/>
      <c r="AN71" s="510"/>
      <c r="AO71" s="510"/>
      <c r="AP71" s="510"/>
      <c r="AQ71" s="510"/>
      <c r="AR71" s="510"/>
      <c r="AS71" s="543"/>
      <c r="AT71" s="543"/>
      <c r="AU71" s="543"/>
      <c r="AV71" s="543"/>
      <c r="AW71" s="612"/>
      <c r="AX71" s="543"/>
      <c r="AY71" s="510"/>
      <c r="AZ71" s="510"/>
      <c r="BA71" s="510"/>
      <c r="BB71" s="510"/>
      <c r="BC71" s="510"/>
      <c r="BD71" s="542"/>
    </row>
    <row r="72" spans="2:88" ht="13.5" customHeight="1" x14ac:dyDescent="0.2">
      <c r="B72" s="567"/>
      <c r="C72" s="568"/>
      <c r="D72" s="569"/>
      <c r="E72" s="568"/>
      <c r="F72" s="568"/>
      <c r="G72" s="568"/>
      <c r="H72" s="568"/>
      <c r="I72" s="568"/>
      <c r="J72" s="568"/>
      <c r="K72" s="568"/>
      <c r="L72" s="568"/>
      <c r="M72" s="568"/>
      <c r="N72" s="568"/>
      <c r="O72" s="568"/>
      <c r="P72" s="568"/>
      <c r="Q72" s="568"/>
      <c r="R72" s="568"/>
      <c r="S72" s="568"/>
      <c r="T72" s="568"/>
      <c r="U72" s="568"/>
      <c r="V72" s="568"/>
      <c r="W72" s="568"/>
      <c r="X72" s="568"/>
      <c r="Y72" s="568"/>
      <c r="Z72" s="568"/>
      <c r="AA72" s="570"/>
      <c r="AB72" s="567"/>
      <c r="AC72" s="571"/>
      <c r="AD72" s="568"/>
      <c r="AE72" s="568"/>
      <c r="AF72" s="568"/>
      <c r="AG72" s="568"/>
      <c r="AH72" s="568"/>
      <c r="AI72" s="568"/>
      <c r="AJ72" s="568"/>
      <c r="AK72" s="568"/>
      <c r="AL72" s="568"/>
      <c r="AM72" s="568"/>
      <c r="AN72" s="568"/>
      <c r="AO72" s="568"/>
      <c r="AP72" s="568"/>
      <c r="AQ72" s="568"/>
      <c r="AR72" s="568"/>
      <c r="AS72" s="572"/>
      <c r="AT72" s="572"/>
      <c r="AU72" s="572"/>
      <c r="AV72" s="572"/>
      <c r="AW72" s="620"/>
      <c r="AX72" s="572"/>
      <c r="AY72" s="568"/>
      <c r="AZ72" s="568"/>
      <c r="BA72" s="568"/>
      <c r="BB72" s="568"/>
      <c r="BC72" s="568"/>
      <c r="BD72" s="570"/>
    </row>
    <row r="75" spans="2:88" s="573" customFormat="1" ht="13.5" customHeight="1" x14ac:dyDescent="0.2">
      <c r="C75" s="302" t="s">
        <v>92</v>
      </c>
      <c r="D75" s="302"/>
      <c r="U75" s="540"/>
      <c r="AC75" s="574"/>
      <c r="AQ75" s="540"/>
      <c r="AR75" s="540"/>
      <c r="AS75" s="282"/>
      <c r="AT75" s="282"/>
      <c r="AU75" s="282"/>
      <c r="AV75" s="282"/>
      <c r="AW75" s="621"/>
      <c r="AX75" s="282"/>
      <c r="BF75" s="626"/>
      <c r="BG75" s="626"/>
      <c r="BH75" s="626"/>
      <c r="BI75" s="626"/>
      <c r="BJ75" s="626"/>
      <c r="BK75" s="626"/>
      <c r="BL75" s="626"/>
      <c r="BM75" s="626"/>
      <c r="BN75" s="626"/>
      <c r="BO75" s="626"/>
      <c r="BP75" s="626"/>
      <c r="BQ75" s="626"/>
      <c r="BR75" s="626"/>
      <c r="BS75" s="626"/>
      <c r="BT75" s="626"/>
      <c r="BU75" s="626"/>
      <c r="BV75" s="626"/>
      <c r="BW75" s="626"/>
      <c r="BX75" s="626"/>
      <c r="BY75" s="626"/>
      <c r="BZ75" s="626"/>
      <c r="CA75" s="626"/>
      <c r="CB75" s="627"/>
      <c r="CC75" s="627"/>
      <c r="CD75" s="627"/>
      <c r="CE75" s="282"/>
      <c r="CF75" s="282"/>
      <c r="CG75" s="282"/>
      <c r="CH75" s="282"/>
      <c r="CI75" s="282"/>
      <c r="CJ75" s="282"/>
    </row>
    <row r="76" spans="2:88" s="573" customFormat="1" ht="13.5" customHeight="1" x14ac:dyDescent="0.2">
      <c r="C76" s="302" t="s">
        <v>85</v>
      </c>
      <c r="D76" s="302"/>
      <c r="U76" s="540"/>
      <c r="AC76" s="574"/>
      <c r="AQ76" s="540"/>
      <c r="AR76" s="540"/>
      <c r="AS76" s="282"/>
      <c r="AT76" s="282"/>
      <c r="AU76" s="282"/>
      <c r="AV76" s="282"/>
      <c r="AW76" s="621"/>
      <c r="AX76" s="282"/>
      <c r="BF76" s="626"/>
      <c r="BG76" s="626"/>
      <c r="BH76" s="626"/>
      <c r="BI76" s="626"/>
      <c r="BJ76" s="626"/>
      <c r="BK76" s="626"/>
      <c r="BL76" s="626"/>
      <c r="BM76" s="626"/>
      <c r="BN76" s="626"/>
      <c r="BO76" s="626"/>
      <c r="BP76" s="626"/>
      <c r="BQ76" s="626"/>
      <c r="BR76" s="626"/>
      <c r="BS76" s="626"/>
      <c r="BT76" s="626"/>
      <c r="BU76" s="626"/>
      <c r="BV76" s="626"/>
      <c r="BW76" s="626"/>
      <c r="BX76" s="626"/>
      <c r="BY76" s="626"/>
      <c r="BZ76" s="626"/>
      <c r="CA76" s="626"/>
      <c r="CB76" s="627"/>
      <c r="CC76" s="627"/>
      <c r="CD76" s="627"/>
      <c r="CE76" s="282"/>
      <c r="CF76" s="282"/>
      <c r="CG76" s="282"/>
      <c r="CH76" s="282"/>
      <c r="CI76" s="282"/>
      <c r="CJ76" s="282"/>
    </row>
    <row r="77" spans="2:88" s="573" customFormat="1" ht="13.5" customHeight="1" x14ac:dyDescent="0.2">
      <c r="C77" s="302" t="s">
        <v>86</v>
      </c>
      <c r="D77" s="302"/>
      <c r="U77" s="540"/>
      <c r="AC77" s="574"/>
      <c r="AQ77" s="540"/>
      <c r="AR77" s="540"/>
      <c r="AS77" s="282"/>
      <c r="AT77" s="282"/>
      <c r="AU77" s="282"/>
      <c r="AV77" s="282"/>
      <c r="AW77" s="621"/>
      <c r="AX77" s="282"/>
      <c r="BF77" s="626"/>
      <c r="BG77" s="626"/>
      <c r="BH77" s="626"/>
      <c r="BI77" s="626"/>
      <c r="BJ77" s="626"/>
      <c r="BK77" s="626"/>
      <c r="BL77" s="626"/>
      <c r="BM77" s="626"/>
      <c r="BN77" s="626"/>
      <c r="BO77" s="626"/>
      <c r="BP77" s="626"/>
      <c r="BQ77" s="626"/>
      <c r="BR77" s="626"/>
      <c r="BS77" s="626"/>
      <c r="BT77" s="626"/>
      <c r="BU77" s="626"/>
      <c r="BV77" s="626"/>
      <c r="BW77" s="626"/>
      <c r="BX77" s="626"/>
      <c r="BY77" s="626"/>
      <c r="BZ77" s="626"/>
      <c r="CA77" s="626"/>
      <c r="CB77" s="627"/>
      <c r="CC77" s="627"/>
      <c r="CD77" s="627"/>
      <c r="CE77" s="282"/>
      <c r="CF77" s="282"/>
      <c r="CG77" s="282"/>
      <c r="CH77" s="282"/>
      <c r="CI77" s="282"/>
      <c r="CJ77" s="282"/>
    </row>
    <row r="78" spans="2:88" s="573" customFormat="1" ht="13.5" customHeight="1" x14ac:dyDescent="0.2">
      <c r="C78" s="302" t="s">
        <v>87</v>
      </c>
      <c r="D78" s="302"/>
      <c r="U78" s="540"/>
      <c r="AC78" s="574"/>
      <c r="AQ78" s="540"/>
      <c r="AR78" s="540"/>
      <c r="AS78" s="282"/>
      <c r="AT78" s="282"/>
      <c r="AU78" s="282"/>
      <c r="AV78" s="282"/>
      <c r="AW78" s="621"/>
      <c r="AX78" s="282"/>
      <c r="BF78" s="626"/>
      <c r="BG78" s="626"/>
      <c r="BH78" s="626"/>
      <c r="BI78" s="626"/>
      <c r="BJ78" s="626"/>
      <c r="BK78" s="626"/>
      <c r="BL78" s="626"/>
      <c r="BM78" s="626"/>
      <c r="BN78" s="626"/>
      <c r="BO78" s="626"/>
      <c r="BP78" s="626"/>
      <c r="BQ78" s="626"/>
      <c r="BR78" s="626"/>
      <c r="BS78" s="626"/>
      <c r="BT78" s="626"/>
      <c r="BU78" s="626"/>
      <c r="BV78" s="626"/>
      <c r="BW78" s="626"/>
      <c r="BX78" s="626"/>
      <c r="BY78" s="626"/>
      <c r="BZ78" s="626"/>
      <c r="CA78" s="626"/>
      <c r="CB78" s="627"/>
      <c r="CC78" s="627"/>
      <c r="CD78" s="627"/>
      <c r="CE78" s="282"/>
      <c r="CF78" s="282"/>
      <c r="CG78" s="282"/>
      <c r="CH78" s="282"/>
      <c r="CI78" s="282"/>
      <c r="CJ78" s="282"/>
    </row>
    <row r="79" spans="2:88" s="573" customFormat="1" ht="13.5" customHeight="1" x14ac:dyDescent="0.2">
      <c r="C79" s="302" t="s">
        <v>88</v>
      </c>
      <c r="D79" s="302"/>
      <c r="U79" s="540"/>
      <c r="AC79" s="574"/>
      <c r="AQ79" s="540"/>
      <c r="AR79" s="540"/>
      <c r="AS79" s="282"/>
      <c r="AT79" s="282"/>
      <c r="AU79" s="282"/>
      <c r="AV79" s="282"/>
      <c r="AW79" s="621"/>
      <c r="AX79" s="282"/>
      <c r="BF79" s="626"/>
      <c r="BG79" s="626"/>
      <c r="BH79" s="626"/>
      <c r="BI79" s="626"/>
      <c r="BJ79" s="626"/>
      <c r="BK79" s="626"/>
      <c r="BL79" s="626"/>
      <c r="BM79" s="626"/>
      <c r="BN79" s="626"/>
      <c r="BO79" s="626"/>
      <c r="BP79" s="626"/>
      <c r="BQ79" s="626"/>
      <c r="BR79" s="626"/>
      <c r="BS79" s="626"/>
      <c r="BT79" s="626"/>
      <c r="BU79" s="626"/>
      <c r="BV79" s="626"/>
      <c r="BW79" s="626"/>
      <c r="BX79" s="626"/>
      <c r="BY79" s="626"/>
      <c r="BZ79" s="626"/>
      <c r="CA79" s="626"/>
      <c r="CB79" s="627"/>
      <c r="CC79" s="627"/>
      <c r="CD79" s="627"/>
      <c r="CE79" s="282"/>
      <c r="CF79" s="282"/>
      <c r="CG79" s="282"/>
      <c r="CH79" s="282"/>
      <c r="CI79" s="282"/>
      <c r="CJ79" s="282"/>
    </row>
    <row r="80" spans="2:88" s="573" customFormat="1" ht="13.5" customHeight="1" x14ac:dyDescent="0.2">
      <c r="C80" s="302" t="s">
        <v>89</v>
      </c>
      <c r="D80" s="302"/>
      <c r="U80" s="540"/>
      <c r="AC80" s="574"/>
      <c r="AQ80" s="540"/>
      <c r="AR80" s="540"/>
      <c r="AS80" s="282"/>
      <c r="AT80" s="282"/>
      <c r="AU80" s="282"/>
      <c r="AV80" s="282"/>
      <c r="AW80" s="621"/>
      <c r="AX80" s="282"/>
      <c r="BF80" s="626"/>
      <c r="BG80" s="626"/>
      <c r="BH80" s="626"/>
      <c r="BI80" s="626"/>
      <c r="BJ80" s="626"/>
      <c r="BK80" s="626"/>
      <c r="BL80" s="626"/>
      <c r="BM80" s="626"/>
      <c r="BN80" s="626"/>
      <c r="BO80" s="626"/>
      <c r="BP80" s="626"/>
      <c r="BQ80" s="626"/>
      <c r="BR80" s="626"/>
      <c r="BS80" s="626"/>
      <c r="BT80" s="626"/>
      <c r="BU80" s="626"/>
      <c r="BV80" s="626"/>
      <c r="BW80" s="626"/>
      <c r="BX80" s="626"/>
      <c r="BY80" s="626"/>
      <c r="BZ80" s="626"/>
      <c r="CA80" s="626"/>
      <c r="CB80" s="627"/>
      <c r="CC80" s="627"/>
      <c r="CD80" s="627"/>
      <c r="CE80" s="282"/>
      <c r="CF80" s="282"/>
      <c r="CG80" s="282"/>
      <c r="CH80" s="282"/>
      <c r="CI80" s="282"/>
      <c r="CJ80" s="282"/>
    </row>
    <row r="81" spans="3:88" s="573" customFormat="1" ht="13.5" customHeight="1" x14ac:dyDescent="0.2">
      <c r="C81" s="302" t="s">
        <v>90</v>
      </c>
      <c r="D81" s="302"/>
      <c r="U81" s="540"/>
      <c r="AC81" s="574"/>
      <c r="AQ81" s="540"/>
      <c r="AR81" s="540"/>
      <c r="AS81" s="282"/>
      <c r="AT81" s="282"/>
      <c r="AU81" s="282"/>
      <c r="AV81" s="282"/>
      <c r="AW81" s="621"/>
      <c r="AX81" s="282"/>
      <c r="BF81" s="626"/>
      <c r="BG81" s="626"/>
      <c r="BH81" s="626"/>
      <c r="BI81" s="626"/>
      <c r="BJ81" s="626"/>
      <c r="BK81" s="626"/>
      <c r="BL81" s="626"/>
      <c r="BM81" s="626"/>
      <c r="BN81" s="626"/>
      <c r="BO81" s="626"/>
      <c r="BP81" s="626"/>
      <c r="BQ81" s="626"/>
      <c r="BR81" s="626"/>
      <c r="BS81" s="626"/>
      <c r="BT81" s="626"/>
      <c r="BU81" s="626"/>
      <c r="BV81" s="626"/>
      <c r="BW81" s="626"/>
      <c r="BX81" s="626"/>
      <c r="BY81" s="626"/>
      <c r="BZ81" s="626"/>
      <c r="CA81" s="626"/>
      <c r="CB81" s="627"/>
      <c r="CC81" s="627"/>
      <c r="CD81" s="627"/>
      <c r="CE81" s="282"/>
      <c r="CF81" s="282"/>
      <c r="CG81" s="282"/>
      <c r="CH81" s="282"/>
      <c r="CI81" s="282"/>
      <c r="CJ81" s="282"/>
    </row>
    <row r="82" spans="3:88" s="573" customFormat="1" ht="13.5" customHeight="1" x14ac:dyDescent="0.2">
      <c r="C82" s="302" t="s">
        <v>91</v>
      </c>
      <c r="D82" s="302"/>
      <c r="U82" s="540"/>
      <c r="AC82" s="574"/>
      <c r="AQ82" s="540"/>
      <c r="AR82" s="540"/>
      <c r="AS82" s="282"/>
      <c r="AT82" s="282"/>
      <c r="AU82" s="282"/>
      <c r="AV82" s="282"/>
      <c r="AW82" s="621"/>
      <c r="AX82" s="282"/>
      <c r="BF82" s="626"/>
      <c r="BG82" s="626"/>
      <c r="BH82" s="626"/>
      <c r="BI82" s="626"/>
      <c r="BJ82" s="626"/>
      <c r="BK82" s="626"/>
      <c r="BL82" s="626"/>
      <c r="BM82" s="626"/>
      <c r="BN82" s="626"/>
      <c r="BO82" s="626"/>
      <c r="BP82" s="626"/>
      <c r="BQ82" s="626"/>
      <c r="BR82" s="626"/>
      <c r="BS82" s="626"/>
      <c r="BT82" s="626"/>
      <c r="BU82" s="626"/>
      <c r="BV82" s="626"/>
      <c r="BW82" s="626"/>
      <c r="BX82" s="626"/>
      <c r="BY82" s="626"/>
      <c r="BZ82" s="626"/>
      <c r="CA82" s="626"/>
      <c r="CB82" s="627"/>
      <c r="CC82" s="627"/>
      <c r="CD82" s="627"/>
      <c r="CE82" s="282"/>
      <c r="CF82" s="282"/>
      <c r="CG82" s="282"/>
      <c r="CH82" s="282"/>
      <c r="CI82" s="282"/>
      <c r="CJ82" s="282"/>
    </row>
    <row r="83" spans="3:88" s="573" customFormat="1" ht="13.5" customHeight="1" x14ac:dyDescent="0.2">
      <c r="C83" s="303" t="s">
        <v>3</v>
      </c>
      <c r="D83" s="302"/>
      <c r="U83" s="540"/>
      <c r="AC83" s="574"/>
      <c r="AQ83" s="540"/>
      <c r="AR83" s="540"/>
      <c r="AS83" s="282"/>
      <c r="AT83" s="282"/>
      <c r="AU83" s="282"/>
      <c r="AV83" s="282"/>
      <c r="AW83" s="621"/>
      <c r="AX83" s="282"/>
      <c r="BF83" s="626"/>
      <c r="BG83" s="626"/>
      <c r="BH83" s="626"/>
      <c r="BI83" s="626"/>
      <c r="BJ83" s="626"/>
      <c r="BK83" s="626"/>
      <c r="BL83" s="626"/>
      <c r="BM83" s="626"/>
      <c r="BN83" s="626"/>
      <c r="BO83" s="626"/>
      <c r="BP83" s="626"/>
      <c r="BQ83" s="626"/>
      <c r="BR83" s="626"/>
      <c r="BS83" s="626"/>
      <c r="BT83" s="626"/>
      <c r="BU83" s="626"/>
      <c r="BV83" s="626"/>
      <c r="BW83" s="626"/>
      <c r="BX83" s="626"/>
      <c r="BY83" s="626"/>
      <c r="BZ83" s="626"/>
      <c r="CA83" s="626"/>
      <c r="CB83" s="627"/>
      <c r="CC83" s="627"/>
      <c r="CD83" s="627"/>
      <c r="CE83" s="282"/>
      <c r="CF83" s="282"/>
      <c r="CG83" s="282"/>
      <c r="CH83" s="282"/>
      <c r="CI83" s="282"/>
      <c r="CJ83" s="282"/>
    </row>
    <row r="84" spans="3:88" s="573" customFormat="1" ht="13.5" customHeight="1" x14ac:dyDescent="0.2">
      <c r="C84" s="303" t="s">
        <v>4</v>
      </c>
      <c r="D84" s="302"/>
      <c r="U84" s="540"/>
      <c r="AC84" s="574"/>
      <c r="AQ84" s="540"/>
      <c r="AR84" s="540"/>
      <c r="AS84" s="282"/>
      <c r="AT84" s="282"/>
      <c r="AU84" s="282"/>
      <c r="AV84" s="282"/>
      <c r="AW84" s="621"/>
      <c r="AX84" s="282"/>
      <c r="BF84" s="626"/>
      <c r="BG84" s="626"/>
      <c r="BH84" s="626"/>
      <c r="BI84" s="626"/>
      <c r="BJ84" s="626"/>
      <c r="BK84" s="626"/>
      <c r="BL84" s="626"/>
      <c r="BM84" s="626"/>
      <c r="BN84" s="626"/>
      <c r="BO84" s="626"/>
      <c r="BP84" s="626"/>
      <c r="BQ84" s="626"/>
      <c r="BR84" s="626"/>
      <c r="BS84" s="626"/>
      <c r="BT84" s="626"/>
      <c r="BU84" s="626"/>
      <c r="BV84" s="626"/>
      <c r="BW84" s="626"/>
      <c r="BX84" s="626"/>
      <c r="BY84" s="626"/>
      <c r="BZ84" s="626"/>
      <c r="CA84" s="626"/>
      <c r="CB84" s="627"/>
      <c r="CC84" s="627"/>
      <c r="CD84" s="627"/>
      <c r="CE84" s="282"/>
      <c r="CF84" s="282"/>
      <c r="CG84" s="282"/>
      <c r="CH84" s="282"/>
      <c r="CI84" s="282"/>
      <c r="CJ84" s="282"/>
    </row>
    <row r="85" spans="3:88" s="573" customFormat="1" ht="13.5" customHeight="1" x14ac:dyDescent="0.2">
      <c r="C85" s="303" t="s">
        <v>5</v>
      </c>
      <c r="D85" s="302"/>
      <c r="U85" s="540"/>
      <c r="AC85" s="574"/>
      <c r="AQ85" s="540"/>
      <c r="AR85" s="540"/>
      <c r="AS85" s="282"/>
      <c r="AT85" s="282"/>
      <c r="AU85" s="282"/>
      <c r="AV85" s="282"/>
      <c r="AW85" s="621"/>
      <c r="AX85" s="282"/>
      <c r="BF85" s="626"/>
      <c r="BG85" s="626"/>
      <c r="BH85" s="626"/>
      <c r="BI85" s="626"/>
      <c r="BJ85" s="626"/>
      <c r="BK85" s="626"/>
      <c r="BL85" s="626"/>
      <c r="BM85" s="626"/>
      <c r="BN85" s="626"/>
      <c r="BO85" s="626"/>
      <c r="BP85" s="626"/>
      <c r="BQ85" s="626"/>
      <c r="BR85" s="626"/>
      <c r="BS85" s="626"/>
      <c r="BT85" s="626"/>
      <c r="BU85" s="626"/>
      <c r="BV85" s="626"/>
      <c r="BW85" s="626"/>
      <c r="BX85" s="626"/>
      <c r="BY85" s="626"/>
      <c r="BZ85" s="626"/>
      <c r="CA85" s="626"/>
      <c r="CB85" s="627"/>
      <c r="CC85" s="627"/>
      <c r="CD85" s="627"/>
      <c r="CE85" s="282"/>
      <c r="CF85" s="282"/>
      <c r="CG85" s="282"/>
      <c r="CH85" s="282"/>
      <c r="CI85" s="282"/>
      <c r="CJ85" s="282"/>
    </row>
    <row r="86" spans="3:88" s="573" customFormat="1" ht="13.5" customHeight="1" x14ac:dyDescent="0.2">
      <c r="C86" s="303" t="s">
        <v>6</v>
      </c>
      <c r="D86" s="302"/>
      <c r="U86" s="540"/>
      <c r="AC86" s="574"/>
      <c r="AQ86" s="540"/>
      <c r="AR86" s="540"/>
      <c r="AS86" s="282"/>
      <c r="AT86" s="282"/>
      <c r="AU86" s="282"/>
      <c r="AV86" s="282"/>
      <c r="AW86" s="621"/>
      <c r="AX86" s="282"/>
      <c r="BF86" s="626"/>
      <c r="BG86" s="626"/>
      <c r="BH86" s="626"/>
      <c r="BI86" s="626"/>
      <c r="BJ86" s="626"/>
      <c r="BK86" s="626"/>
      <c r="BL86" s="626"/>
      <c r="BM86" s="626"/>
      <c r="BN86" s="626"/>
      <c r="BO86" s="626"/>
      <c r="BP86" s="626"/>
      <c r="BQ86" s="626"/>
      <c r="BR86" s="626"/>
      <c r="BS86" s="626"/>
      <c r="BT86" s="626"/>
      <c r="BU86" s="626"/>
      <c r="BV86" s="626"/>
      <c r="BW86" s="626"/>
      <c r="BX86" s="626"/>
      <c r="BY86" s="626"/>
      <c r="BZ86" s="626"/>
      <c r="CA86" s="626"/>
      <c r="CB86" s="627"/>
      <c r="CC86" s="627"/>
      <c r="CD86" s="627"/>
      <c r="CE86" s="282"/>
      <c r="CF86" s="282"/>
      <c r="CG86" s="282"/>
      <c r="CH86" s="282"/>
      <c r="CI86" s="282"/>
      <c r="CJ86" s="282"/>
    </row>
    <row r="87" spans="3:88" s="573" customFormat="1" ht="13.5" customHeight="1" x14ac:dyDescent="0.2">
      <c r="C87" s="303" t="s">
        <v>7</v>
      </c>
      <c r="D87" s="302"/>
      <c r="U87" s="540"/>
      <c r="AC87" s="574"/>
      <c r="AQ87" s="540"/>
      <c r="AR87" s="540"/>
      <c r="AS87" s="282"/>
      <c r="AT87" s="282"/>
      <c r="AU87" s="282"/>
      <c r="AV87" s="282"/>
      <c r="AW87" s="621"/>
      <c r="AX87" s="282"/>
      <c r="BF87" s="626"/>
      <c r="BG87" s="626"/>
      <c r="BH87" s="626"/>
      <c r="BI87" s="626"/>
      <c r="BJ87" s="626"/>
      <c r="BK87" s="626"/>
      <c r="BL87" s="626"/>
      <c r="BM87" s="626"/>
      <c r="BN87" s="626"/>
      <c r="BO87" s="626"/>
      <c r="BP87" s="626"/>
      <c r="BQ87" s="626"/>
      <c r="BR87" s="626"/>
      <c r="BS87" s="626"/>
      <c r="BT87" s="626"/>
      <c r="BU87" s="626"/>
      <c r="BV87" s="626"/>
      <c r="BW87" s="626"/>
      <c r="BX87" s="626"/>
      <c r="BY87" s="626"/>
      <c r="BZ87" s="626"/>
      <c r="CA87" s="626"/>
      <c r="CB87" s="627"/>
      <c r="CC87" s="627"/>
      <c r="CD87" s="627"/>
      <c r="CE87" s="282"/>
      <c r="CF87" s="282"/>
      <c r="CG87" s="282"/>
      <c r="CH87" s="282"/>
      <c r="CI87" s="282"/>
      <c r="CJ87" s="282"/>
    </row>
    <row r="88" spans="3:88" s="573" customFormat="1" ht="13.5" customHeight="1" x14ac:dyDescent="0.2">
      <c r="C88" s="303" t="s">
        <v>8</v>
      </c>
      <c r="D88" s="302"/>
      <c r="U88" s="540"/>
      <c r="AC88" s="574"/>
      <c r="AQ88" s="540"/>
      <c r="AR88" s="540"/>
      <c r="AS88" s="282"/>
      <c r="AT88" s="282"/>
      <c r="AU88" s="282"/>
      <c r="AV88" s="282"/>
      <c r="AW88" s="621"/>
      <c r="AX88" s="282"/>
      <c r="BF88" s="626"/>
      <c r="BG88" s="626"/>
      <c r="BH88" s="626"/>
      <c r="BI88" s="626"/>
      <c r="BJ88" s="626"/>
      <c r="BK88" s="626"/>
      <c r="BL88" s="626"/>
      <c r="BM88" s="626"/>
      <c r="BN88" s="626"/>
      <c r="BO88" s="626"/>
      <c r="BP88" s="626"/>
      <c r="BQ88" s="626"/>
      <c r="BR88" s="626"/>
      <c r="BS88" s="626"/>
      <c r="BT88" s="626"/>
      <c r="BU88" s="626"/>
      <c r="BV88" s="626"/>
      <c r="BW88" s="626"/>
      <c r="BX88" s="626"/>
      <c r="BY88" s="626"/>
      <c r="BZ88" s="626"/>
      <c r="CA88" s="626"/>
      <c r="CB88" s="627"/>
      <c r="CC88" s="627"/>
      <c r="CD88" s="627"/>
      <c r="CE88" s="282"/>
      <c r="CF88" s="282"/>
      <c r="CG88" s="282"/>
      <c r="CH88" s="282"/>
      <c r="CI88" s="282"/>
      <c r="CJ88" s="282"/>
    </row>
    <row r="89" spans="3:88" s="573" customFormat="1" ht="13.5" customHeight="1" x14ac:dyDescent="0.2">
      <c r="C89" s="303" t="s">
        <v>9</v>
      </c>
      <c r="D89" s="302"/>
      <c r="U89" s="540"/>
      <c r="AC89" s="574"/>
      <c r="AQ89" s="540"/>
      <c r="AR89" s="540"/>
      <c r="AS89" s="282"/>
      <c r="AT89" s="282"/>
      <c r="AU89" s="282"/>
      <c r="AV89" s="282"/>
      <c r="AW89" s="621"/>
      <c r="AX89" s="282"/>
      <c r="BF89" s="626"/>
      <c r="BG89" s="626"/>
      <c r="BH89" s="626"/>
      <c r="BI89" s="626"/>
      <c r="BJ89" s="626"/>
      <c r="BK89" s="626"/>
      <c r="BL89" s="626"/>
      <c r="BM89" s="626"/>
      <c r="BN89" s="626"/>
      <c r="BO89" s="626"/>
      <c r="BP89" s="626"/>
      <c r="BQ89" s="626"/>
      <c r="BR89" s="626"/>
      <c r="BS89" s="626"/>
      <c r="BT89" s="626"/>
      <c r="BU89" s="626"/>
      <c r="BV89" s="626"/>
      <c r="BW89" s="626"/>
      <c r="BX89" s="626"/>
      <c r="BY89" s="626"/>
      <c r="BZ89" s="626"/>
      <c r="CA89" s="626"/>
      <c r="CB89" s="627"/>
      <c r="CC89" s="627"/>
      <c r="CD89" s="627"/>
      <c r="CE89" s="282"/>
      <c r="CF89" s="282"/>
      <c r="CG89" s="282"/>
      <c r="CH89" s="282"/>
      <c r="CI89" s="282"/>
      <c r="CJ89" s="282"/>
    </row>
    <row r="90" spans="3:88" s="573" customFormat="1" ht="13.5" customHeight="1" x14ac:dyDescent="0.2">
      <c r="C90" s="303" t="s">
        <v>10</v>
      </c>
      <c r="D90" s="302"/>
      <c r="U90" s="540"/>
      <c r="AC90" s="574"/>
      <c r="AQ90" s="540"/>
      <c r="AR90" s="540"/>
      <c r="AS90" s="282"/>
      <c r="AT90" s="282"/>
      <c r="AU90" s="282"/>
      <c r="AV90" s="282"/>
      <c r="AW90" s="621"/>
      <c r="AX90" s="282"/>
      <c r="BF90" s="626"/>
      <c r="BG90" s="626"/>
      <c r="BH90" s="626"/>
      <c r="BI90" s="626"/>
      <c r="BJ90" s="626"/>
      <c r="BK90" s="626"/>
      <c r="BL90" s="626"/>
      <c r="BM90" s="626"/>
      <c r="BN90" s="626"/>
      <c r="BO90" s="626"/>
      <c r="BP90" s="626"/>
      <c r="BQ90" s="626"/>
      <c r="BR90" s="626"/>
      <c r="BS90" s="626"/>
      <c r="BT90" s="626"/>
      <c r="BU90" s="626"/>
      <c r="BV90" s="626"/>
      <c r="BW90" s="626"/>
      <c r="BX90" s="626"/>
      <c r="BY90" s="626"/>
      <c r="BZ90" s="626"/>
      <c r="CA90" s="626"/>
      <c r="CB90" s="627"/>
      <c r="CC90" s="627"/>
      <c r="CD90" s="627"/>
      <c r="CE90" s="282"/>
      <c r="CF90" s="282"/>
      <c r="CG90" s="282"/>
      <c r="CH90" s="282"/>
      <c r="CI90" s="282"/>
      <c r="CJ90" s="282"/>
    </row>
    <row r="91" spans="3:88" s="573" customFormat="1" ht="13.5" customHeight="1" x14ac:dyDescent="0.2">
      <c r="C91" s="303" t="s">
        <v>11</v>
      </c>
      <c r="D91" s="302"/>
      <c r="U91" s="540"/>
      <c r="AC91" s="574"/>
      <c r="AQ91" s="540"/>
      <c r="AR91" s="540"/>
      <c r="AS91" s="282"/>
      <c r="AT91" s="282"/>
      <c r="AU91" s="282"/>
      <c r="AV91" s="282"/>
      <c r="AW91" s="621"/>
      <c r="AX91" s="282"/>
      <c r="BF91" s="626"/>
      <c r="BG91" s="626"/>
      <c r="BH91" s="626"/>
      <c r="BI91" s="626"/>
      <c r="BJ91" s="626"/>
      <c r="BK91" s="626"/>
      <c r="BL91" s="626"/>
      <c r="BM91" s="626"/>
      <c r="BN91" s="626"/>
      <c r="BO91" s="626"/>
      <c r="BP91" s="626"/>
      <c r="BQ91" s="626"/>
      <c r="BR91" s="626"/>
      <c r="BS91" s="626"/>
      <c r="BT91" s="626"/>
      <c r="BU91" s="626"/>
      <c r="BV91" s="626"/>
      <c r="BW91" s="626"/>
      <c r="BX91" s="626"/>
      <c r="BY91" s="626"/>
      <c r="BZ91" s="626"/>
      <c r="CA91" s="626"/>
      <c r="CB91" s="627"/>
      <c r="CC91" s="627"/>
      <c r="CD91" s="627"/>
      <c r="CE91" s="282"/>
      <c r="CF91" s="282"/>
      <c r="CG91" s="282"/>
      <c r="CH91" s="282"/>
      <c r="CI91" s="282"/>
      <c r="CJ91" s="282"/>
    </row>
    <row r="92" spans="3:88" s="573" customFormat="1" ht="13.5" customHeight="1" x14ac:dyDescent="0.2">
      <c r="C92" s="303" t="s">
        <v>12</v>
      </c>
      <c r="D92" s="302"/>
      <c r="U92" s="540"/>
      <c r="AC92" s="574"/>
      <c r="AQ92" s="540"/>
      <c r="AR92" s="540"/>
      <c r="AS92" s="282"/>
      <c r="AT92" s="282"/>
      <c r="AU92" s="282"/>
      <c r="AV92" s="282"/>
      <c r="AW92" s="621"/>
      <c r="AX92" s="282"/>
      <c r="BF92" s="626"/>
      <c r="BG92" s="626"/>
      <c r="BH92" s="626"/>
      <c r="BI92" s="626"/>
      <c r="BJ92" s="626"/>
      <c r="BK92" s="626"/>
      <c r="BL92" s="626"/>
      <c r="BM92" s="626"/>
      <c r="BN92" s="626"/>
      <c r="BO92" s="626"/>
      <c r="BP92" s="626"/>
      <c r="BQ92" s="626"/>
      <c r="BR92" s="626"/>
      <c r="BS92" s="626"/>
      <c r="BT92" s="626"/>
      <c r="BU92" s="626"/>
      <c r="BV92" s="626"/>
      <c r="BW92" s="626"/>
      <c r="BX92" s="626"/>
      <c r="BY92" s="626"/>
      <c r="BZ92" s="626"/>
      <c r="CA92" s="626"/>
      <c r="CB92" s="627"/>
      <c r="CC92" s="627"/>
      <c r="CD92" s="627"/>
      <c r="CE92" s="282"/>
      <c r="CF92" s="282"/>
      <c r="CG92" s="282"/>
      <c r="CH92" s="282"/>
      <c r="CI92" s="282"/>
      <c r="CJ92" s="282"/>
    </row>
    <row r="93" spans="3:88" s="573" customFormat="1" ht="13.5" customHeight="1" x14ac:dyDescent="0.2">
      <c r="C93" s="303" t="s">
        <v>13</v>
      </c>
      <c r="D93" s="302"/>
      <c r="U93" s="540"/>
      <c r="AC93" s="574"/>
      <c r="AQ93" s="540"/>
      <c r="AR93" s="540"/>
      <c r="AS93" s="282"/>
      <c r="AT93" s="282"/>
      <c r="AU93" s="282"/>
      <c r="AV93" s="282"/>
      <c r="AW93" s="621"/>
      <c r="AX93" s="282"/>
      <c r="BF93" s="626"/>
      <c r="BG93" s="626"/>
      <c r="BH93" s="626"/>
      <c r="BI93" s="626"/>
      <c r="BJ93" s="626"/>
      <c r="BK93" s="626"/>
      <c r="BL93" s="626"/>
      <c r="BM93" s="626"/>
      <c r="BN93" s="626"/>
      <c r="BO93" s="626"/>
      <c r="BP93" s="626"/>
      <c r="BQ93" s="626"/>
      <c r="BR93" s="626"/>
      <c r="BS93" s="626"/>
      <c r="BT93" s="626"/>
      <c r="BU93" s="626"/>
      <c r="BV93" s="626"/>
      <c r="BW93" s="626"/>
      <c r="BX93" s="626"/>
      <c r="BY93" s="626"/>
      <c r="BZ93" s="626"/>
      <c r="CA93" s="626"/>
      <c r="CB93" s="627"/>
      <c r="CC93" s="627"/>
      <c r="CD93" s="627"/>
      <c r="CE93" s="282"/>
      <c r="CF93" s="282"/>
      <c r="CG93" s="282"/>
      <c r="CH93" s="282"/>
      <c r="CI93" s="282"/>
      <c r="CJ93" s="282"/>
    </row>
    <row r="94" spans="3:88" s="573" customFormat="1" ht="13.5" customHeight="1" x14ac:dyDescent="0.2">
      <c r="C94" s="303" t="s">
        <v>14</v>
      </c>
      <c r="D94" s="302"/>
      <c r="U94" s="540"/>
      <c r="AC94" s="574"/>
      <c r="AQ94" s="540"/>
      <c r="AR94" s="540"/>
      <c r="AS94" s="282"/>
      <c r="AT94" s="282"/>
      <c r="AU94" s="282"/>
      <c r="AV94" s="282"/>
      <c r="AW94" s="621"/>
      <c r="AX94" s="282"/>
      <c r="BF94" s="626"/>
      <c r="BG94" s="626"/>
      <c r="BH94" s="626"/>
      <c r="BI94" s="626"/>
      <c r="BJ94" s="626"/>
      <c r="BK94" s="626"/>
      <c r="BL94" s="626"/>
      <c r="BM94" s="626"/>
      <c r="BN94" s="626"/>
      <c r="BO94" s="626"/>
      <c r="BP94" s="626"/>
      <c r="BQ94" s="626"/>
      <c r="BR94" s="626"/>
      <c r="BS94" s="626"/>
      <c r="BT94" s="626"/>
      <c r="BU94" s="626"/>
      <c r="BV94" s="626"/>
      <c r="BW94" s="626"/>
      <c r="BX94" s="626"/>
      <c r="BY94" s="626"/>
      <c r="BZ94" s="626"/>
      <c r="CA94" s="626"/>
      <c r="CB94" s="627"/>
      <c r="CC94" s="627"/>
      <c r="CD94" s="627"/>
      <c r="CE94" s="282"/>
      <c r="CF94" s="282"/>
      <c r="CG94" s="282"/>
      <c r="CH94" s="282"/>
      <c r="CI94" s="282"/>
      <c r="CJ94" s="282"/>
    </row>
    <row r="95" spans="3:88" s="573" customFormat="1" ht="13.5" customHeight="1" x14ac:dyDescent="0.2">
      <c r="C95" s="303" t="s">
        <v>0</v>
      </c>
      <c r="D95" s="302"/>
      <c r="U95" s="540"/>
      <c r="AC95" s="574"/>
      <c r="AQ95" s="540"/>
      <c r="AR95" s="540"/>
      <c r="AS95" s="282"/>
      <c r="AT95" s="282"/>
      <c r="AU95" s="282"/>
      <c r="AV95" s="282"/>
      <c r="AW95" s="621"/>
      <c r="AX95" s="282"/>
      <c r="BF95" s="626"/>
      <c r="BG95" s="626"/>
      <c r="BH95" s="626"/>
      <c r="BI95" s="626"/>
      <c r="BJ95" s="626"/>
      <c r="BK95" s="626"/>
      <c r="BL95" s="626"/>
      <c r="BM95" s="626"/>
      <c r="BN95" s="626"/>
      <c r="BO95" s="626"/>
      <c r="BP95" s="626"/>
      <c r="BQ95" s="626"/>
      <c r="BR95" s="626"/>
      <c r="BS95" s="626"/>
      <c r="BT95" s="626"/>
      <c r="BU95" s="626"/>
      <c r="BV95" s="626"/>
      <c r="BW95" s="626"/>
      <c r="BX95" s="626"/>
      <c r="BY95" s="626"/>
      <c r="BZ95" s="626"/>
      <c r="CA95" s="626"/>
      <c r="CB95" s="627"/>
      <c r="CC95" s="627"/>
      <c r="CD95" s="627"/>
      <c r="CE95" s="282"/>
      <c r="CF95" s="282"/>
      <c r="CG95" s="282"/>
      <c r="CH95" s="282"/>
      <c r="CI95" s="282"/>
      <c r="CJ95" s="282"/>
    </row>
    <row r="96" spans="3:88" s="573" customFormat="1" ht="13.5" customHeight="1" x14ac:dyDescent="0.2">
      <c r="C96" s="303" t="s">
        <v>15</v>
      </c>
      <c r="D96" s="302"/>
      <c r="U96" s="540"/>
      <c r="AC96" s="574"/>
      <c r="AQ96" s="540"/>
      <c r="AR96" s="540"/>
      <c r="AS96" s="282"/>
      <c r="AT96" s="282"/>
      <c r="AU96" s="282"/>
      <c r="AV96" s="282"/>
      <c r="AW96" s="621"/>
      <c r="AX96" s="282"/>
      <c r="BF96" s="626"/>
      <c r="BG96" s="626"/>
      <c r="BH96" s="626"/>
      <c r="BI96" s="626"/>
      <c r="BJ96" s="626"/>
      <c r="BK96" s="626"/>
      <c r="BL96" s="626"/>
      <c r="BM96" s="626"/>
      <c r="BN96" s="626"/>
      <c r="BO96" s="626"/>
      <c r="BP96" s="626"/>
      <c r="BQ96" s="626"/>
      <c r="BR96" s="626"/>
      <c r="BS96" s="626"/>
      <c r="BT96" s="626"/>
      <c r="BU96" s="626"/>
      <c r="BV96" s="626"/>
      <c r="BW96" s="626"/>
      <c r="BX96" s="626"/>
      <c r="BY96" s="626"/>
      <c r="BZ96" s="626"/>
      <c r="CA96" s="626"/>
      <c r="CB96" s="627"/>
      <c r="CC96" s="627"/>
      <c r="CD96" s="627"/>
      <c r="CE96" s="282"/>
      <c r="CF96" s="282"/>
      <c r="CG96" s="282"/>
      <c r="CH96" s="282"/>
      <c r="CI96" s="282"/>
      <c r="CJ96" s="282"/>
    </row>
    <row r="97" spans="3:88" s="573" customFormat="1" ht="13.5" customHeight="1" x14ac:dyDescent="0.2">
      <c r="C97" s="303" t="s">
        <v>16</v>
      </c>
      <c r="D97" s="302"/>
      <c r="U97" s="540"/>
      <c r="AC97" s="574"/>
      <c r="AQ97" s="540"/>
      <c r="AR97" s="540"/>
      <c r="AS97" s="282"/>
      <c r="AT97" s="282"/>
      <c r="AU97" s="282"/>
      <c r="AV97" s="282"/>
      <c r="AW97" s="621"/>
      <c r="AX97" s="282"/>
      <c r="BF97" s="626"/>
      <c r="BG97" s="626"/>
      <c r="BH97" s="626"/>
      <c r="BI97" s="626"/>
      <c r="BJ97" s="626"/>
      <c r="BK97" s="626"/>
      <c r="BL97" s="626"/>
      <c r="BM97" s="626"/>
      <c r="BN97" s="626"/>
      <c r="BO97" s="626"/>
      <c r="BP97" s="626"/>
      <c r="BQ97" s="626"/>
      <c r="BR97" s="626"/>
      <c r="BS97" s="626"/>
      <c r="BT97" s="626"/>
      <c r="BU97" s="626"/>
      <c r="BV97" s="626"/>
      <c r="BW97" s="626"/>
      <c r="BX97" s="626"/>
      <c r="BY97" s="626"/>
      <c r="BZ97" s="626"/>
      <c r="CA97" s="626"/>
      <c r="CB97" s="627"/>
      <c r="CC97" s="627"/>
      <c r="CD97" s="627"/>
      <c r="CE97" s="282"/>
      <c r="CF97" s="282"/>
      <c r="CG97" s="282"/>
      <c r="CH97" s="282"/>
      <c r="CI97" s="282"/>
      <c r="CJ97" s="282"/>
    </row>
    <row r="98" spans="3:88" s="573" customFormat="1" ht="13.5" customHeight="1" x14ac:dyDescent="0.2">
      <c r="C98" s="303" t="s">
        <v>17</v>
      </c>
      <c r="D98" s="302"/>
      <c r="U98" s="540"/>
      <c r="AC98" s="574"/>
      <c r="AQ98" s="540"/>
      <c r="AR98" s="540"/>
      <c r="AS98" s="282"/>
      <c r="AT98" s="282"/>
      <c r="AU98" s="282"/>
      <c r="AV98" s="282"/>
      <c r="AW98" s="621"/>
      <c r="AX98" s="282"/>
      <c r="BF98" s="626"/>
      <c r="BG98" s="626"/>
      <c r="BH98" s="626"/>
      <c r="BI98" s="626"/>
      <c r="BJ98" s="626"/>
      <c r="BK98" s="626"/>
      <c r="BL98" s="626"/>
      <c r="BM98" s="626"/>
      <c r="BN98" s="626"/>
      <c r="BO98" s="626"/>
      <c r="BP98" s="626"/>
      <c r="BQ98" s="626"/>
      <c r="BR98" s="626"/>
      <c r="BS98" s="626"/>
      <c r="BT98" s="626"/>
      <c r="BU98" s="626"/>
      <c r="BV98" s="626"/>
      <c r="BW98" s="626"/>
      <c r="BX98" s="626"/>
      <c r="BY98" s="626"/>
      <c r="BZ98" s="626"/>
      <c r="CA98" s="626"/>
      <c r="CB98" s="627"/>
      <c r="CC98" s="627"/>
      <c r="CD98" s="627"/>
      <c r="CE98" s="282"/>
      <c r="CF98" s="282"/>
      <c r="CG98" s="282"/>
      <c r="CH98" s="282"/>
      <c r="CI98" s="282"/>
      <c r="CJ98" s="282"/>
    </row>
    <row r="99" spans="3:88" s="573" customFormat="1" ht="13.5" customHeight="1" x14ac:dyDescent="0.2">
      <c r="C99" s="303" t="s">
        <v>18</v>
      </c>
      <c r="D99" s="302"/>
      <c r="U99" s="540"/>
      <c r="AC99" s="574"/>
      <c r="AQ99" s="540"/>
      <c r="AR99" s="540"/>
      <c r="AS99" s="282"/>
      <c r="AT99" s="282"/>
      <c r="AU99" s="282"/>
      <c r="AV99" s="282"/>
      <c r="AW99" s="621"/>
      <c r="AX99" s="282"/>
      <c r="BF99" s="626"/>
      <c r="BG99" s="626"/>
      <c r="BH99" s="626"/>
      <c r="BI99" s="626"/>
      <c r="BJ99" s="626"/>
      <c r="BK99" s="626"/>
      <c r="BL99" s="626"/>
      <c r="BM99" s="626"/>
      <c r="BN99" s="626"/>
      <c r="BO99" s="626"/>
      <c r="BP99" s="626"/>
      <c r="BQ99" s="626"/>
      <c r="BR99" s="626"/>
      <c r="BS99" s="626"/>
      <c r="BT99" s="626"/>
      <c r="BU99" s="626"/>
      <c r="BV99" s="626"/>
      <c r="BW99" s="626"/>
      <c r="BX99" s="626"/>
      <c r="BY99" s="626"/>
      <c r="BZ99" s="626"/>
      <c r="CA99" s="626"/>
      <c r="CB99" s="627"/>
      <c r="CC99" s="627"/>
      <c r="CD99" s="627"/>
      <c r="CE99" s="282"/>
      <c r="CF99" s="282"/>
      <c r="CG99" s="282"/>
      <c r="CH99" s="282"/>
      <c r="CI99" s="282"/>
      <c r="CJ99" s="282"/>
    </row>
    <row r="100" spans="3:88" s="573" customFormat="1" ht="13.5" customHeight="1" x14ac:dyDescent="0.2">
      <c r="C100" s="302">
        <v>1</v>
      </c>
      <c r="D100" s="302"/>
      <c r="U100" s="540"/>
      <c r="AC100" s="574"/>
      <c r="AQ100" s="540"/>
      <c r="AR100" s="540"/>
      <c r="AS100" s="282"/>
      <c r="AT100" s="282"/>
      <c r="AU100" s="282"/>
      <c r="AV100" s="282"/>
      <c r="AW100" s="621"/>
      <c r="AX100" s="282"/>
      <c r="BF100" s="626"/>
      <c r="BG100" s="626"/>
      <c r="BH100" s="626"/>
      <c r="BI100" s="626"/>
      <c r="BJ100" s="626"/>
      <c r="BK100" s="626"/>
      <c r="BL100" s="626"/>
      <c r="BM100" s="626"/>
      <c r="BN100" s="626"/>
      <c r="BO100" s="626"/>
      <c r="BP100" s="626"/>
      <c r="BQ100" s="626"/>
      <c r="BR100" s="626"/>
      <c r="BS100" s="626"/>
      <c r="BT100" s="626"/>
      <c r="BU100" s="626"/>
      <c r="BV100" s="626"/>
      <c r="BW100" s="626"/>
      <c r="BX100" s="626"/>
      <c r="BY100" s="626"/>
      <c r="BZ100" s="626"/>
      <c r="CA100" s="626"/>
      <c r="CB100" s="627"/>
      <c r="CC100" s="627"/>
      <c r="CD100" s="627"/>
      <c r="CE100" s="282"/>
      <c r="CF100" s="282"/>
      <c r="CG100" s="282"/>
      <c r="CH100" s="282"/>
      <c r="CI100" s="282"/>
      <c r="CJ100" s="282"/>
    </row>
    <row r="101" spans="3:88" s="573" customFormat="1" ht="13.5" customHeight="1" x14ac:dyDescent="0.2">
      <c r="C101" s="302">
        <v>2</v>
      </c>
      <c r="D101" s="302"/>
      <c r="U101" s="540"/>
      <c r="AC101" s="574"/>
      <c r="AQ101" s="540"/>
      <c r="AR101" s="540"/>
      <c r="AS101" s="282"/>
      <c r="AT101" s="282"/>
      <c r="AU101" s="282"/>
      <c r="AV101" s="282"/>
      <c r="AW101" s="621"/>
      <c r="AX101" s="282"/>
      <c r="BF101" s="626"/>
      <c r="BG101" s="626"/>
      <c r="BH101" s="626"/>
      <c r="BI101" s="626"/>
      <c r="BJ101" s="626"/>
      <c r="BK101" s="626"/>
      <c r="BL101" s="626"/>
      <c r="BM101" s="626"/>
      <c r="BN101" s="626"/>
      <c r="BO101" s="626"/>
      <c r="BP101" s="626"/>
      <c r="BQ101" s="626"/>
      <c r="BR101" s="626"/>
      <c r="BS101" s="626"/>
      <c r="BT101" s="626"/>
      <c r="BU101" s="626"/>
      <c r="BV101" s="626"/>
      <c r="BW101" s="626"/>
      <c r="BX101" s="626"/>
      <c r="BY101" s="626"/>
      <c r="BZ101" s="626"/>
      <c r="CA101" s="626"/>
      <c r="CB101" s="627"/>
      <c r="CC101" s="627"/>
      <c r="CD101" s="627"/>
      <c r="CE101" s="282"/>
      <c r="CF101" s="282"/>
      <c r="CG101" s="282"/>
      <c r="CH101" s="282"/>
      <c r="CI101" s="282"/>
      <c r="CJ101" s="282"/>
    </row>
    <row r="102" spans="3:88" s="573" customFormat="1" ht="13.5" customHeight="1" x14ac:dyDescent="0.2">
      <c r="C102" s="302">
        <v>3</v>
      </c>
      <c r="D102" s="302"/>
      <c r="U102" s="540"/>
      <c r="AC102" s="574"/>
      <c r="AQ102" s="540"/>
      <c r="AR102" s="540"/>
      <c r="AS102" s="282"/>
      <c r="AT102" s="282"/>
      <c r="AU102" s="282"/>
      <c r="AV102" s="282"/>
      <c r="AW102" s="621"/>
      <c r="AX102" s="282"/>
      <c r="BF102" s="626"/>
      <c r="BG102" s="626"/>
      <c r="BH102" s="626"/>
      <c r="BI102" s="626"/>
      <c r="BJ102" s="626"/>
      <c r="BK102" s="626"/>
      <c r="BL102" s="626"/>
      <c r="BM102" s="626"/>
      <c r="BN102" s="626"/>
      <c r="BO102" s="626"/>
      <c r="BP102" s="626"/>
      <c r="BQ102" s="626"/>
      <c r="BR102" s="626"/>
      <c r="BS102" s="626"/>
      <c r="BT102" s="626"/>
      <c r="BU102" s="626"/>
      <c r="BV102" s="626"/>
      <c r="BW102" s="626"/>
      <c r="BX102" s="626"/>
      <c r="BY102" s="626"/>
      <c r="BZ102" s="626"/>
      <c r="CA102" s="626"/>
      <c r="CB102" s="627"/>
      <c r="CC102" s="627"/>
      <c r="CD102" s="627"/>
      <c r="CE102" s="282"/>
      <c r="CF102" s="282"/>
      <c r="CG102" s="282"/>
      <c r="CH102" s="282"/>
      <c r="CI102" s="282"/>
      <c r="CJ102" s="282"/>
    </row>
    <row r="103" spans="3:88" s="573" customFormat="1" ht="13.5" customHeight="1" x14ac:dyDescent="0.2">
      <c r="C103" s="302">
        <v>4</v>
      </c>
      <c r="D103" s="302"/>
      <c r="U103" s="540"/>
      <c r="AC103" s="574"/>
      <c r="AQ103" s="540"/>
      <c r="AR103" s="540"/>
      <c r="AS103" s="282"/>
      <c r="AT103" s="282"/>
      <c r="AU103" s="282"/>
      <c r="AV103" s="282"/>
      <c r="AW103" s="621"/>
      <c r="AX103" s="282"/>
      <c r="BF103" s="626"/>
      <c r="BG103" s="626"/>
      <c r="BH103" s="626"/>
      <c r="BI103" s="626"/>
      <c r="BJ103" s="626"/>
      <c r="BK103" s="626"/>
      <c r="BL103" s="626"/>
      <c r="BM103" s="626"/>
      <c r="BN103" s="626"/>
      <c r="BO103" s="626"/>
      <c r="BP103" s="626"/>
      <c r="BQ103" s="626"/>
      <c r="BR103" s="626"/>
      <c r="BS103" s="626"/>
      <c r="BT103" s="626"/>
      <c r="BU103" s="626"/>
      <c r="BV103" s="626"/>
      <c r="BW103" s="626"/>
      <c r="BX103" s="626"/>
      <c r="BY103" s="626"/>
      <c r="BZ103" s="626"/>
      <c r="CA103" s="626"/>
      <c r="CB103" s="627"/>
      <c r="CC103" s="627"/>
      <c r="CD103" s="627"/>
      <c r="CE103" s="282"/>
      <c r="CF103" s="282"/>
      <c r="CG103" s="282"/>
      <c r="CH103" s="282"/>
      <c r="CI103" s="282"/>
      <c r="CJ103" s="282"/>
    </row>
    <row r="104" spans="3:88" s="573" customFormat="1" ht="13.5" customHeight="1" x14ac:dyDescent="0.2">
      <c r="C104" s="302">
        <v>5</v>
      </c>
      <c r="D104" s="302"/>
      <c r="U104" s="540"/>
      <c r="AC104" s="574"/>
      <c r="AQ104" s="540"/>
      <c r="AR104" s="540"/>
      <c r="AS104" s="282"/>
      <c r="AT104" s="282"/>
      <c r="AU104" s="282"/>
      <c r="AV104" s="282"/>
      <c r="AW104" s="621"/>
      <c r="AX104" s="282"/>
      <c r="BF104" s="626"/>
      <c r="BG104" s="626"/>
      <c r="BH104" s="626"/>
      <c r="BI104" s="626"/>
      <c r="BJ104" s="626"/>
      <c r="BK104" s="626"/>
      <c r="BL104" s="626"/>
      <c r="BM104" s="626"/>
      <c r="BN104" s="626"/>
      <c r="BO104" s="626"/>
      <c r="BP104" s="626"/>
      <c r="BQ104" s="626"/>
      <c r="BR104" s="626"/>
      <c r="BS104" s="626"/>
      <c r="BT104" s="626"/>
      <c r="BU104" s="626"/>
      <c r="BV104" s="626"/>
      <c r="BW104" s="626"/>
      <c r="BX104" s="626"/>
      <c r="BY104" s="626"/>
      <c r="BZ104" s="626"/>
      <c r="CA104" s="626"/>
      <c r="CB104" s="627"/>
      <c r="CC104" s="627"/>
      <c r="CD104" s="627"/>
      <c r="CE104" s="282"/>
      <c r="CF104" s="282"/>
      <c r="CG104" s="282"/>
      <c r="CH104" s="282"/>
      <c r="CI104" s="282"/>
      <c r="CJ104" s="282"/>
    </row>
    <row r="105" spans="3:88" s="573" customFormat="1" ht="13.5" customHeight="1" x14ac:dyDescent="0.2">
      <c r="C105" s="302">
        <v>6</v>
      </c>
      <c r="D105" s="302"/>
      <c r="U105" s="540"/>
      <c r="AC105" s="574"/>
      <c r="AQ105" s="540"/>
      <c r="AR105" s="540"/>
      <c r="AS105" s="282"/>
      <c r="AT105" s="282"/>
      <c r="AU105" s="282"/>
      <c r="AV105" s="282"/>
      <c r="AW105" s="621"/>
      <c r="AX105" s="282"/>
      <c r="BF105" s="626"/>
      <c r="BG105" s="626"/>
      <c r="BH105" s="626"/>
      <c r="BI105" s="626"/>
      <c r="BJ105" s="626"/>
      <c r="BK105" s="626"/>
      <c r="BL105" s="626"/>
      <c r="BM105" s="626"/>
      <c r="BN105" s="626"/>
      <c r="BO105" s="626"/>
      <c r="BP105" s="626"/>
      <c r="BQ105" s="626"/>
      <c r="BR105" s="626"/>
      <c r="BS105" s="626"/>
      <c r="BT105" s="626"/>
      <c r="BU105" s="626"/>
      <c r="BV105" s="626"/>
      <c r="BW105" s="626"/>
      <c r="BX105" s="626"/>
      <c r="BY105" s="626"/>
      <c r="BZ105" s="626"/>
      <c r="CA105" s="626"/>
      <c r="CB105" s="627"/>
      <c r="CC105" s="627"/>
      <c r="CD105" s="627"/>
      <c r="CE105" s="282"/>
      <c r="CF105" s="282"/>
      <c r="CG105" s="282"/>
      <c r="CH105" s="282"/>
      <c r="CI105" s="282"/>
      <c r="CJ105" s="282"/>
    </row>
    <row r="106" spans="3:88" s="573" customFormat="1" ht="13.5" customHeight="1" x14ac:dyDescent="0.2">
      <c r="C106" s="302">
        <v>7</v>
      </c>
      <c r="D106" s="302"/>
      <c r="U106" s="540"/>
      <c r="AC106" s="574"/>
      <c r="AQ106" s="540"/>
      <c r="AR106" s="540"/>
      <c r="AS106" s="282"/>
      <c r="AT106" s="282"/>
      <c r="AU106" s="282"/>
      <c r="AV106" s="282"/>
      <c r="AW106" s="621"/>
      <c r="AX106" s="282"/>
      <c r="BF106" s="626"/>
      <c r="BG106" s="626"/>
      <c r="BH106" s="626"/>
      <c r="BI106" s="626"/>
      <c r="BJ106" s="626"/>
      <c r="BK106" s="626"/>
      <c r="BL106" s="626"/>
      <c r="BM106" s="626"/>
      <c r="BN106" s="626"/>
      <c r="BO106" s="626"/>
      <c r="BP106" s="626"/>
      <c r="BQ106" s="626"/>
      <c r="BR106" s="626"/>
      <c r="BS106" s="626"/>
      <c r="BT106" s="626"/>
      <c r="BU106" s="626"/>
      <c r="BV106" s="626"/>
      <c r="BW106" s="626"/>
      <c r="BX106" s="626"/>
      <c r="BY106" s="626"/>
      <c r="BZ106" s="626"/>
      <c r="CA106" s="626"/>
      <c r="CB106" s="627"/>
      <c r="CC106" s="627"/>
      <c r="CD106" s="627"/>
      <c r="CE106" s="282"/>
      <c r="CF106" s="282"/>
      <c r="CG106" s="282"/>
      <c r="CH106" s="282"/>
      <c r="CI106" s="282"/>
      <c r="CJ106" s="282"/>
    </row>
    <row r="107" spans="3:88" s="573" customFormat="1" ht="13.5" customHeight="1" x14ac:dyDescent="0.2">
      <c r="C107" s="302">
        <v>8</v>
      </c>
      <c r="D107" s="302"/>
      <c r="U107" s="540"/>
      <c r="AC107" s="574"/>
      <c r="AQ107" s="540"/>
      <c r="AR107" s="540"/>
      <c r="AS107" s="282"/>
      <c r="AT107" s="282"/>
      <c r="AU107" s="282"/>
      <c r="AV107" s="282"/>
      <c r="AW107" s="621"/>
      <c r="AX107" s="282"/>
      <c r="BF107" s="626"/>
      <c r="BG107" s="626"/>
      <c r="BH107" s="626"/>
      <c r="BI107" s="626"/>
      <c r="BJ107" s="626"/>
      <c r="BK107" s="626"/>
      <c r="BL107" s="626"/>
      <c r="BM107" s="626"/>
      <c r="BN107" s="626"/>
      <c r="BO107" s="626"/>
      <c r="BP107" s="626"/>
      <c r="BQ107" s="626"/>
      <c r="BR107" s="626"/>
      <c r="BS107" s="626"/>
      <c r="BT107" s="626"/>
      <c r="BU107" s="626"/>
      <c r="BV107" s="626"/>
      <c r="BW107" s="626"/>
      <c r="BX107" s="626"/>
      <c r="BY107" s="626"/>
      <c r="BZ107" s="626"/>
      <c r="CA107" s="626"/>
      <c r="CB107" s="627"/>
      <c r="CC107" s="627"/>
      <c r="CD107" s="627"/>
      <c r="CE107" s="282"/>
      <c r="CF107" s="282"/>
      <c r="CG107" s="282"/>
      <c r="CH107" s="282"/>
      <c r="CI107" s="282"/>
      <c r="CJ107" s="282"/>
    </row>
    <row r="108" spans="3:88" s="573" customFormat="1" ht="13.5" customHeight="1" x14ac:dyDescent="0.2">
      <c r="C108" s="302">
        <v>9</v>
      </c>
      <c r="D108" s="302"/>
      <c r="U108" s="540"/>
      <c r="AC108" s="574"/>
      <c r="AQ108" s="540"/>
      <c r="AR108" s="540"/>
      <c r="AS108" s="282"/>
      <c r="AT108" s="282"/>
      <c r="AU108" s="282"/>
      <c r="AV108" s="282"/>
      <c r="AW108" s="621"/>
      <c r="AX108" s="282"/>
      <c r="BF108" s="626"/>
      <c r="BG108" s="626"/>
      <c r="BH108" s="626"/>
      <c r="BI108" s="626"/>
      <c r="BJ108" s="626"/>
      <c r="BK108" s="626"/>
      <c r="BL108" s="626"/>
      <c r="BM108" s="626"/>
      <c r="BN108" s="626"/>
      <c r="BO108" s="626"/>
      <c r="BP108" s="626"/>
      <c r="BQ108" s="626"/>
      <c r="BR108" s="626"/>
      <c r="BS108" s="626"/>
      <c r="BT108" s="626"/>
      <c r="BU108" s="626"/>
      <c r="BV108" s="626"/>
      <c r="BW108" s="626"/>
      <c r="BX108" s="626"/>
      <c r="BY108" s="626"/>
      <c r="BZ108" s="626"/>
      <c r="CA108" s="626"/>
      <c r="CB108" s="627"/>
      <c r="CC108" s="627"/>
      <c r="CD108" s="627"/>
      <c r="CE108" s="282"/>
      <c r="CF108" s="282"/>
      <c r="CG108" s="282"/>
      <c r="CH108" s="282"/>
      <c r="CI108" s="282"/>
      <c r="CJ108" s="282"/>
    </row>
    <row r="109" spans="3:88" s="573" customFormat="1" ht="13.5" customHeight="1" x14ac:dyDescent="0.2">
      <c r="C109" s="302">
        <v>10</v>
      </c>
      <c r="D109" s="302"/>
      <c r="U109" s="540"/>
      <c r="AC109" s="574"/>
      <c r="AQ109" s="540"/>
      <c r="AR109" s="540"/>
      <c r="AS109" s="282"/>
      <c r="AT109" s="282"/>
      <c r="AU109" s="282"/>
      <c r="AV109" s="282"/>
      <c r="AW109" s="621"/>
      <c r="AX109" s="282"/>
      <c r="BF109" s="626"/>
      <c r="BG109" s="626"/>
      <c r="BH109" s="626"/>
      <c r="BI109" s="626"/>
      <c r="BJ109" s="626"/>
      <c r="BK109" s="626"/>
      <c r="BL109" s="626"/>
      <c r="BM109" s="626"/>
      <c r="BN109" s="626"/>
      <c r="BO109" s="626"/>
      <c r="BP109" s="626"/>
      <c r="BQ109" s="626"/>
      <c r="BR109" s="626"/>
      <c r="BS109" s="626"/>
      <c r="BT109" s="626"/>
      <c r="BU109" s="626"/>
      <c r="BV109" s="626"/>
      <c r="BW109" s="626"/>
      <c r="BX109" s="626"/>
      <c r="BY109" s="626"/>
      <c r="BZ109" s="626"/>
      <c r="CA109" s="626"/>
      <c r="CB109" s="627"/>
      <c r="CC109" s="627"/>
      <c r="CD109" s="627"/>
      <c r="CE109" s="282"/>
      <c r="CF109" s="282"/>
      <c r="CG109" s="282"/>
      <c r="CH109" s="282"/>
      <c r="CI109" s="282"/>
      <c r="CJ109" s="282"/>
    </row>
    <row r="110" spans="3:88" s="573" customFormat="1" ht="13.5" customHeight="1" x14ac:dyDescent="0.2">
      <c r="C110" s="302">
        <v>11</v>
      </c>
      <c r="D110" s="302"/>
      <c r="U110" s="540"/>
      <c r="AC110" s="574"/>
      <c r="AQ110" s="540"/>
      <c r="AR110" s="540"/>
      <c r="AS110" s="282"/>
      <c r="AT110" s="282"/>
      <c r="AU110" s="282"/>
      <c r="AV110" s="282"/>
      <c r="AW110" s="621"/>
      <c r="AX110" s="282"/>
      <c r="BF110" s="626"/>
      <c r="BG110" s="626"/>
      <c r="BH110" s="626"/>
      <c r="BI110" s="626"/>
      <c r="BJ110" s="626"/>
      <c r="BK110" s="626"/>
      <c r="BL110" s="626"/>
      <c r="BM110" s="626"/>
      <c r="BN110" s="626"/>
      <c r="BO110" s="626"/>
      <c r="BP110" s="626"/>
      <c r="BQ110" s="626"/>
      <c r="BR110" s="626"/>
      <c r="BS110" s="626"/>
      <c r="BT110" s="626"/>
      <c r="BU110" s="626"/>
      <c r="BV110" s="626"/>
      <c r="BW110" s="626"/>
      <c r="BX110" s="626"/>
      <c r="BY110" s="626"/>
      <c r="BZ110" s="626"/>
      <c r="CA110" s="626"/>
      <c r="CB110" s="627"/>
      <c r="CC110" s="627"/>
      <c r="CD110" s="627"/>
      <c r="CE110" s="282"/>
      <c r="CF110" s="282"/>
      <c r="CG110" s="282"/>
      <c r="CH110" s="282"/>
      <c r="CI110" s="282"/>
      <c r="CJ110" s="282"/>
    </row>
    <row r="111" spans="3:88" s="573" customFormat="1" ht="13.5" customHeight="1" x14ac:dyDescent="0.2">
      <c r="C111" s="302">
        <v>12</v>
      </c>
      <c r="D111" s="302"/>
      <c r="U111" s="540"/>
      <c r="AC111" s="574"/>
      <c r="AQ111" s="540"/>
      <c r="AR111" s="540"/>
      <c r="AS111" s="282"/>
      <c r="AT111" s="282"/>
      <c r="AU111" s="282"/>
      <c r="AV111" s="282"/>
      <c r="AW111" s="621"/>
      <c r="AX111" s="282"/>
      <c r="BF111" s="626"/>
      <c r="BG111" s="626"/>
      <c r="BH111" s="626"/>
      <c r="BI111" s="626"/>
      <c r="BJ111" s="626"/>
      <c r="BK111" s="626"/>
      <c r="BL111" s="626"/>
      <c r="BM111" s="626"/>
      <c r="BN111" s="626"/>
      <c r="BO111" s="626"/>
      <c r="BP111" s="626"/>
      <c r="BQ111" s="626"/>
      <c r="BR111" s="626"/>
      <c r="BS111" s="626"/>
      <c r="BT111" s="626"/>
      <c r="BU111" s="626"/>
      <c r="BV111" s="626"/>
      <c r="BW111" s="626"/>
      <c r="BX111" s="626"/>
      <c r="BY111" s="626"/>
      <c r="BZ111" s="626"/>
      <c r="CA111" s="626"/>
      <c r="CB111" s="627"/>
      <c r="CC111" s="627"/>
      <c r="CD111" s="627"/>
      <c r="CE111" s="282"/>
      <c r="CF111" s="282"/>
      <c r="CG111" s="282"/>
      <c r="CH111" s="282"/>
      <c r="CI111" s="282"/>
      <c r="CJ111" s="282"/>
    </row>
    <row r="112" spans="3:88" s="573" customFormat="1" ht="13.5" customHeight="1" x14ac:dyDescent="0.2">
      <c r="C112" s="302">
        <v>13</v>
      </c>
      <c r="D112" s="302"/>
      <c r="U112" s="540"/>
      <c r="AC112" s="574"/>
      <c r="AQ112" s="540"/>
      <c r="AR112" s="540"/>
      <c r="AS112" s="282"/>
      <c r="AT112" s="282"/>
      <c r="AU112" s="282"/>
      <c r="AV112" s="282"/>
      <c r="AW112" s="621"/>
      <c r="AX112" s="282"/>
      <c r="BF112" s="626"/>
      <c r="BG112" s="626"/>
      <c r="BH112" s="626"/>
      <c r="BI112" s="626"/>
      <c r="BJ112" s="626"/>
      <c r="BK112" s="626"/>
      <c r="BL112" s="626"/>
      <c r="BM112" s="626"/>
      <c r="BN112" s="626"/>
      <c r="BO112" s="626"/>
      <c r="BP112" s="626"/>
      <c r="BQ112" s="626"/>
      <c r="BR112" s="626"/>
      <c r="BS112" s="626"/>
      <c r="BT112" s="626"/>
      <c r="BU112" s="626"/>
      <c r="BV112" s="626"/>
      <c r="BW112" s="626"/>
      <c r="BX112" s="626"/>
      <c r="BY112" s="626"/>
      <c r="BZ112" s="626"/>
      <c r="CA112" s="626"/>
      <c r="CB112" s="627"/>
      <c r="CC112" s="627"/>
      <c r="CD112" s="627"/>
      <c r="CE112" s="282"/>
      <c r="CF112" s="282"/>
      <c r="CG112" s="282"/>
      <c r="CH112" s="282"/>
      <c r="CI112" s="282"/>
      <c r="CJ112" s="282"/>
    </row>
    <row r="113" spans="3:88" s="573" customFormat="1" ht="13.5" customHeight="1" x14ac:dyDescent="0.2">
      <c r="C113" s="302">
        <v>14</v>
      </c>
      <c r="D113" s="302"/>
      <c r="U113" s="540"/>
      <c r="AC113" s="574"/>
      <c r="AQ113" s="540"/>
      <c r="AR113" s="540"/>
      <c r="AS113" s="282"/>
      <c r="AT113" s="282"/>
      <c r="AU113" s="282"/>
      <c r="AV113" s="282"/>
      <c r="AW113" s="621"/>
      <c r="AX113" s="282"/>
      <c r="BF113" s="626"/>
      <c r="BG113" s="626"/>
      <c r="BH113" s="626"/>
      <c r="BI113" s="626"/>
      <c r="BJ113" s="626"/>
      <c r="BK113" s="626"/>
      <c r="BL113" s="626"/>
      <c r="BM113" s="626"/>
      <c r="BN113" s="626"/>
      <c r="BO113" s="626"/>
      <c r="BP113" s="626"/>
      <c r="BQ113" s="626"/>
      <c r="BR113" s="626"/>
      <c r="BS113" s="626"/>
      <c r="BT113" s="626"/>
      <c r="BU113" s="626"/>
      <c r="BV113" s="626"/>
      <c r="BW113" s="626"/>
      <c r="BX113" s="626"/>
      <c r="BY113" s="626"/>
      <c r="BZ113" s="626"/>
      <c r="CA113" s="626"/>
      <c r="CB113" s="627"/>
      <c r="CC113" s="627"/>
      <c r="CD113" s="627"/>
      <c r="CE113" s="282"/>
      <c r="CF113" s="282"/>
      <c r="CG113" s="282"/>
      <c r="CH113" s="282"/>
      <c r="CI113" s="282"/>
      <c r="CJ113" s="282"/>
    </row>
    <row r="114" spans="3:88" s="573" customFormat="1" ht="13.5" customHeight="1" x14ac:dyDescent="0.2">
      <c r="C114" s="302" t="s">
        <v>19</v>
      </c>
      <c r="D114" s="302"/>
      <c r="U114" s="540"/>
      <c r="AC114" s="574"/>
      <c r="AQ114" s="540"/>
      <c r="AR114" s="540"/>
      <c r="AS114" s="282"/>
      <c r="AT114" s="282"/>
      <c r="AU114" s="282"/>
      <c r="AV114" s="282"/>
      <c r="AW114" s="621"/>
      <c r="AX114" s="282"/>
      <c r="BF114" s="626"/>
      <c r="BG114" s="626"/>
      <c r="BH114" s="626"/>
      <c r="BI114" s="626"/>
      <c r="BJ114" s="626"/>
      <c r="BK114" s="626"/>
      <c r="BL114" s="626"/>
      <c r="BM114" s="626"/>
      <c r="BN114" s="626"/>
      <c r="BO114" s="626"/>
      <c r="BP114" s="626"/>
      <c r="BQ114" s="626"/>
      <c r="BR114" s="626"/>
      <c r="BS114" s="626"/>
      <c r="BT114" s="626"/>
      <c r="BU114" s="626"/>
      <c r="BV114" s="626"/>
      <c r="BW114" s="626"/>
      <c r="BX114" s="626"/>
      <c r="BY114" s="626"/>
      <c r="BZ114" s="626"/>
      <c r="CA114" s="626"/>
      <c r="CB114" s="627"/>
      <c r="CC114" s="627"/>
      <c r="CD114" s="627"/>
      <c r="CE114" s="282"/>
      <c r="CF114" s="282"/>
      <c r="CG114" s="282"/>
      <c r="CH114" s="282"/>
      <c r="CI114" s="282"/>
      <c r="CJ114" s="282"/>
    </row>
    <row r="115" spans="3:88" s="573" customFormat="1" ht="13.5" customHeight="1" x14ac:dyDescent="0.2">
      <c r="C115" s="302" t="s">
        <v>20</v>
      </c>
      <c r="D115" s="302"/>
      <c r="U115" s="540"/>
      <c r="AC115" s="574"/>
      <c r="AQ115" s="540"/>
      <c r="AR115" s="540"/>
      <c r="AS115" s="282"/>
      <c r="AT115" s="282"/>
      <c r="AU115" s="282"/>
      <c r="AV115" s="282"/>
      <c r="AW115" s="621"/>
      <c r="AX115" s="282"/>
      <c r="BF115" s="626"/>
      <c r="BG115" s="626"/>
      <c r="BH115" s="626"/>
      <c r="BI115" s="626"/>
      <c r="BJ115" s="626"/>
      <c r="BK115" s="626"/>
      <c r="BL115" s="626"/>
      <c r="BM115" s="626"/>
      <c r="BN115" s="626"/>
      <c r="BO115" s="626"/>
      <c r="BP115" s="626"/>
      <c r="BQ115" s="626"/>
      <c r="BR115" s="626"/>
      <c r="BS115" s="626"/>
      <c r="BT115" s="626"/>
      <c r="BU115" s="626"/>
      <c r="BV115" s="626"/>
      <c r="BW115" s="626"/>
      <c r="BX115" s="626"/>
      <c r="BY115" s="626"/>
      <c r="BZ115" s="626"/>
      <c r="CA115" s="626"/>
      <c r="CB115" s="627"/>
      <c r="CC115" s="627"/>
      <c r="CD115" s="627"/>
      <c r="CE115" s="282"/>
      <c r="CF115" s="282"/>
      <c r="CG115" s="282"/>
      <c r="CH115" s="282"/>
      <c r="CI115" s="282"/>
      <c r="CJ115" s="282"/>
    </row>
    <row r="116" spans="3:88" s="573" customFormat="1" ht="13.5" customHeight="1" x14ac:dyDescent="0.2">
      <c r="C116" s="302" t="s">
        <v>93</v>
      </c>
      <c r="D116" s="302"/>
      <c r="U116" s="540"/>
      <c r="AC116" s="574"/>
      <c r="AQ116" s="540"/>
      <c r="AR116" s="540"/>
      <c r="AS116" s="282"/>
      <c r="AT116" s="282"/>
      <c r="AU116" s="282"/>
      <c r="AV116" s="282"/>
      <c r="AW116" s="621"/>
      <c r="AX116" s="282"/>
      <c r="BF116" s="626"/>
      <c r="BG116" s="626"/>
      <c r="BH116" s="626"/>
      <c r="BI116" s="626"/>
      <c r="BJ116" s="626"/>
      <c r="BK116" s="626"/>
      <c r="BL116" s="626"/>
      <c r="BM116" s="626"/>
      <c r="BN116" s="626"/>
      <c r="BO116" s="626"/>
      <c r="BP116" s="626"/>
      <c r="BQ116" s="626"/>
      <c r="BR116" s="626"/>
      <c r="BS116" s="626"/>
      <c r="BT116" s="626"/>
      <c r="BU116" s="626"/>
      <c r="BV116" s="626"/>
      <c r="BW116" s="626"/>
      <c r="BX116" s="626"/>
      <c r="BY116" s="626"/>
      <c r="BZ116" s="626"/>
      <c r="CA116" s="626"/>
      <c r="CB116" s="627"/>
      <c r="CC116" s="627"/>
      <c r="CD116" s="627"/>
      <c r="CE116" s="282"/>
      <c r="CF116" s="282"/>
      <c r="CG116" s="282"/>
      <c r="CH116" s="282"/>
      <c r="CI116" s="282"/>
      <c r="CJ116" s="282"/>
    </row>
    <row r="117" spans="3:88" s="573" customFormat="1" ht="13.5" customHeight="1" x14ac:dyDescent="0.2">
      <c r="C117" s="302" t="s">
        <v>94</v>
      </c>
      <c r="D117" s="302"/>
      <c r="U117" s="540"/>
      <c r="AC117" s="574"/>
      <c r="AQ117" s="540"/>
      <c r="AR117" s="540"/>
      <c r="AS117" s="282"/>
      <c r="AT117" s="282"/>
      <c r="AU117" s="282"/>
      <c r="AV117" s="282"/>
      <c r="AW117" s="621"/>
      <c r="AX117" s="282"/>
      <c r="BF117" s="626"/>
      <c r="BG117" s="626"/>
      <c r="BH117" s="626"/>
      <c r="BI117" s="626"/>
      <c r="BJ117" s="626"/>
      <c r="BK117" s="626"/>
      <c r="BL117" s="626"/>
      <c r="BM117" s="626"/>
      <c r="BN117" s="626"/>
      <c r="BO117" s="626"/>
      <c r="BP117" s="626"/>
      <c r="BQ117" s="626"/>
      <c r="BR117" s="626"/>
      <c r="BS117" s="626"/>
      <c r="BT117" s="626"/>
      <c r="BU117" s="626"/>
      <c r="BV117" s="626"/>
      <c r="BW117" s="626"/>
      <c r="BX117" s="626"/>
      <c r="BY117" s="626"/>
      <c r="BZ117" s="626"/>
      <c r="CA117" s="626"/>
      <c r="CB117" s="627"/>
      <c r="CC117" s="627"/>
      <c r="CD117" s="627"/>
      <c r="CE117" s="282"/>
      <c r="CF117" s="282"/>
      <c r="CG117" s="282"/>
      <c r="CH117" s="282"/>
      <c r="CI117" s="282"/>
      <c r="CJ117" s="282"/>
    </row>
    <row r="118" spans="3:88" s="573" customFormat="1" ht="13.5" customHeight="1" x14ac:dyDescent="0.2">
      <c r="C118" s="302" t="s">
        <v>95</v>
      </c>
      <c r="D118" s="302"/>
      <c r="U118" s="540"/>
      <c r="AC118" s="574"/>
      <c r="AQ118" s="540"/>
      <c r="AR118" s="540"/>
      <c r="AS118" s="282"/>
      <c r="AT118" s="282"/>
      <c r="AU118" s="282"/>
      <c r="AV118" s="282"/>
      <c r="AW118" s="621"/>
      <c r="AX118" s="282"/>
      <c r="BF118" s="626"/>
      <c r="BG118" s="626"/>
      <c r="BH118" s="626"/>
      <c r="BI118" s="626"/>
      <c r="BJ118" s="626"/>
      <c r="BK118" s="626"/>
      <c r="BL118" s="626"/>
      <c r="BM118" s="626"/>
      <c r="BN118" s="626"/>
      <c r="BO118" s="626"/>
      <c r="BP118" s="626"/>
      <c r="BQ118" s="626"/>
      <c r="BR118" s="626"/>
      <c r="BS118" s="626"/>
      <c r="BT118" s="626"/>
      <c r="BU118" s="626"/>
      <c r="BV118" s="626"/>
      <c r="BW118" s="626"/>
      <c r="BX118" s="626"/>
      <c r="BY118" s="626"/>
      <c r="BZ118" s="626"/>
      <c r="CA118" s="626"/>
      <c r="CB118" s="627"/>
      <c r="CC118" s="627"/>
      <c r="CD118" s="627"/>
      <c r="CE118" s="282"/>
      <c r="CF118" s="282"/>
      <c r="CG118" s="282"/>
      <c r="CH118" s="282"/>
      <c r="CI118" s="282"/>
      <c r="CJ118" s="282"/>
    </row>
  </sheetData>
  <sheetProtection password="DFB1" sheet="1" objects="1" scenarios="1"/>
  <mergeCells count="3">
    <mergeCell ref="AY9:AZ9"/>
    <mergeCell ref="K9:L9"/>
    <mergeCell ref="F9:G9"/>
  </mergeCells>
  <phoneticPr fontId="0" type="noConversion"/>
  <dataValidations count="5">
    <dataValidation type="list" allowBlank="1" showInputMessage="1" showErrorMessage="1" sqref="BK13:BK67">
      <formula1>"LA,LB,LC,LD"</formula1>
    </dataValidation>
    <dataValidation type="list" allowBlank="1" showInputMessage="1" showErrorMessage="1" sqref="L13:M67 I13:J67">
      <formula1>"j,n"</formula1>
    </dataValidation>
    <dataValidation type="list" allowBlank="1" showInputMessage="1" showErrorMessage="1" sqref="K13:K67">
      <formula1>"leraar,directie,OOP S9"</formula1>
    </dataValidation>
    <dataValidation type="list" allowBlank="1" showInputMessage="1" showErrorMessage="1" sqref="F13:F67">
      <formula1>$C$75:$C$118</formula1>
    </dataValidation>
    <dataValidation type="list" allowBlank="1" showInputMessage="1" showErrorMessage="1" sqref="N13:N67">
      <formula1>"1,2,3,4"</formula1>
    </dataValidation>
  </dataValidations>
  <pageMargins left="0.70866141732283472" right="0.70866141732283472" top="0.74803149606299213" bottom="0.74803149606299213" header="0.31496062992125984" footer="0.31496062992125984"/>
  <pageSetup paperSize="9" scale="50" orientation="landscape" r:id="rId1"/>
  <colBreaks count="2" manualBreakCount="2">
    <brk id="27" min="1" max="72" man="1"/>
    <brk id="56" min="1" max="65"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34"/>
  <sheetViews>
    <sheetView zoomScale="85" zoomScaleNormal="85" workbookViewId="0"/>
  </sheetViews>
  <sheetFormatPr defaultColWidth="9.140625" defaultRowHeight="12.75" x14ac:dyDescent="0.2"/>
  <cols>
    <col min="1" max="1" width="30.85546875" style="472" customWidth="1"/>
    <col min="2" max="22" width="10.7109375" style="472" customWidth="1"/>
    <col min="23" max="16384" width="9.140625" style="472"/>
  </cols>
  <sheetData>
    <row r="1" spans="1:22" x14ac:dyDescent="0.2">
      <c r="A1" s="472" t="s">
        <v>280</v>
      </c>
      <c r="B1" s="473">
        <v>2013</v>
      </c>
      <c r="C1" s="586" t="s">
        <v>457</v>
      </c>
    </row>
    <row r="2" spans="1:22" x14ac:dyDescent="0.2">
      <c r="A2" s="472" t="s">
        <v>281</v>
      </c>
      <c r="B2" s="673" t="s">
        <v>459</v>
      </c>
    </row>
    <row r="4" spans="1:22" x14ac:dyDescent="0.2">
      <c r="A4" s="474" t="s">
        <v>1</v>
      </c>
      <c r="B4" s="475">
        <v>41275</v>
      </c>
      <c r="C4" s="476"/>
      <c r="D4" s="476"/>
      <c r="E4" s="477"/>
      <c r="F4" s="476"/>
      <c r="J4" s="476"/>
      <c r="K4" s="476"/>
      <c r="L4" s="476"/>
      <c r="M4" s="476"/>
      <c r="N4" s="476"/>
      <c r="O4" s="478"/>
      <c r="P4" s="478"/>
      <c r="Q4" s="478"/>
      <c r="R4" s="478"/>
      <c r="S4" s="478"/>
      <c r="T4" s="478"/>
      <c r="U4" s="478"/>
    </row>
    <row r="5" spans="1:22" x14ac:dyDescent="0.2">
      <c r="A5" s="476" t="s">
        <v>2</v>
      </c>
      <c r="B5" s="479">
        <v>1</v>
      </c>
      <c r="C5" s="479">
        <v>2</v>
      </c>
      <c r="D5" s="479">
        <v>3</v>
      </c>
      <c r="E5" s="479">
        <v>4</v>
      </c>
      <c r="F5" s="479">
        <v>5</v>
      </c>
      <c r="G5" s="479">
        <v>6</v>
      </c>
      <c r="H5" s="479">
        <v>7</v>
      </c>
      <c r="I5" s="479">
        <v>8</v>
      </c>
      <c r="J5" s="479">
        <v>9</v>
      </c>
      <c r="K5" s="479">
        <v>10</v>
      </c>
      <c r="L5" s="479">
        <v>11</v>
      </c>
      <c r="M5" s="479">
        <v>12</v>
      </c>
      <c r="N5" s="479">
        <v>13</v>
      </c>
      <c r="O5" s="479">
        <v>14</v>
      </c>
      <c r="P5" s="479">
        <v>15</v>
      </c>
      <c r="Q5" s="479">
        <v>16</v>
      </c>
      <c r="R5" s="479">
        <v>17</v>
      </c>
      <c r="S5" s="479">
        <v>18</v>
      </c>
      <c r="T5" s="479">
        <v>19</v>
      </c>
      <c r="U5" s="479">
        <v>20</v>
      </c>
      <c r="V5" s="479" t="s">
        <v>27</v>
      </c>
    </row>
    <row r="6" spans="1:22" x14ac:dyDescent="0.2">
      <c r="A6" s="476" t="s">
        <v>92</v>
      </c>
      <c r="B6" s="480">
        <v>2605</v>
      </c>
      <c r="C6" s="480">
        <v>2707</v>
      </c>
      <c r="D6" s="480">
        <v>2811</v>
      </c>
      <c r="E6" s="480">
        <v>2912</v>
      </c>
      <c r="F6" s="480">
        <v>3014</v>
      </c>
      <c r="G6" s="480">
        <v>3118</v>
      </c>
      <c r="H6" s="480">
        <v>3220</v>
      </c>
      <c r="I6" s="480">
        <v>3323</v>
      </c>
      <c r="J6" s="480">
        <v>3424</v>
      </c>
      <c r="K6" s="480">
        <v>3527</v>
      </c>
      <c r="L6" s="480">
        <v>3631</v>
      </c>
      <c r="M6" s="480"/>
      <c r="N6" s="480"/>
      <c r="O6" s="480"/>
      <c r="P6" s="480"/>
      <c r="Q6" s="480"/>
      <c r="R6" s="480"/>
      <c r="S6" s="480"/>
      <c r="T6" s="480"/>
      <c r="U6" s="480"/>
      <c r="V6" s="481">
        <f>COUNTA(B6:U6)</f>
        <v>11</v>
      </c>
    </row>
    <row r="7" spans="1:22" x14ac:dyDescent="0.2">
      <c r="A7" s="476" t="s">
        <v>85</v>
      </c>
      <c r="B7" s="480">
        <v>2605</v>
      </c>
      <c r="C7" s="480">
        <v>2707</v>
      </c>
      <c r="D7" s="480">
        <v>2811</v>
      </c>
      <c r="E7" s="480">
        <v>2912</v>
      </c>
      <c r="F7" s="480">
        <v>3014</v>
      </c>
      <c r="G7" s="480">
        <v>3118</v>
      </c>
      <c r="H7" s="480">
        <v>3220</v>
      </c>
      <c r="I7" s="480">
        <v>3323</v>
      </c>
      <c r="J7" s="480">
        <v>3424</v>
      </c>
      <c r="K7" s="480">
        <v>3527</v>
      </c>
      <c r="L7" s="480">
        <v>3631</v>
      </c>
      <c r="M7" s="480">
        <v>3733</v>
      </c>
      <c r="N7" s="480">
        <v>3837</v>
      </c>
      <c r="O7" s="480"/>
      <c r="P7" s="480"/>
      <c r="Q7" s="480"/>
      <c r="R7" s="480"/>
      <c r="S7" s="480"/>
      <c r="T7" s="480"/>
      <c r="U7" s="480"/>
      <c r="V7" s="481">
        <f t="shared" ref="V7:V49" si="0">COUNTA(B7:U7)</f>
        <v>13</v>
      </c>
    </row>
    <row r="8" spans="1:22" x14ac:dyDescent="0.2">
      <c r="A8" s="476" t="s">
        <v>86</v>
      </c>
      <c r="B8" s="480">
        <v>2707</v>
      </c>
      <c r="C8" s="480">
        <v>2912</v>
      </c>
      <c r="D8" s="480">
        <v>3118</v>
      </c>
      <c r="E8" s="480">
        <v>3220</v>
      </c>
      <c r="F8" s="480">
        <v>3323</v>
      </c>
      <c r="G8" s="480">
        <v>3424</v>
      </c>
      <c r="H8" s="480">
        <v>3527</v>
      </c>
      <c r="I8" s="480">
        <v>3631</v>
      </c>
      <c r="J8" s="480">
        <v>3733</v>
      </c>
      <c r="K8" s="480">
        <v>3837</v>
      </c>
      <c r="L8" s="480">
        <v>3940</v>
      </c>
      <c r="M8" s="480">
        <v>4041</v>
      </c>
      <c r="N8" s="480">
        <v>4144</v>
      </c>
      <c r="O8" s="480">
        <v>4245</v>
      </c>
      <c r="P8" s="480">
        <v>4350</v>
      </c>
      <c r="Q8" s="480"/>
      <c r="R8" s="480"/>
      <c r="S8" s="480"/>
      <c r="T8" s="480"/>
      <c r="U8" s="480"/>
      <c r="V8" s="481">
        <f t="shared" si="0"/>
        <v>15</v>
      </c>
    </row>
    <row r="9" spans="1:22" x14ac:dyDescent="0.2">
      <c r="A9" s="476" t="s">
        <v>87</v>
      </c>
      <c r="B9" s="480">
        <v>2707</v>
      </c>
      <c r="C9" s="480">
        <v>2912</v>
      </c>
      <c r="D9" s="480">
        <v>3118</v>
      </c>
      <c r="E9" s="480">
        <v>3220</v>
      </c>
      <c r="F9" s="480">
        <v>3323</v>
      </c>
      <c r="G9" s="480">
        <v>3424</v>
      </c>
      <c r="H9" s="480">
        <v>3527</v>
      </c>
      <c r="I9" s="480">
        <v>3631</v>
      </c>
      <c r="J9" s="480">
        <v>3733</v>
      </c>
      <c r="K9" s="480">
        <v>3837</v>
      </c>
      <c r="L9" s="480">
        <v>3940</v>
      </c>
      <c r="M9" s="480">
        <v>4041</v>
      </c>
      <c r="N9" s="480">
        <v>4144</v>
      </c>
      <c r="O9" s="480">
        <v>4245</v>
      </c>
      <c r="P9" s="480">
        <v>4350</v>
      </c>
      <c r="Q9" s="480">
        <v>4452</v>
      </c>
      <c r="R9" s="480">
        <v>4555</v>
      </c>
      <c r="S9" s="480"/>
      <c r="T9" s="480"/>
      <c r="U9" s="480"/>
      <c r="V9" s="481">
        <f t="shared" si="0"/>
        <v>17</v>
      </c>
    </row>
    <row r="10" spans="1:22" x14ac:dyDescent="0.2">
      <c r="A10" s="476" t="s">
        <v>88</v>
      </c>
      <c r="B10" s="480">
        <v>2707</v>
      </c>
      <c r="C10" s="480">
        <v>2912</v>
      </c>
      <c r="D10" s="480">
        <v>3118</v>
      </c>
      <c r="E10" s="480">
        <v>3220</v>
      </c>
      <c r="F10" s="480">
        <v>3323</v>
      </c>
      <c r="G10" s="480">
        <v>3424</v>
      </c>
      <c r="H10" s="480">
        <v>3527</v>
      </c>
      <c r="I10" s="480">
        <v>3631</v>
      </c>
      <c r="J10" s="480">
        <v>3733</v>
      </c>
      <c r="K10" s="480">
        <v>3837</v>
      </c>
      <c r="L10" s="480"/>
      <c r="M10" s="480"/>
      <c r="N10" s="480"/>
      <c r="O10" s="480"/>
      <c r="P10" s="480"/>
      <c r="Q10" s="480"/>
      <c r="R10" s="480"/>
      <c r="S10" s="480"/>
      <c r="T10" s="480"/>
      <c r="U10" s="480"/>
      <c r="V10" s="481">
        <f t="shared" si="0"/>
        <v>10</v>
      </c>
    </row>
    <row r="11" spans="1:22" x14ac:dyDescent="0.2">
      <c r="A11" s="476" t="s">
        <v>89</v>
      </c>
      <c r="B11" s="480">
        <v>2707</v>
      </c>
      <c r="C11" s="480">
        <v>2912</v>
      </c>
      <c r="D11" s="480">
        <v>3118</v>
      </c>
      <c r="E11" s="480">
        <v>3220</v>
      </c>
      <c r="F11" s="480">
        <v>3323</v>
      </c>
      <c r="G11" s="480">
        <v>3424</v>
      </c>
      <c r="H11" s="480">
        <v>3527</v>
      </c>
      <c r="I11" s="480">
        <v>3631</v>
      </c>
      <c r="J11" s="480">
        <v>3733</v>
      </c>
      <c r="K11" s="480">
        <v>3837</v>
      </c>
      <c r="L11" s="480">
        <v>3940</v>
      </c>
      <c r="M11" s="480"/>
      <c r="N11" s="480"/>
      <c r="O11" s="480"/>
      <c r="P11" s="480"/>
      <c r="Q11" s="480"/>
      <c r="R11" s="480"/>
      <c r="S11" s="480"/>
      <c r="T11" s="480"/>
      <c r="U11" s="480"/>
      <c r="V11" s="481">
        <f t="shared" si="0"/>
        <v>11</v>
      </c>
    </row>
    <row r="12" spans="1:22" x14ac:dyDescent="0.2">
      <c r="A12" s="476" t="s">
        <v>90</v>
      </c>
      <c r="B12" s="480">
        <v>2811</v>
      </c>
      <c r="C12" s="480">
        <v>3118</v>
      </c>
      <c r="D12" s="480">
        <v>3323</v>
      </c>
      <c r="E12" s="480">
        <v>3527</v>
      </c>
      <c r="F12" s="480">
        <v>3733</v>
      </c>
      <c r="G12" s="480">
        <v>3837</v>
      </c>
      <c r="H12" s="480">
        <v>3940</v>
      </c>
      <c r="I12" s="480">
        <v>4041</v>
      </c>
      <c r="J12" s="480">
        <v>4144</v>
      </c>
      <c r="K12" s="480">
        <v>4245</v>
      </c>
      <c r="L12" s="480">
        <v>4350</v>
      </c>
      <c r="M12" s="480">
        <v>4452</v>
      </c>
      <c r="N12" s="480">
        <v>4555</v>
      </c>
      <c r="O12" s="480"/>
      <c r="P12" s="480"/>
      <c r="Q12" s="480"/>
      <c r="R12" s="480"/>
      <c r="S12" s="480"/>
      <c r="T12" s="480"/>
      <c r="U12" s="480"/>
      <c r="V12" s="481">
        <f t="shared" si="0"/>
        <v>13</v>
      </c>
    </row>
    <row r="13" spans="1:22" x14ac:dyDescent="0.2">
      <c r="A13" s="476" t="s">
        <v>91</v>
      </c>
      <c r="B13" s="480">
        <v>2811</v>
      </c>
      <c r="C13" s="480">
        <v>3118</v>
      </c>
      <c r="D13" s="480">
        <v>3323</v>
      </c>
      <c r="E13" s="480">
        <v>3527</v>
      </c>
      <c r="F13" s="480">
        <v>3733</v>
      </c>
      <c r="G13" s="480">
        <v>3837</v>
      </c>
      <c r="H13" s="480">
        <v>3940</v>
      </c>
      <c r="I13" s="480">
        <v>4041</v>
      </c>
      <c r="J13" s="480">
        <v>4144</v>
      </c>
      <c r="K13" s="480">
        <v>4245</v>
      </c>
      <c r="L13" s="480">
        <v>4350</v>
      </c>
      <c r="M13" s="480">
        <v>4452</v>
      </c>
      <c r="N13" s="480">
        <v>4555</v>
      </c>
      <c r="O13" s="480">
        <v>4656</v>
      </c>
      <c r="P13" s="480">
        <v>4759</v>
      </c>
      <c r="Q13" s="480"/>
      <c r="R13" s="480"/>
      <c r="S13" s="480"/>
      <c r="T13" s="480"/>
      <c r="U13" s="480"/>
      <c r="V13" s="481">
        <f t="shared" si="0"/>
        <v>15</v>
      </c>
    </row>
    <row r="14" spans="1:22" x14ac:dyDescent="0.2">
      <c r="A14" s="482" t="s">
        <v>3</v>
      </c>
      <c r="B14" s="480">
        <v>2605</v>
      </c>
      <c r="C14" s="480">
        <v>2707</v>
      </c>
      <c r="D14" s="480">
        <v>2811</v>
      </c>
      <c r="E14" s="480">
        <v>2912</v>
      </c>
      <c r="F14" s="480">
        <v>3014</v>
      </c>
      <c r="G14" s="480">
        <v>3118</v>
      </c>
      <c r="H14" s="480">
        <v>3220</v>
      </c>
      <c r="I14" s="480">
        <v>3323</v>
      </c>
      <c r="J14" s="480">
        <v>3424</v>
      </c>
      <c r="K14" s="480">
        <v>3527</v>
      </c>
      <c r="L14" s="480">
        <v>3631</v>
      </c>
      <c r="M14" s="480">
        <v>3733</v>
      </c>
      <c r="N14" s="480">
        <v>3837</v>
      </c>
      <c r="O14" s="480"/>
      <c r="P14" s="480"/>
      <c r="Q14" s="480"/>
      <c r="R14" s="480"/>
      <c r="S14" s="480"/>
      <c r="T14" s="480"/>
      <c r="U14" s="480"/>
      <c r="V14" s="481">
        <f t="shared" si="0"/>
        <v>13</v>
      </c>
    </row>
    <row r="15" spans="1:22" x14ac:dyDescent="0.2">
      <c r="A15" s="482" t="s">
        <v>4</v>
      </c>
      <c r="B15" s="480">
        <v>2707</v>
      </c>
      <c r="C15" s="480">
        <v>2912</v>
      </c>
      <c r="D15" s="480">
        <v>3118</v>
      </c>
      <c r="E15" s="480">
        <v>3220</v>
      </c>
      <c r="F15" s="480">
        <v>3323</v>
      </c>
      <c r="G15" s="480">
        <v>3424</v>
      </c>
      <c r="H15" s="480">
        <v>3527</v>
      </c>
      <c r="I15" s="480">
        <v>3631</v>
      </c>
      <c r="J15" s="480">
        <v>3733</v>
      </c>
      <c r="K15" s="480">
        <v>3837</v>
      </c>
      <c r="L15" s="480">
        <v>3940</v>
      </c>
      <c r="M15" s="480">
        <v>4041</v>
      </c>
      <c r="N15" s="480">
        <v>4144</v>
      </c>
      <c r="O15" s="480">
        <v>4245</v>
      </c>
      <c r="P15" s="480">
        <v>4350</v>
      </c>
      <c r="Q15" s="480"/>
      <c r="R15" s="480"/>
      <c r="S15" s="480"/>
      <c r="T15" s="480"/>
      <c r="U15" s="480"/>
      <c r="V15" s="481">
        <f t="shared" si="0"/>
        <v>15</v>
      </c>
    </row>
    <row r="16" spans="1:22" x14ac:dyDescent="0.2">
      <c r="A16" s="482" t="s">
        <v>5</v>
      </c>
      <c r="B16" s="480">
        <v>2707</v>
      </c>
      <c r="C16" s="480">
        <v>2912</v>
      </c>
      <c r="D16" s="480">
        <v>3118</v>
      </c>
      <c r="E16" s="480">
        <v>3220</v>
      </c>
      <c r="F16" s="480">
        <v>3323</v>
      </c>
      <c r="G16" s="480">
        <v>3424</v>
      </c>
      <c r="H16" s="480">
        <v>3527</v>
      </c>
      <c r="I16" s="480">
        <v>3631</v>
      </c>
      <c r="J16" s="480">
        <v>3733</v>
      </c>
      <c r="K16" s="480">
        <v>3837</v>
      </c>
      <c r="L16" s="480">
        <v>3940</v>
      </c>
      <c r="M16" s="480">
        <v>4041</v>
      </c>
      <c r="N16" s="480">
        <v>4144</v>
      </c>
      <c r="O16" s="480">
        <v>4245</v>
      </c>
      <c r="P16" s="480">
        <v>4350</v>
      </c>
      <c r="Q16" s="480">
        <v>4452</v>
      </c>
      <c r="R16" s="480">
        <v>4555</v>
      </c>
      <c r="S16" s="480"/>
      <c r="T16" s="480"/>
      <c r="U16" s="480"/>
      <c r="V16" s="481">
        <f t="shared" si="0"/>
        <v>17</v>
      </c>
    </row>
    <row r="17" spans="1:22" x14ac:dyDescent="0.2">
      <c r="A17" s="482" t="s">
        <v>6</v>
      </c>
      <c r="B17" s="480">
        <v>2811</v>
      </c>
      <c r="C17" s="480">
        <v>3118</v>
      </c>
      <c r="D17" s="480">
        <v>3323</v>
      </c>
      <c r="E17" s="480">
        <v>3527</v>
      </c>
      <c r="F17" s="480">
        <v>3733</v>
      </c>
      <c r="G17" s="480">
        <v>3837</v>
      </c>
      <c r="H17" s="480">
        <v>3940</v>
      </c>
      <c r="I17" s="480">
        <v>4041</v>
      </c>
      <c r="J17" s="480">
        <v>4144</v>
      </c>
      <c r="K17" s="480">
        <v>4245</v>
      </c>
      <c r="L17" s="480">
        <v>4350</v>
      </c>
      <c r="M17" s="480">
        <v>4452</v>
      </c>
      <c r="N17" s="480">
        <v>4555</v>
      </c>
      <c r="O17" s="480">
        <v>4656</v>
      </c>
      <c r="P17" s="480">
        <v>4759</v>
      </c>
      <c r="Q17" s="480">
        <v>4863</v>
      </c>
      <c r="R17" s="480"/>
      <c r="S17" s="480"/>
      <c r="T17" s="480"/>
      <c r="U17" s="480"/>
      <c r="V17" s="481">
        <f t="shared" si="0"/>
        <v>16</v>
      </c>
    </row>
    <row r="18" spans="1:22" x14ac:dyDescent="0.2">
      <c r="A18" s="482" t="s">
        <v>7</v>
      </c>
      <c r="B18" s="480">
        <v>2811</v>
      </c>
      <c r="C18" s="480">
        <v>3118</v>
      </c>
      <c r="D18" s="480">
        <v>3323</v>
      </c>
      <c r="E18" s="480">
        <v>3527</v>
      </c>
      <c r="F18" s="480">
        <v>3733</v>
      </c>
      <c r="G18" s="480">
        <v>3837</v>
      </c>
      <c r="H18" s="480">
        <v>3940</v>
      </c>
      <c r="I18" s="480">
        <v>4041</v>
      </c>
      <c r="J18" s="480">
        <v>4144</v>
      </c>
      <c r="K18" s="480">
        <v>4245</v>
      </c>
      <c r="L18" s="480">
        <v>4350</v>
      </c>
      <c r="M18" s="480">
        <v>4452</v>
      </c>
      <c r="N18" s="480">
        <v>4555</v>
      </c>
      <c r="O18" s="480">
        <v>4656</v>
      </c>
      <c r="P18" s="480">
        <v>4759</v>
      </c>
      <c r="Q18" s="480">
        <v>4863</v>
      </c>
      <c r="R18" s="480">
        <v>4965</v>
      </c>
      <c r="S18" s="480">
        <v>5067</v>
      </c>
      <c r="T18" s="480"/>
      <c r="U18" s="480"/>
      <c r="V18" s="481">
        <f t="shared" si="0"/>
        <v>18</v>
      </c>
    </row>
    <row r="19" spans="1:22" x14ac:dyDescent="0.2">
      <c r="A19" s="482" t="s">
        <v>8</v>
      </c>
      <c r="B19" s="480">
        <v>2854</v>
      </c>
      <c r="C19" s="480">
        <v>3067</v>
      </c>
      <c r="D19" s="480">
        <v>3285</v>
      </c>
      <c r="E19" s="480">
        <v>3494</v>
      </c>
      <c r="F19" s="480">
        <v>3725</v>
      </c>
      <c r="G19" s="480">
        <v>3837</v>
      </c>
      <c r="H19" s="480">
        <v>3944</v>
      </c>
      <c r="I19" s="480">
        <v>4053</v>
      </c>
      <c r="J19" s="480">
        <v>4157</v>
      </c>
      <c r="K19" s="480">
        <v>4269</v>
      </c>
      <c r="L19" s="480">
        <v>4377</v>
      </c>
      <c r="M19" s="480">
        <v>4482</v>
      </c>
      <c r="N19" s="480">
        <v>4590</v>
      </c>
      <c r="O19" s="480">
        <v>4726</v>
      </c>
      <c r="P19" s="480">
        <v>4862</v>
      </c>
      <c r="Q19" s="480">
        <v>4997</v>
      </c>
      <c r="R19" s="480">
        <v>5133</v>
      </c>
      <c r="S19" s="480">
        <v>5198</v>
      </c>
      <c r="T19" s="480"/>
      <c r="U19" s="480"/>
      <c r="V19" s="481">
        <f t="shared" si="0"/>
        <v>18</v>
      </c>
    </row>
    <row r="20" spans="1:22" x14ac:dyDescent="0.2">
      <c r="A20" s="482" t="s">
        <v>9</v>
      </c>
      <c r="B20" s="480">
        <v>2961</v>
      </c>
      <c r="C20" s="480">
        <v>3182</v>
      </c>
      <c r="D20" s="480">
        <v>3390</v>
      </c>
      <c r="E20" s="480">
        <v>3609</v>
      </c>
      <c r="F20" s="480">
        <v>3837</v>
      </c>
      <c r="G20" s="480">
        <v>4053</v>
      </c>
      <c r="H20" s="480">
        <v>4269</v>
      </c>
      <c r="I20" s="480">
        <v>4377</v>
      </c>
      <c r="J20" s="480">
        <v>4482</v>
      </c>
      <c r="K20" s="480">
        <v>4590</v>
      </c>
      <c r="L20" s="480">
        <v>4726</v>
      </c>
      <c r="M20" s="480">
        <v>4862</v>
      </c>
      <c r="N20" s="480">
        <v>4997</v>
      </c>
      <c r="O20" s="480">
        <v>5133</v>
      </c>
      <c r="P20" s="480">
        <v>5270</v>
      </c>
      <c r="Q20" s="480">
        <v>5414</v>
      </c>
      <c r="R20" s="480">
        <v>5561</v>
      </c>
      <c r="S20" s="480">
        <v>5713</v>
      </c>
      <c r="T20" s="480"/>
      <c r="U20" s="480"/>
      <c r="V20" s="481">
        <f t="shared" si="0"/>
        <v>18</v>
      </c>
    </row>
    <row r="21" spans="1:22" x14ac:dyDescent="0.2">
      <c r="A21" s="482" t="s">
        <v>10</v>
      </c>
      <c r="B21" s="480">
        <v>2332</v>
      </c>
      <c r="C21" s="480">
        <v>2439</v>
      </c>
      <c r="D21" s="480">
        <v>2549</v>
      </c>
      <c r="E21" s="480">
        <v>2666</v>
      </c>
      <c r="F21" s="480">
        <v>2797</v>
      </c>
      <c r="G21" s="480">
        <v>2908</v>
      </c>
      <c r="H21" s="480">
        <v>3022</v>
      </c>
      <c r="I21" s="480">
        <v>3129</v>
      </c>
      <c r="J21" s="480">
        <v>3235</v>
      </c>
      <c r="K21" s="480">
        <v>3353</v>
      </c>
      <c r="L21" s="480">
        <v>3456</v>
      </c>
      <c r="M21" s="480"/>
      <c r="N21" s="480"/>
      <c r="O21" s="480"/>
      <c r="P21" s="480"/>
      <c r="Q21" s="480"/>
      <c r="R21" s="480"/>
      <c r="S21" s="480"/>
      <c r="T21" s="480"/>
      <c r="U21" s="480"/>
      <c r="V21" s="481">
        <f t="shared" si="0"/>
        <v>11</v>
      </c>
    </row>
    <row r="22" spans="1:22" x14ac:dyDescent="0.2">
      <c r="A22" s="482" t="s">
        <v>11</v>
      </c>
      <c r="B22" s="480">
        <v>2385</v>
      </c>
      <c r="C22" s="480">
        <v>2493</v>
      </c>
      <c r="D22" s="480">
        <v>2611</v>
      </c>
      <c r="E22" s="480">
        <v>2741</v>
      </c>
      <c r="F22" s="480">
        <v>2852</v>
      </c>
      <c r="G22" s="480">
        <v>2966</v>
      </c>
      <c r="H22" s="480">
        <v>3072</v>
      </c>
      <c r="I22" s="480">
        <v>3179</v>
      </c>
      <c r="J22" s="480">
        <v>3294</v>
      </c>
      <c r="K22" s="480">
        <v>3400</v>
      </c>
      <c r="L22" s="480">
        <v>3503</v>
      </c>
      <c r="M22" s="480">
        <v>3608</v>
      </c>
      <c r="N22" s="480">
        <v>3786</v>
      </c>
      <c r="O22" s="480"/>
      <c r="P22" s="480"/>
      <c r="Q22" s="480"/>
      <c r="R22" s="480"/>
      <c r="S22" s="480"/>
      <c r="T22" s="480"/>
      <c r="U22" s="480"/>
      <c r="V22" s="481">
        <f t="shared" si="0"/>
        <v>13</v>
      </c>
    </row>
    <row r="23" spans="1:22" x14ac:dyDescent="0.2">
      <c r="A23" s="482" t="s">
        <v>12</v>
      </c>
      <c r="B23" s="480">
        <v>2436</v>
      </c>
      <c r="C23" s="480">
        <v>2556</v>
      </c>
      <c r="D23" s="480">
        <v>2683</v>
      </c>
      <c r="E23" s="480">
        <v>2797</v>
      </c>
      <c r="F23" s="480">
        <v>2909</v>
      </c>
      <c r="G23" s="480">
        <v>3018</v>
      </c>
      <c r="H23" s="480">
        <v>3123</v>
      </c>
      <c r="I23" s="480">
        <v>3240</v>
      </c>
      <c r="J23" s="480">
        <v>3344</v>
      </c>
      <c r="K23" s="480">
        <v>3449</v>
      </c>
      <c r="L23" s="480">
        <v>3554</v>
      </c>
      <c r="M23" s="480">
        <v>3669</v>
      </c>
      <c r="N23" s="480">
        <v>3786</v>
      </c>
      <c r="O23" s="480">
        <v>3897</v>
      </c>
      <c r="P23" s="480">
        <v>4006</v>
      </c>
      <c r="Q23" s="480">
        <v>4114</v>
      </c>
      <c r="R23" s="480">
        <v>4220</v>
      </c>
      <c r="S23" s="480">
        <v>4275</v>
      </c>
      <c r="T23" s="480"/>
      <c r="U23" s="480"/>
      <c r="V23" s="481">
        <f t="shared" si="0"/>
        <v>18</v>
      </c>
    </row>
    <row r="24" spans="1:22" x14ac:dyDescent="0.2">
      <c r="A24" s="482" t="s">
        <v>13</v>
      </c>
      <c r="B24" s="480">
        <v>2556</v>
      </c>
      <c r="C24" s="480">
        <v>2683</v>
      </c>
      <c r="D24" s="480">
        <v>2909</v>
      </c>
      <c r="E24" s="480">
        <v>3123</v>
      </c>
      <c r="F24" s="480">
        <v>3240</v>
      </c>
      <c r="G24" s="480">
        <v>3344</v>
      </c>
      <c r="H24" s="480">
        <v>3449</v>
      </c>
      <c r="I24" s="480">
        <v>3554</v>
      </c>
      <c r="J24" s="480">
        <v>3669</v>
      </c>
      <c r="K24" s="480">
        <v>3786</v>
      </c>
      <c r="L24" s="480">
        <v>3897</v>
      </c>
      <c r="M24" s="480">
        <v>4006</v>
      </c>
      <c r="N24" s="480">
        <v>4114</v>
      </c>
      <c r="O24" s="480">
        <v>4220</v>
      </c>
      <c r="P24" s="480">
        <v>4331</v>
      </c>
      <c r="Q24" s="480">
        <v>4441</v>
      </c>
      <c r="R24" s="480">
        <v>4545</v>
      </c>
      <c r="S24" s="480">
        <v>4655</v>
      </c>
      <c r="T24" s="480">
        <v>4792</v>
      </c>
      <c r="U24" s="480">
        <v>4859</v>
      </c>
      <c r="V24" s="481">
        <f t="shared" si="0"/>
        <v>20</v>
      </c>
    </row>
    <row r="25" spans="1:22" x14ac:dyDescent="0.2">
      <c r="A25" s="482" t="s">
        <v>14</v>
      </c>
      <c r="B25" s="480">
        <v>2683</v>
      </c>
      <c r="C25" s="480">
        <v>2909</v>
      </c>
      <c r="D25" s="480">
        <v>3123</v>
      </c>
      <c r="E25" s="480">
        <v>3344</v>
      </c>
      <c r="F25" s="480">
        <v>3554</v>
      </c>
      <c r="G25" s="480">
        <v>2616</v>
      </c>
      <c r="H25" s="480">
        <v>3897</v>
      </c>
      <c r="I25" s="480">
        <v>4006</v>
      </c>
      <c r="J25" s="480">
        <v>4114</v>
      </c>
      <c r="K25" s="480">
        <v>4220</v>
      </c>
      <c r="L25" s="480">
        <v>4331</v>
      </c>
      <c r="M25" s="480">
        <v>4441</v>
      </c>
      <c r="N25" s="480">
        <v>4545</v>
      </c>
      <c r="O25" s="480">
        <v>4655</v>
      </c>
      <c r="P25" s="480">
        <v>4792</v>
      </c>
      <c r="Q25" s="480">
        <v>4927</v>
      </c>
      <c r="R25" s="480">
        <v>5064</v>
      </c>
      <c r="S25" s="480">
        <v>5201</v>
      </c>
      <c r="T25" s="480">
        <v>5266</v>
      </c>
      <c r="U25" s="480"/>
      <c r="V25" s="481">
        <f t="shared" si="0"/>
        <v>19</v>
      </c>
    </row>
    <row r="26" spans="1:22" x14ac:dyDescent="0.2">
      <c r="A26" s="482" t="s">
        <v>0</v>
      </c>
      <c r="B26" s="480">
        <f>2270+20</f>
        <v>2290</v>
      </c>
      <c r="C26" s="480">
        <f>2316+20</f>
        <v>2336</v>
      </c>
      <c r="D26" s="480">
        <f>2364+20+2+1</f>
        <v>2387</v>
      </c>
      <c r="E26" s="480">
        <f>2412+20+4+2</f>
        <v>2438</v>
      </c>
      <c r="F26" s="480">
        <f>2460+20+6+3</f>
        <v>2489</v>
      </c>
      <c r="G26" s="480">
        <f>2510+22+10+6</f>
        <v>2548</v>
      </c>
      <c r="H26" s="480">
        <f>2561+22+15+12</f>
        <v>2610</v>
      </c>
      <c r="I26" s="480">
        <f>2615+22+22+18</f>
        <v>2677</v>
      </c>
      <c r="J26" s="480">
        <f>2672+24+28+28</f>
        <v>2752</v>
      </c>
      <c r="K26" s="480">
        <f>2730+24+37+38</f>
        <v>2829</v>
      </c>
      <c r="L26" s="480">
        <f>2791+24+46+53</f>
        <v>2914</v>
      </c>
      <c r="M26" s="480">
        <f>2856+24+57+66</f>
        <v>3003</v>
      </c>
      <c r="N26" s="480">
        <f>2925+26+64+84</f>
        <v>3099</v>
      </c>
      <c r="O26" s="480">
        <f>2997+26+78+97</f>
        <v>3198</v>
      </c>
      <c r="P26" s="480">
        <f>3072+28+98+76</f>
        <v>3274</v>
      </c>
      <c r="Q26" s="480"/>
      <c r="R26" s="480"/>
      <c r="S26" s="480"/>
      <c r="T26" s="480"/>
      <c r="U26" s="480"/>
      <c r="V26" s="481">
        <f t="shared" si="0"/>
        <v>15</v>
      </c>
    </row>
    <row r="27" spans="1:22" x14ac:dyDescent="0.2">
      <c r="A27" s="482" t="s">
        <v>15</v>
      </c>
      <c r="B27" s="480">
        <f>2354+20</f>
        <v>2374</v>
      </c>
      <c r="C27" s="480">
        <f>2411+20</f>
        <v>2431</v>
      </c>
      <c r="D27" s="480">
        <f>2469+20+6+1</f>
        <v>2496</v>
      </c>
      <c r="E27" s="480">
        <f>2527+22+8+2</f>
        <v>2559</v>
      </c>
      <c r="F27" s="480">
        <f>2585+22+12+3</f>
        <v>2622</v>
      </c>
      <c r="G27" s="480">
        <f>2645+22+18+9</f>
        <v>2694</v>
      </c>
      <c r="H27" s="480">
        <f>2707+24+29+11</f>
        <v>2771</v>
      </c>
      <c r="I27" s="480">
        <f>2774+24+41+16</f>
        <v>2855</v>
      </c>
      <c r="J27" s="480">
        <f>2843+24+56+30</f>
        <v>2953</v>
      </c>
      <c r="K27" s="480">
        <f>2917+26+68+41</f>
        <v>3052</v>
      </c>
      <c r="L27" s="480">
        <f>2994+26+85+54</f>
        <v>3159</v>
      </c>
      <c r="M27" s="480">
        <f>3076+28+99+66</f>
        <v>3269</v>
      </c>
      <c r="N27" s="480">
        <f>3160+28+120+76</f>
        <v>3384</v>
      </c>
      <c r="O27" s="480">
        <f>3252+28+132+92</f>
        <v>3504</v>
      </c>
      <c r="P27" s="480">
        <f>3363+30+127+77</f>
        <v>3597</v>
      </c>
      <c r="Q27" s="480"/>
      <c r="R27" s="480"/>
      <c r="S27" s="480"/>
      <c r="T27" s="480"/>
      <c r="U27" s="480"/>
      <c r="V27" s="481">
        <f t="shared" si="0"/>
        <v>15</v>
      </c>
    </row>
    <row r="28" spans="1:22" x14ac:dyDescent="0.2">
      <c r="A28" s="482" t="s">
        <v>16</v>
      </c>
      <c r="B28" s="480">
        <f>2367+20</f>
        <v>2387</v>
      </c>
      <c r="C28" s="480">
        <f>2481+22</f>
        <v>2503</v>
      </c>
      <c r="D28" s="480">
        <f>2599+22</f>
        <v>2621</v>
      </c>
      <c r="E28" s="480">
        <f>2707+24+5+5</f>
        <v>2741</v>
      </c>
      <c r="F28" s="480">
        <f>2818+24+10+7</f>
        <v>2859</v>
      </c>
      <c r="G28" s="480">
        <f>2930+26+15+10</f>
        <v>2981</v>
      </c>
      <c r="H28" s="480">
        <f>3044+26+20+16</f>
        <v>3106</v>
      </c>
      <c r="I28" s="480">
        <f>3157+28+27+22</f>
        <v>3234</v>
      </c>
      <c r="J28" s="480">
        <f>3272+30+33+33</f>
        <v>3368</v>
      </c>
      <c r="K28" s="480">
        <f>3388+30+41+46</f>
        <v>3505</v>
      </c>
      <c r="L28" s="480">
        <f>3503+32+50+57</f>
        <v>3642</v>
      </c>
      <c r="M28" s="480">
        <f>3619+32+61+74</f>
        <v>3786</v>
      </c>
      <c r="N28" s="480">
        <f>3735+34+71+93</f>
        <v>3933</v>
      </c>
      <c r="O28" s="480">
        <f>3853+34+84+111</f>
        <v>4082</v>
      </c>
      <c r="P28" s="480">
        <f>3970+36+96+95</f>
        <v>4197</v>
      </c>
      <c r="Q28" s="480"/>
      <c r="R28" s="480"/>
      <c r="S28" s="480"/>
      <c r="T28" s="480"/>
      <c r="U28" s="480"/>
      <c r="V28" s="481">
        <f t="shared" si="0"/>
        <v>15</v>
      </c>
    </row>
    <row r="29" spans="1:22" x14ac:dyDescent="0.2">
      <c r="A29" s="482" t="s">
        <v>17</v>
      </c>
      <c r="B29" s="480">
        <f>2376+20</f>
        <v>2396</v>
      </c>
      <c r="C29" s="480">
        <f>2518+22</f>
        <v>2540</v>
      </c>
      <c r="D29" s="480">
        <f>2661+22+2+3</f>
        <v>2688</v>
      </c>
      <c r="E29" s="480">
        <f>2804+24+4+6</f>
        <v>2838</v>
      </c>
      <c r="F29" s="480">
        <f>2947+26+6+9</f>
        <v>2988</v>
      </c>
      <c r="G29" s="480">
        <f>3093+28+10+14</f>
        <v>3145</v>
      </c>
      <c r="H29" s="480">
        <f>3239+28+16+25</f>
        <v>3308</v>
      </c>
      <c r="I29" s="480">
        <f>3388+30+23+32</f>
        <v>3473</v>
      </c>
      <c r="J29" s="480">
        <f>3537+32+33+45</f>
        <v>3647</v>
      </c>
      <c r="K29" s="480">
        <f>3688+34+43+63</f>
        <v>3828</v>
      </c>
      <c r="L29" s="480">
        <f>3842+34+57+81</f>
        <v>4014</v>
      </c>
      <c r="M29" s="480">
        <f>3997+36+69+104</f>
        <v>4206</v>
      </c>
      <c r="N29" s="480">
        <f>4153+38+85+129</f>
        <v>4405</v>
      </c>
      <c r="O29" s="480">
        <f>4313+40+101+155</f>
        <v>4609</v>
      </c>
      <c r="P29" s="480">
        <f>4472+42+121+140</f>
        <v>4775</v>
      </c>
      <c r="Q29" s="480"/>
      <c r="R29" s="480"/>
      <c r="S29" s="480"/>
      <c r="T29" s="480"/>
      <c r="U29" s="480"/>
      <c r="V29" s="481">
        <f t="shared" si="0"/>
        <v>15</v>
      </c>
    </row>
    <row r="30" spans="1:22" x14ac:dyDescent="0.2">
      <c r="A30" s="482" t="s">
        <v>18</v>
      </c>
      <c r="B30" s="480">
        <f>3057+26</f>
        <v>3083</v>
      </c>
      <c r="C30" s="480">
        <f>3172+28</f>
        <v>3200</v>
      </c>
      <c r="D30" s="480">
        <f>3274+30</f>
        <v>3304</v>
      </c>
      <c r="E30" s="480">
        <f>3482+32</f>
        <v>3514</v>
      </c>
      <c r="F30" s="480">
        <f>3712+34</f>
        <v>3746</v>
      </c>
      <c r="G30" s="480">
        <f>3834+34+11+13</f>
        <v>3892</v>
      </c>
      <c r="H30" s="480">
        <f>3956+36+22+26</f>
        <v>4040</v>
      </c>
      <c r="I30" s="480">
        <f>4078+38+34+38</f>
        <v>4188</v>
      </c>
      <c r="J30" s="480">
        <f>4200+38+45+53</f>
        <v>4336</v>
      </c>
      <c r="K30" s="480">
        <f>4322+40+56+65</f>
        <v>4483</v>
      </c>
      <c r="L30" s="480">
        <f>4445+40+68+79</f>
        <v>4632</v>
      </c>
      <c r="M30" s="480">
        <f>4567+42+77+95</f>
        <v>4781</v>
      </c>
      <c r="N30" s="480">
        <f>4689+44+89+108</f>
        <v>4930</v>
      </c>
      <c r="O30" s="480">
        <f>4811+44+103+119</f>
        <v>5077</v>
      </c>
      <c r="P30" s="480">
        <f>4933+46+112+87</f>
        <v>5178</v>
      </c>
      <c r="Q30" s="480"/>
      <c r="R30" s="480"/>
      <c r="S30" s="480"/>
      <c r="T30" s="480"/>
      <c r="U30" s="480"/>
      <c r="V30" s="481">
        <f t="shared" si="0"/>
        <v>15</v>
      </c>
    </row>
    <row r="31" spans="1:22" x14ac:dyDescent="0.2">
      <c r="A31" s="476">
        <v>1</v>
      </c>
      <c r="B31" s="480">
        <v>1477.8</v>
      </c>
      <c r="C31" s="480">
        <v>1477.8</v>
      </c>
      <c r="D31" s="480">
        <v>1538</v>
      </c>
      <c r="E31" s="480">
        <v>1566</v>
      </c>
      <c r="F31" s="480">
        <v>1598</v>
      </c>
      <c r="G31" s="480">
        <v>1631</v>
      </c>
      <c r="H31" s="480">
        <v>1674</v>
      </c>
      <c r="I31" s="480"/>
      <c r="J31" s="480"/>
      <c r="K31" s="480"/>
      <c r="L31" s="480"/>
      <c r="M31" s="480"/>
      <c r="N31" s="480"/>
      <c r="O31" s="480"/>
      <c r="P31" s="480"/>
      <c r="Q31" s="480"/>
      <c r="R31" s="480"/>
      <c r="S31" s="480"/>
      <c r="T31" s="480"/>
      <c r="U31" s="480"/>
      <c r="V31" s="481">
        <f t="shared" si="0"/>
        <v>7</v>
      </c>
    </row>
    <row r="32" spans="1:22" x14ac:dyDescent="0.2">
      <c r="A32" s="476">
        <v>2</v>
      </c>
      <c r="B32" s="480">
        <v>1477.8</v>
      </c>
      <c r="C32" s="480">
        <v>1508</v>
      </c>
      <c r="D32" s="480">
        <v>1566</v>
      </c>
      <c r="E32" s="480">
        <v>1631</v>
      </c>
      <c r="F32" s="480">
        <v>1674</v>
      </c>
      <c r="G32" s="480">
        <v>1723</v>
      </c>
      <c r="H32" s="480">
        <v>1783</v>
      </c>
      <c r="I32" s="480">
        <v>1840</v>
      </c>
      <c r="J32" s="480"/>
      <c r="K32" s="480"/>
      <c r="L32" s="480"/>
      <c r="M32" s="480"/>
      <c r="N32" s="480"/>
      <c r="O32" s="480"/>
      <c r="P32" s="480"/>
      <c r="Q32" s="480"/>
      <c r="R32" s="480"/>
      <c r="S32" s="480"/>
      <c r="T32" s="480"/>
      <c r="U32" s="480"/>
      <c r="V32" s="481">
        <f t="shared" si="0"/>
        <v>8</v>
      </c>
    </row>
    <row r="33" spans="1:22" x14ac:dyDescent="0.2">
      <c r="A33" s="476">
        <v>3</v>
      </c>
      <c r="B33" s="480">
        <v>1477.8</v>
      </c>
      <c r="C33" s="480">
        <v>1566</v>
      </c>
      <c r="D33" s="480">
        <v>1631</v>
      </c>
      <c r="E33" s="480">
        <v>1723</v>
      </c>
      <c r="F33" s="480">
        <v>1783</v>
      </c>
      <c r="G33" s="480">
        <v>1840</v>
      </c>
      <c r="H33" s="480">
        <v>1896</v>
      </c>
      <c r="I33" s="480">
        <v>1950</v>
      </c>
      <c r="J33" s="480">
        <v>2004</v>
      </c>
      <c r="K33" s="480"/>
      <c r="L33" s="480"/>
      <c r="M33" s="480"/>
      <c r="N33" s="480"/>
      <c r="O33" s="480"/>
      <c r="P33" s="480"/>
      <c r="Q33" s="480"/>
      <c r="R33" s="480"/>
      <c r="S33" s="480"/>
      <c r="T33" s="480"/>
      <c r="U33" s="480"/>
      <c r="V33" s="481">
        <f t="shared" si="0"/>
        <v>9</v>
      </c>
    </row>
    <row r="34" spans="1:22" x14ac:dyDescent="0.2">
      <c r="A34" s="476">
        <v>4</v>
      </c>
      <c r="B34" s="480">
        <v>1477.8</v>
      </c>
      <c r="C34" s="480">
        <v>1538</v>
      </c>
      <c r="D34" s="480">
        <v>1598</v>
      </c>
      <c r="E34" s="480">
        <v>1674</v>
      </c>
      <c r="F34" s="480">
        <v>1783</v>
      </c>
      <c r="G34" s="480">
        <v>1840</v>
      </c>
      <c r="H34" s="480">
        <v>1896</v>
      </c>
      <c r="I34" s="480">
        <v>1950</v>
      </c>
      <c r="J34" s="480">
        <v>2004</v>
      </c>
      <c r="K34" s="480">
        <v>2056</v>
      </c>
      <c r="L34" s="480">
        <v>2108</v>
      </c>
      <c r="M34" s="480"/>
      <c r="N34" s="480"/>
      <c r="O34" s="480"/>
      <c r="P34" s="480"/>
      <c r="Q34" s="480"/>
      <c r="R34" s="480"/>
      <c r="S34" s="480"/>
      <c r="T34" s="480"/>
      <c r="U34" s="480"/>
      <c r="V34" s="481">
        <f t="shared" si="0"/>
        <v>11</v>
      </c>
    </row>
    <row r="35" spans="1:22" x14ac:dyDescent="0.2">
      <c r="A35" s="476">
        <v>5</v>
      </c>
      <c r="B35" s="480">
        <v>1508</v>
      </c>
      <c r="C35" s="480">
        <v>1538</v>
      </c>
      <c r="D35" s="480">
        <v>1631</v>
      </c>
      <c r="E35" s="480">
        <v>1723</v>
      </c>
      <c r="F35" s="480">
        <v>1840</v>
      </c>
      <c r="G35" s="480">
        <v>1896</v>
      </c>
      <c r="H35" s="480">
        <v>1950</v>
      </c>
      <c r="I35" s="480">
        <v>2004</v>
      </c>
      <c r="J35" s="480">
        <v>2056</v>
      </c>
      <c r="K35" s="480">
        <v>2108</v>
      </c>
      <c r="L35" s="480">
        <v>2158</v>
      </c>
      <c r="M35" s="480">
        <v>2216</v>
      </c>
      <c r="N35" s="480"/>
      <c r="O35" s="480"/>
      <c r="P35" s="480"/>
      <c r="Q35" s="480"/>
      <c r="R35" s="480"/>
      <c r="S35" s="480"/>
      <c r="T35" s="480"/>
      <c r="U35" s="480"/>
      <c r="V35" s="481">
        <f t="shared" si="0"/>
        <v>12</v>
      </c>
    </row>
    <row r="36" spans="1:22" x14ac:dyDescent="0.2">
      <c r="A36" s="476">
        <v>6</v>
      </c>
      <c r="B36" s="480">
        <v>1566</v>
      </c>
      <c r="C36" s="480">
        <v>1631</v>
      </c>
      <c r="D36" s="480">
        <v>1840</v>
      </c>
      <c r="E36" s="480">
        <v>1950</v>
      </c>
      <c r="F36" s="480">
        <v>2004</v>
      </c>
      <c r="G36" s="480">
        <v>2056</v>
      </c>
      <c r="H36" s="480">
        <v>2108</v>
      </c>
      <c r="I36" s="480">
        <v>2158</v>
      </c>
      <c r="J36" s="480">
        <v>2216</v>
      </c>
      <c r="K36" s="480">
        <v>2270</v>
      </c>
      <c r="L36" s="480">
        <v>2322</v>
      </c>
      <c r="M36" s="480"/>
      <c r="N36" s="480"/>
      <c r="O36" s="480"/>
      <c r="P36" s="480"/>
      <c r="Q36" s="480"/>
      <c r="R36" s="480"/>
      <c r="S36" s="480"/>
      <c r="T36" s="480"/>
      <c r="U36" s="480"/>
      <c r="V36" s="481">
        <f t="shared" si="0"/>
        <v>11</v>
      </c>
    </row>
    <row r="37" spans="1:22" x14ac:dyDescent="0.2">
      <c r="A37" s="476">
        <v>7</v>
      </c>
      <c r="B37" s="480">
        <v>1674</v>
      </c>
      <c r="C37" s="480">
        <v>1723</v>
      </c>
      <c r="D37" s="480">
        <v>1840</v>
      </c>
      <c r="E37" s="480">
        <v>2056</v>
      </c>
      <c r="F37" s="480">
        <v>2158</v>
      </c>
      <c r="G37" s="480">
        <v>2216</v>
      </c>
      <c r="H37" s="480">
        <v>2270</v>
      </c>
      <c r="I37" s="480">
        <v>2322</v>
      </c>
      <c r="J37" s="480">
        <v>2376</v>
      </c>
      <c r="K37" s="480">
        <v>2434</v>
      </c>
      <c r="L37" s="480">
        <v>2494</v>
      </c>
      <c r="M37" s="480">
        <v>2560</v>
      </c>
      <c r="N37" s="480"/>
      <c r="O37" s="480"/>
      <c r="P37" s="480"/>
      <c r="Q37" s="480"/>
      <c r="R37" s="480"/>
      <c r="S37" s="480"/>
      <c r="T37" s="480"/>
      <c r="U37" s="480"/>
      <c r="V37" s="481">
        <f t="shared" si="0"/>
        <v>12</v>
      </c>
    </row>
    <row r="38" spans="1:22" x14ac:dyDescent="0.2">
      <c r="A38" s="476">
        <v>8</v>
      </c>
      <c r="B38" s="480">
        <v>1896</v>
      </c>
      <c r="C38" s="480">
        <v>1950</v>
      </c>
      <c r="D38" s="480">
        <v>2056</v>
      </c>
      <c r="E38" s="480">
        <v>2270</v>
      </c>
      <c r="F38" s="480">
        <v>2376</v>
      </c>
      <c r="G38" s="480">
        <v>2494</v>
      </c>
      <c r="H38" s="480">
        <v>2560</v>
      </c>
      <c r="I38" s="480">
        <v>2621</v>
      </c>
      <c r="J38" s="480">
        <v>2675</v>
      </c>
      <c r="K38" s="480">
        <v>2733</v>
      </c>
      <c r="L38" s="480">
        <v>2791</v>
      </c>
      <c r="M38" s="480">
        <v>2845</v>
      </c>
      <c r="N38" s="480">
        <v>2896</v>
      </c>
      <c r="O38" s="480"/>
      <c r="P38" s="480"/>
      <c r="Q38" s="480"/>
      <c r="R38" s="480"/>
      <c r="S38" s="480"/>
      <c r="T38" s="480"/>
      <c r="U38" s="480"/>
      <c r="V38" s="481">
        <f t="shared" si="0"/>
        <v>13</v>
      </c>
    </row>
    <row r="39" spans="1:22" x14ac:dyDescent="0.2">
      <c r="A39" s="476">
        <v>9</v>
      </c>
      <c r="B39" s="480">
        <v>2180</v>
      </c>
      <c r="C39" s="480">
        <v>2292</v>
      </c>
      <c r="D39" s="480">
        <v>2518</v>
      </c>
      <c r="E39" s="480">
        <v>2647</v>
      </c>
      <c r="F39" s="480">
        <v>2759</v>
      </c>
      <c r="G39" s="480">
        <v>2873</v>
      </c>
      <c r="H39" s="480">
        <v>2980</v>
      </c>
      <c r="I39" s="480">
        <v>3087</v>
      </c>
      <c r="J39" s="480">
        <v>3204</v>
      </c>
      <c r="K39" s="480">
        <v>3306</v>
      </c>
      <c r="L39" s="480"/>
      <c r="M39" s="480"/>
      <c r="N39" s="480"/>
      <c r="O39" s="480"/>
      <c r="P39" s="480"/>
      <c r="Q39" s="480"/>
      <c r="R39" s="480"/>
      <c r="S39" s="480"/>
      <c r="T39" s="480"/>
      <c r="U39" s="480"/>
      <c r="V39" s="481">
        <f t="shared" si="0"/>
        <v>10</v>
      </c>
    </row>
    <row r="40" spans="1:22" x14ac:dyDescent="0.2">
      <c r="A40" s="476">
        <v>10</v>
      </c>
      <c r="B40" s="480">
        <v>2180</v>
      </c>
      <c r="C40" s="480">
        <v>2400</v>
      </c>
      <c r="D40" s="480">
        <v>2518</v>
      </c>
      <c r="E40" s="480">
        <v>2647</v>
      </c>
      <c r="F40" s="480">
        <v>2759</v>
      </c>
      <c r="G40" s="480">
        <v>2873</v>
      </c>
      <c r="H40" s="480">
        <v>2980</v>
      </c>
      <c r="I40" s="480">
        <v>3057</v>
      </c>
      <c r="J40" s="480">
        <v>3204</v>
      </c>
      <c r="K40" s="480">
        <v>3306</v>
      </c>
      <c r="L40" s="480">
        <v>3413</v>
      </c>
      <c r="M40" s="480">
        <v>3516</v>
      </c>
      <c r="N40" s="480">
        <v>3633</v>
      </c>
      <c r="O40" s="480"/>
      <c r="P40" s="480"/>
      <c r="Q40" s="480"/>
      <c r="R40" s="480"/>
      <c r="S40" s="480"/>
      <c r="T40" s="480"/>
      <c r="U40" s="480"/>
      <c r="V40" s="481">
        <f t="shared" si="0"/>
        <v>13</v>
      </c>
    </row>
    <row r="41" spans="1:22" x14ac:dyDescent="0.2">
      <c r="A41" s="476">
        <v>11</v>
      </c>
      <c r="B41" s="480">
        <v>2292</v>
      </c>
      <c r="C41" s="480">
        <v>2400</v>
      </c>
      <c r="D41" s="480">
        <v>2518</v>
      </c>
      <c r="E41" s="480">
        <v>2647</v>
      </c>
      <c r="F41" s="480">
        <v>2759</v>
      </c>
      <c r="G41" s="480">
        <v>2873</v>
      </c>
      <c r="H41" s="480">
        <v>2980</v>
      </c>
      <c r="I41" s="480">
        <v>3204</v>
      </c>
      <c r="J41" s="480">
        <v>3306</v>
      </c>
      <c r="K41" s="480">
        <v>3413</v>
      </c>
      <c r="L41" s="480">
        <v>3516</v>
      </c>
      <c r="M41" s="480">
        <v>3633</v>
      </c>
      <c r="N41" s="480">
        <v>3748</v>
      </c>
      <c r="O41" s="480">
        <v>3861</v>
      </c>
      <c r="P41" s="480">
        <v>3968</v>
      </c>
      <c r="Q41" s="480">
        <v>4078</v>
      </c>
      <c r="R41" s="480">
        <v>4182</v>
      </c>
      <c r="S41" s="480">
        <v>4239</v>
      </c>
      <c r="T41" s="480"/>
      <c r="U41" s="480"/>
      <c r="V41" s="481">
        <f t="shared" si="0"/>
        <v>18</v>
      </c>
    </row>
    <row r="42" spans="1:22" x14ac:dyDescent="0.2">
      <c r="A42" s="476">
        <v>12</v>
      </c>
      <c r="B42" s="480">
        <v>3087</v>
      </c>
      <c r="C42" s="480">
        <v>3204</v>
      </c>
      <c r="D42" s="480">
        <v>3306</v>
      </c>
      <c r="E42" s="480">
        <v>3413</v>
      </c>
      <c r="F42" s="480">
        <v>3516</v>
      </c>
      <c r="G42" s="480">
        <v>3633</v>
      </c>
      <c r="H42" s="480">
        <v>3861</v>
      </c>
      <c r="I42" s="480">
        <v>3968</v>
      </c>
      <c r="J42" s="480">
        <v>4078</v>
      </c>
      <c r="K42" s="480">
        <v>4182</v>
      </c>
      <c r="L42" s="480">
        <v>4295</v>
      </c>
      <c r="M42" s="480">
        <v>4405</v>
      </c>
      <c r="N42" s="480">
        <v>4509</v>
      </c>
      <c r="O42" s="480">
        <v>4619</v>
      </c>
      <c r="P42" s="480">
        <v>4754</v>
      </c>
      <c r="Q42" s="480">
        <v>4823</v>
      </c>
      <c r="R42" s="480"/>
      <c r="S42" s="480"/>
      <c r="T42" s="480"/>
      <c r="U42" s="480"/>
      <c r="V42" s="481">
        <f t="shared" si="0"/>
        <v>16</v>
      </c>
    </row>
    <row r="43" spans="1:22" x14ac:dyDescent="0.2">
      <c r="A43" s="476">
        <v>13</v>
      </c>
      <c r="B43" s="480">
        <v>3748</v>
      </c>
      <c r="C43" s="480">
        <v>3861</v>
      </c>
      <c r="D43" s="480">
        <v>3968</v>
      </c>
      <c r="E43" s="480">
        <v>4078</v>
      </c>
      <c r="F43" s="480">
        <v>4182</v>
      </c>
      <c r="G43" s="480">
        <v>4405</v>
      </c>
      <c r="H43" s="480">
        <v>4509</v>
      </c>
      <c r="I43" s="480">
        <v>4619</v>
      </c>
      <c r="J43" s="480">
        <v>4754</v>
      </c>
      <c r="K43" s="480">
        <v>4891</v>
      </c>
      <c r="L43" s="480">
        <v>5028</v>
      </c>
      <c r="M43" s="480">
        <v>5163</v>
      </c>
      <c r="N43" s="480">
        <v>5230</v>
      </c>
      <c r="O43" s="480"/>
      <c r="P43" s="480"/>
      <c r="Q43" s="480"/>
      <c r="R43" s="480"/>
      <c r="S43" s="480"/>
      <c r="T43" s="480"/>
      <c r="U43" s="480"/>
      <c r="V43" s="481">
        <f t="shared" si="0"/>
        <v>13</v>
      </c>
    </row>
    <row r="44" spans="1:22" x14ac:dyDescent="0.2">
      <c r="A44" s="476">
        <v>14</v>
      </c>
      <c r="B44" s="480">
        <v>4295</v>
      </c>
      <c r="C44" s="480">
        <v>4405</v>
      </c>
      <c r="D44" s="480">
        <v>4619</v>
      </c>
      <c r="E44" s="480">
        <v>4754</v>
      </c>
      <c r="F44" s="480">
        <v>4891</v>
      </c>
      <c r="G44" s="480">
        <v>5028</v>
      </c>
      <c r="H44" s="480">
        <v>5163</v>
      </c>
      <c r="I44" s="480">
        <v>5301</v>
      </c>
      <c r="J44" s="480">
        <v>5447</v>
      </c>
      <c r="K44" s="480">
        <v>5593</v>
      </c>
      <c r="L44" s="480">
        <v>5746</v>
      </c>
      <c r="M44" s="480"/>
      <c r="N44" s="480"/>
      <c r="O44" s="480"/>
      <c r="P44" s="480"/>
      <c r="Q44" s="480"/>
      <c r="R44" s="480"/>
      <c r="S44" s="480"/>
      <c r="T44" s="480"/>
      <c r="U44" s="480"/>
      <c r="V44" s="481">
        <f t="shared" si="0"/>
        <v>11</v>
      </c>
    </row>
    <row r="45" spans="1:22" x14ac:dyDescent="0.2">
      <c r="A45" s="476" t="s">
        <v>19</v>
      </c>
      <c r="B45" s="483">
        <f>+B26/2</f>
        <v>1145</v>
      </c>
      <c r="C45" s="480"/>
      <c r="D45" s="480"/>
      <c r="E45" s="480"/>
      <c r="F45" s="480"/>
      <c r="G45" s="480"/>
      <c r="H45" s="480"/>
      <c r="I45" s="480"/>
      <c r="J45" s="480"/>
      <c r="K45" s="480"/>
      <c r="L45" s="480"/>
      <c r="M45" s="480"/>
      <c r="N45" s="480"/>
      <c r="O45" s="480"/>
      <c r="P45" s="480"/>
      <c r="Q45" s="480"/>
      <c r="R45" s="480"/>
      <c r="S45" s="480"/>
      <c r="T45" s="480"/>
      <c r="U45" s="480"/>
      <c r="V45" s="481">
        <f t="shared" si="0"/>
        <v>1</v>
      </c>
    </row>
    <row r="46" spans="1:22" x14ac:dyDescent="0.2">
      <c r="A46" s="476" t="s">
        <v>20</v>
      </c>
      <c r="B46" s="483">
        <f>+B27/2</f>
        <v>1187</v>
      </c>
      <c r="C46" s="480"/>
      <c r="D46" s="480"/>
      <c r="E46" s="480"/>
      <c r="F46" s="480"/>
      <c r="G46" s="480"/>
      <c r="H46" s="480"/>
      <c r="I46" s="480"/>
      <c r="J46" s="480"/>
      <c r="K46" s="480"/>
      <c r="L46" s="480"/>
      <c r="M46" s="480"/>
      <c r="N46" s="480"/>
      <c r="O46" s="480"/>
      <c r="P46" s="480"/>
      <c r="Q46" s="480"/>
      <c r="R46" s="480"/>
      <c r="S46" s="480"/>
      <c r="T46" s="480"/>
      <c r="U46" s="480"/>
      <c r="V46" s="481">
        <f t="shared" si="0"/>
        <v>1</v>
      </c>
    </row>
    <row r="47" spans="1:22" x14ac:dyDescent="0.2">
      <c r="A47" s="476" t="s">
        <v>93</v>
      </c>
      <c r="B47" s="483">
        <f>+B31</f>
        <v>1477.8</v>
      </c>
      <c r="C47" s="483">
        <f t="shared" ref="C47:H47" si="1">+C31</f>
        <v>1477.8</v>
      </c>
      <c r="D47" s="483">
        <f t="shared" si="1"/>
        <v>1538</v>
      </c>
      <c r="E47" s="483">
        <f t="shared" si="1"/>
        <v>1566</v>
      </c>
      <c r="F47" s="483">
        <f t="shared" si="1"/>
        <v>1598</v>
      </c>
      <c r="G47" s="483">
        <f t="shared" si="1"/>
        <v>1631</v>
      </c>
      <c r="H47" s="483">
        <f t="shared" si="1"/>
        <v>1674</v>
      </c>
      <c r="I47" s="480"/>
      <c r="J47" s="480"/>
      <c r="K47" s="480"/>
      <c r="L47" s="480"/>
      <c r="M47" s="480"/>
      <c r="N47" s="480"/>
      <c r="O47" s="480"/>
      <c r="P47" s="480"/>
      <c r="Q47" s="480"/>
      <c r="R47" s="480"/>
      <c r="S47" s="480"/>
      <c r="T47" s="480"/>
      <c r="U47" s="480"/>
      <c r="V47" s="481">
        <f t="shared" si="0"/>
        <v>7</v>
      </c>
    </row>
    <row r="48" spans="1:22" x14ac:dyDescent="0.2">
      <c r="A48" s="476" t="s">
        <v>94</v>
      </c>
      <c r="B48" s="483">
        <f t="shared" ref="B48:I48" si="2">+B32</f>
        <v>1477.8</v>
      </c>
      <c r="C48" s="483">
        <f t="shared" si="2"/>
        <v>1508</v>
      </c>
      <c r="D48" s="483">
        <f t="shared" si="2"/>
        <v>1566</v>
      </c>
      <c r="E48" s="483">
        <f t="shared" si="2"/>
        <v>1631</v>
      </c>
      <c r="F48" s="483">
        <f t="shared" si="2"/>
        <v>1674</v>
      </c>
      <c r="G48" s="483">
        <f t="shared" si="2"/>
        <v>1723</v>
      </c>
      <c r="H48" s="483">
        <f t="shared" si="2"/>
        <v>1783</v>
      </c>
      <c r="I48" s="483">
        <f t="shared" si="2"/>
        <v>1840</v>
      </c>
      <c r="J48" s="480"/>
      <c r="K48" s="480"/>
      <c r="L48" s="480"/>
      <c r="M48" s="480"/>
      <c r="N48" s="480"/>
      <c r="O48" s="480"/>
      <c r="P48" s="480"/>
      <c r="Q48" s="480"/>
      <c r="R48" s="480"/>
      <c r="S48" s="480"/>
      <c r="T48" s="480"/>
      <c r="U48" s="480"/>
      <c r="V48" s="481">
        <f t="shared" si="0"/>
        <v>8</v>
      </c>
    </row>
    <row r="49" spans="1:22" x14ac:dyDescent="0.2">
      <c r="A49" s="476" t="s">
        <v>95</v>
      </c>
      <c r="B49" s="483">
        <f t="shared" ref="B49:H49" si="3">+B33</f>
        <v>1477.8</v>
      </c>
      <c r="C49" s="483">
        <f t="shared" si="3"/>
        <v>1566</v>
      </c>
      <c r="D49" s="483">
        <f t="shared" si="3"/>
        <v>1631</v>
      </c>
      <c r="E49" s="483">
        <f t="shared" si="3"/>
        <v>1723</v>
      </c>
      <c r="F49" s="483">
        <f t="shared" si="3"/>
        <v>1783</v>
      </c>
      <c r="G49" s="483">
        <f t="shared" si="3"/>
        <v>1840</v>
      </c>
      <c r="H49" s="483">
        <f t="shared" si="3"/>
        <v>1896</v>
      </c>
      <c r="I49" s="480"/>
      <c r="J49" s="480"/>
      <c r="K49" s="480"/>
      <c r="L49" s="480"/>
      <c r="M49" s="480"/>
      <c r="N49" s="480"/>
      <c r="O49" s="480"/>
      <c r="P49" s="480"/>
      <c r="Q49" s="480"/>
      <c r="R49" s="480"/>
      <c r="S49" s="480"/>
      <c r="T49" s="480"/>
      <c r="U49" s="480"/>
      <c r="V49" s="481">
        <f t="shared" si="0"/>
        <v>7</v>
      </c>
    </row>
    <row r="52" spans="1:22" s="476" customFormat="1" x14ac:dyDescent="0.2">
      <c r="A52" s="474" t="s">
        <v>44</v>
      </c>
    </row>
    <row r="53" spans="1:22" s="476" customFormat="1" x14ac:dyDescent="0.2">
      <c r="A53" s="474"/>
      <c r="B53" s="474"/>
      <c r="C53" s="476" t="s">
        <v>41</v>
      </c>
      <c r="D53" s="476" t="s">
        <v>42</v>
      </c>
      <c r="E53" s="476" t="s">
        <v>101</v>
      </c>
      <c r="F53" s="476" t="s">
        <v>102</v>
      </c>
      <c r="G53" s="476" t="s">
        <v>46</v>
      </c>
      <c r="H53" s="476" t="s">
        <v>49</v>
      </c>
    </row>
    <row r="54" spans="1:22" s="476" customFormat="1" x14ac:dyDescent="0.2">
      <c r="A54" s="476" t="s">
        <v>40</v>
      </c>
      <c r="B54" s="477">
        <v>1</v>
      </c>
      <c r="C54" s="484">
        <v>0.17854999999999999</v>
      </c>
      <c r="D54" s="484">
        <v>7.8450000000000006E-2</v>
      </c>
      <c r="E54" s="480">
        <v>10950</v>
      </c>
      <c r="F54" s="485">
        <f>+E54/12</f>
        <v>912.5</v>
      </c>
    </row>
    <row r="55" spans="1:22" s="476" customFormat="1" x14ac:dyDescent="0.2">
      <c r="A55" s="476" t="s">
        <v>229</v>
      </c>
      <c r="B55" s="477">
        <v>2</v>
      </c>
      <c r="C55" s="484">
        <v>3.0000000000000001E-3</v>
      </c>
      <c r="D55" s="484">
        <v>1E-3</v>
      </c>
      <c r="E55" s="480">
        <v>19000</v>
      </c>
      <c r="F55" s="485">
        <f>+E55/12</f>
        <v>1583.3333333333333</v>
      </c>
    </row>
    <row r="56" spans="1:22" s="476" customFormat="1" x14ac:dyDescent="0.2">
      <c r="A56" s="476" t="s">
        <v>330</v>
      </c>
      <c r="B56" s="477">
        <v>3</v>
      </c>
      <c r="C56" s="486">
        <v>1.6E-2</v>
      </c>
      <c r="D56" s="486">
        <f>+C56+0.8%</f>
        <v>2.4E-2</v>
      </c>
      <c r="E56" s="487"/>
      <c r="F56" s="487"/>
    </row>
    <row r="57" spans="1:22" s="476" customFormat="1" x14ac:dyDescent="0.2">
      <c r="A57" s="477" t="s">
        <v>220</v>
      </c>
      <c r="B57" s="476">
        <v>4</v>
      </c>
      <c r="C57" s="486">
        <v>4.65E-2</v>
      </c>
      <c r="D57" s="488"/>
      <c r="E57" s="488"/>
      <c r="F57" s="488"/>
      <c r="G57" s="485">
        <v>50853</v>
      </c>
      <c r="H57" s="485">
        <f t="shared" ref="H57:H62" si="4">+G57/12</f>
        <v>4237.75</v>
      </c>
    </row>
    <row r="58" spans="1:22" s="476" customFormat="1" x14ac:dyDescent="0.2">
      <c r="A58" s="476" t="s">
        <v>230</v>
      </c>
      <c r="B58" s="476">
        <v>5</v>
      </c>
      <c r="C58" s="486">
        <v>5.4000000000000003E-3</v>
      </c>
      <c r="D58" s="488"/>
      <c r="E58" s="488"/>
      <c r="F58" s="488"/>
      <c r="G58" s="485">
        <f>+G57</f>
        <v>50853</v>
      </c>
      <c r="H58" s="485">
        <f t="shared" si="4"/>
        <v>4237.75</v>
      </c>
    </row>
    <row r="59" spans="1:22" s="476" customFormat="1" x14ac:dyDescent="0.2">
      <c r="A59" s="476" t="s">
        <v>289</v>
      </c>
      <c r="C59" s="486">
        <v>0</v>
      </c>
      <c r="D59" s="488"/>
      <c r="E59" s="488"/>
      <c r="F59" s="488"/>
      <c r="G59" s="485">
        <f>+G58</f>
        <v>50853</v>
      </c>
      <c r="H59" s="485">
        <f t="shared" si="4"/>
        <v>4237.75</v>
      </c>
    </row>
    <row r="60" spans="1:22" s="476" customFormat="1" x14ac:dyDescent="0.2">
      <c r="A60" s="476" t="s">
        <v>96</v>
      </c>
      <c r="B60" s="476">
        <v>7</v>
      </c>
      <c r="C60" s="488"/>
      <c r="D60" s="486">
        <v>0</v>
      </c>
      <c r="E60" s="480">
        <v>0</v>
      </c>
      <c r="F60" s="485">
        <v>0</v>
      </c>
      <c r="G60" s="485">
        <v>0</v>
      </c>
      <c r="H60" s="485">
        <v>0</v>
      </c>
    </row>
    <row r="61" spans="1:22" s="476" customFormat="1" x14ac:dyDescent="0.2">
      <c r="A61" s="476" t="s">
        <v>97</v>
      </c>
      <c r="B61" s="476">
        <v>8</v>
      </c>
      <c r="C61" s="489">
        <v>7.7499999999999999E-2</v>
      </c>
      <c r="D61" s="472"/>
      <c r="E61" s="487"/>
      <c r="F61" s="487"/>
      <c r="G61" s="485">
        <f>+G57</f>
        <v>50853</v>
      </c>
      <c r="H61" s="485">
        <f>+G61/12</f>
        <v>4237.75</v>
      </c>
    </row>
    <row r="62" spans="1:22" s="476" customFormat="1" x14ac:dyDescent="0.2">
      <c r="A62" s="476" t="s">
        <v>331</v>
      </c>
      <c r="B62" s="476">
        <v>9</v>
      </c>
      <c r="C62" s="486">
        <f>0.78%+0.5%</f>
        <v>1.2800000000000001E-2</v>
      </c>
      <c r="D62" s="488"/>
      <c r="E62" s="488"/>
      <c r="F62" s="488"/>
      <c r="G62" s="485">
        <f>+G57</f>
        <v>50853</v>
      </c>
      <c r="H62" s="485">
        <f t="shared" si="4"/>
        <v>4237.75</v>
      </c>
    </row>
    <row r="63" spans="1:22" s="476" customFormat="1" x14ac:dyDescent="0.2">
      <c r="A63" s="476" t="s">
        <v>231</v>
      </c>
      <c r="B63" s="476">
        <v>10</v>
      </c>
      <c r="C63" s="486">
        <v>7.7700000000000005E-2</v>
      </c>
      <c r="D63" s="490" t="s">
        <v>326</v>
      </c>
      <c r="E63" s="488"/>
      <c r="F63" s="488"/>
      <c r="G63" s="487"/>
      <c r="H63" s="487"/>
    </row>
    <row r="64" spans="1:22" s="476" customFormat="1" x14ac:dyDescent="0.2">
      <c r="A64" s="476" t="s">
        <v>232</v>
      </c>
      <c r="C64" s="486">
        <v>7.6999999999999999E-2</v>
      </c>
      <c r="D64" s="671" t="s">
        <v>327</v>
      </c>
      <c r="E64" s="488"/>
      <c r="F64" s="488"/>
      <c r="G64" s="487"/>
      <c r="H64" s="487"/>
    </row>
    <row r="65" spans="1:8" s="476" customFormat="1" x14ac:dyDescent="0.2">
      <c r="A65" s="667" t="s">
        <v>451</v>
      </c>
      <c r="B65" s="667"/>
      <c r="C65" s="668">
        <v>2.8999999999999998E-3</v>
      </c>
      <c r="D65" s="671" t="s">
        <v>328</v>
      </c>
      <c r="E65" s="488"/>
      <c r="F65" s="488"/>
      <c r="G65" s="487"/>
      <c r="H65" s="487"/>
    </row>
    <row r="66" spans="1:8" s="476" customFormat="1" x14ac:dyDescent="0.2">
      <c r="A66" s="667" t="s">
        <v>322</v>
      </c>
      <c r="B66" s="667"/>
      <c r="C66" s="668">
        <v>0</v>
      </c>
      <c r="D66" s="671" t="s">
        <v>329</v>
      </c>
      <c r="E66" s="488"/>
      <c r="F66" s="488"/>
      <c r="G66" s="487"/>
      <c r="H66" s="487"/>
    </row>
    <row r="67" spans="1:8" s="476" customFormat="1" x14ac:dyDescent="0.2">
      <c r="A67" s="667" t="s">
        <v>81</v>
      </c>
      <c r="B67" s="667">
        <v>11</v>
      </c>
      <c r="C67" s="668">
        <v>0.03</v>
      </c>
      <c r="D67" s="488"/>
      <c r="E67" s="488"/>
      <c r="F67" s="488"/>
      <c r="G67" s="487"/>
      <c r="H67" s="487"/>
    </row>
    <row r="68" spans="1:8" s="476" customFormat="1" x14ac:dyDescent="0.2">
      <c r="B68" s="476" t="s">
        <v>221</v>
      </c>
      <c r="C68" s="491">
        <f>SUM(C54:C63)+C67</f>
        <v>0.4474499999999999</v>
      </c>
      <c r="D68" s="491">
        <f>SUM(D54:D67)</f>
        <v>0.10345000000000001</v>
      </c>
      <c r="E68" s="491">
        <f>SUM(C68:D68)</f>
        <v>0.55089999999999995</v>
      </c>
    </row>
    <row r="69" spans="1:8" s="476" customFormat="1" x14ac:dyDescent="0.2"/>
    <row r="70" spans="1:8" s="476" customFormat="1" x14ac:dyDescent="0.2">
      <c r="A70" s="474" t="s">
        <v>74</v>
      </c>
      <c r="B70" s="476" t="s">
        <v>0</v>
      </c>
      <c r="C70" s="492">
        <v>29.24</v>
      </c>
      <c r="G70" s="493"/>
    </row>
    <row r="71" spans="1:8" s="476" customFormat="1" x14ac:dyDescent="0.2">
      <c r="B71" s="476" t="s">
        <v>15</v>
      </c>
      <c r="C71" s="492">
        <v>25.65</v>
      </c>
    </row>
    <row r="72" spans="1:8" s="476" customFormat="1" x14ac:dyDescent="0.2">
      <c r="B72" s="476" t="s">
        <v>16</v>
      </c>
      <c r="C72" s="492">
        <v>46.71</v>
      </c>
    </row>
    <row r="73" spans="1:8" s="476" customFormat="1" x14ac:dyDescent="0.2">
      <c r="B73" s="476" t="s">
        <v>17</v>
      </c>
      <c r="C73" s="492">
        <v>23.1</v>
      </c>
    </row>
    <row r="74" spans="1:8" s="476" customFormat="1" x14ac:dyDescent="0.2">
      <c r="C74" s="494"/>
    </row>
    <row r="75" spans="1:8" s="476" customFormat="1" x14ac:dyDescent="0.2">
      <c r="A75" s="474" t="s">
        <v>245</v>
      </c>
      <c r="B75" s="476" t="s">
        <v>246</v>
      </c>
      <c r="C75" s="492">
        <v>61</v>
      </c>
    </row>
    <row r="76" spans="1:8" s="476" customFormat="1" x14ac:dyDescent="0.2">
      <c r="C76" s="494"/>
    </row>
    <row r="77" spans="1:8" s="476" customFormat="1" x14ac:dyDescent="0.2">
      <c r="D77" s="495" t="s">
        <v>49</v>
      </c>
    </row>
    <row r="78" spans="1:8" s="476" customFormat="1" x14ac:dyDescent="0.2">
      <c r="A78" s="474" t="s">
        <v>75</v>
      </c>
      <c r="B78" s="476" t="s">
        <v>76</v>
      </c>
      <c r="C78" s="492">
        <f>328.47+386.74</f>
        <v>715.21</v>
      </c>
      <c r="D78" s="496">
        <f>ROUND(+C78/13.717,2)</f>
        <v>52.14</v>
      </c>
    </row>
    <row r="79" spans="1:8" s="476" customFormat="1" x14ac:dyDescent="0.2">
      <c r="B79" s="476" t="s">
        <v>77</v>
      </c>
      <c r="C79" s="492">
        <v>218.98</v>
      </c>
      <c r="D79" s="496">
        <f>ROUND(+C79/13.717,2)</f>
        <v>15.96</v>
      </c>
    </row>
    <row r="80" spans="1:8" s="476" customFormat="1" x14ac:dyDescent="0.2">
      <c r="B80" s="476" t="s">
        <v>78</v>
      </c>
      <c r="C80" s="492">
        <f>+C79</f>
        <v>218.98</v>
      </c>
      <c r="D80" s="496">
        <f>ROUND(+C80/13.717,2)</f>
        <v>15.96</v>
      </c>
    </row>
    <row r="81" spans="1:8" s="476" customFormat="1" x14ac:dyDescent="0.2">
      <c r="B81" s="476" t="s">
        <v>320</v>
      </c>
      <c r="C81" s="492">
        <v>0</v>
      </c>
      <c r="D81" s="496">
        <f>ROUND(+C81/13.717,2)</f>
        <v>0</v>
      </c>
    </row>
    <row r="82" spans="1:8" s="476" customFormat="1" x14ac:dyDescent="0.2"/>
    <row r="83" spans="1:8" s="476" customFormat="1" x14ac:dyDescent="0.2">
      <c r="A83" s="474" t="s">
        <v>116</v>
      </c>
      <c r="C83" s="497">
        <v>32.409999999999997</v>
      </c>
      <c r="D83" s="498"/>
    </row>
    <row r="84" spans="1:8" s="476" customFormat="1" x14ac:dyDescent="0.2"/>
    <row r="85" spans="1:8" s="476" customFormat="1" x14ac:dyDescent="0.2">
      <c r="A85" s="474" t="s">
        <v>234</v>
      </c>
      <c r="C85" s="486">
        <v>8.0000000000000002E-3</v>
      </c>
      <c r="D85" s="491"/>
    </row>
    <row r="86" spans="1:8" s="476" customFormat="1" x14ac:dyDescent="0.2"/>
    <row r="87" spans="1:8" s="476" customFormat="1" x14ac:dyDescent="0.2">
      <c r="A87" s="474" t="s">
        <v>84</v>
      </c>
      <c r="B87" s="474"/>
      <c r="D87" s="492">
        <v>140.49</v>
      </c>
      <c r="E87" s="476" t="s">
        <v>254</v>
      </c>
    </row>
    <row r="88" spans="1:8" s="476" customFormat="1" x14ac:dyDescent="0.2">
      <c r="A88" s="474" t="s">
        <v>82</v>
      </c>
      <c r="B88" s="474"/>
      <c r="D88" s="486">
        <v>6.3E-2</v>
      </c>
    </row>
    <row r="89" spans="1:8" s="476" customFormat="1" x14ac:dyDescent="0.2">
      <c r="A89" s="476" t="s">
        <v>118</v>
      </c>
      <c r="B89" s="474"/>
      <c r="C89" s="476">
        <v>0</v>
      </c>
      <c r="D89" s="492">
        <v>0</v>
      </c>
      <c r="G89" s="472"/>
      <c r="H89" s="472"/>
    </row>
    <row r="90" spans="1:8" s="476" customFormat="1" x14ac:dyDescent="0.2">
      <c r="B90" s="474"/>
      <c r="C90" s="476">
        <v>1</v>
      </c>
      <c r="D90" s="492">
        <f>820.08+250.2</f>
        <v>1070.28</v>
      </c>
      <c r="G90" s="472"/>
      <c r="H90" s="472"/>
    </row>
    <row r="91" spans="1:8" s="476" customFormat="1" x14ac:dyDescent="0.2">
      <c r="B91" s="474"/>
      <c r="C91" s="476">
        <v>6</v>
      </c>
      <c r="D91" s="492">
        <f>775.08+250.2</f>
        <v>1025.28</v>
      </c>
      <c r="G91" s="472"/>
      <c r="H91" s="472"/>
    </row>
    <row r="92" spans="1:8" s="476" customFormat="1" x14ac:dyDescent="0.2">
      <c r="B92" s="474"/>
      <c r="C92" s="476">
        <v>9</v>
      </c>
      <c r="D92" s="492">
        <v>0</v>
      </c>
      <c r="G92" s="472"/>
      <c r="H92" s="472"/>
    </row>
    <row r="93" spans="1:8" s="476" customFormat="1" x14ac:dyDescent="0.2">
      <c r="B93" s="474"/>
      <c r="D93" s="494"/>
      <c r="G93" s="472"/>
      <c r="H93" s="472"/>
    </row>
    <row r="94" spans="1:8" s="476" customFormat="1" x14ac:dyDescent="0.2">
      <c r="A94" s="499" t="s">
        <v>228</v>
      </c>
      <c r="B94" s="472"/>
      <c r="C94" s="472"/>
      <c r="D94" s="492">
        <f>110+90</f>
        <v>200</v>
      </c>
      <c r="E94" s="472"/>
      <c r="F94" s="472"/>
    </row>
    <row r="95" spans="1:8" s="476" customFormat="1" x14ac:dyDescent="0.2"/>
    <row r="96" spans="1:8" s="476" customFormat="1" x14ac:dyDescent="0.2">
      <c r="A96" s="474" t="s">
        <v>248</v>
      </c>
      <c r="D96" s="492">
        <f>275+23</f>
        <v>298</v>
      </c>
    </row>
    <row r="97" spans="1:7" s="476" customFormat="1" x14ac:dyDescent="0.2"/>
    <row r="98" spans="1:7" s="476" customFormat="1" x14ac:dyDescent="0.2">
      <c r="A98" s="666" t="s">
        <v>441</v>
      </c>
    </row>
    <row r="99" spans="1:7" s="476" customFormat="1" x14ac:dyDescent="0.2">
      <c r="A99" s="666" t="s">
        <v>442</v>
      </c>
    </row>
    <row r="100" spans="1:7" s="476" customFormat="1" x14ac:dyDescent="0.2">
      <c r="A100" s="500" t="s">
        <v>103</v>
      </c>
    </row>
    <row r="101" spans="1:7" s="476" customFormat="1" x14ac:dyDescent="0.2">
      <c r="A101" s="500"/>
    </row>
    <row r="102" spans="1:7" s="476" customFormat="1" x14ac:dyDescent="0.2">
      <c r="A102" s="474" t="s">
        <v>218</v>
      </c>
      <c r="G102" s="501"/>
    </row>
    <row r="103" spans="1:7" s="476" customFormat="1" x14ac:dyDescent="0.2">
      <c r="A103" s="474" t="s">
        <v>104</v>
      </c>
      <c r="B103" s="476" t="s">
        <v>219</v>
      </c>
      <c r="C103" s="476" t="s">
        <v>105</v>
      </c>
    </row>
    <row r="104" spans="1:7" s="476" customFormat="1" x14ac:dyDescent="0.2">
      <c r="A104" s="476">
        <v>1</v>
      </c>
      <c r="B104" s="502">
        <v>19645</v>
      </c>
      <c r="C104" s="491">
        <v>0.37</v>
      </c>
    </row>
    <row r="105" spans="1:7" s="476" customFormat="1" x14ac:dyDescent="0.2">
      <c r="A105" s="476">
        <v>2</v>
      </c>
      <c r="B105" s="502">
        <v>33363</v>
      </c>
      <c r="C105" s="491">
        <v>0.42</v>
      </c>
    </row>
    <row r="106" spans="1:7" s="476" customFormat="1" x14ac:dyDescent="0.2">
      <c r="A106" s="476">
        <v>3</v>
      </c>
      <c r="B106" s="502">
        <v>55991</v>
      </c>
      <c r="C106" s="491">
        <v>0.42</v>
      </c>
    </row>
    <row r="107" spans="1:7" s="476" customFormat="1" x14ac:dyDescent="0.2">
      <c r="A107" s="476">
        <v>4</v>
      </c>
      <c r="B107" s="502">
        <v>999999</v>
      </c>
      <c r="C107" s="491">
        <v>0.52</v>
      </c>
    </row>
    <row r="108" spans="1:7" s="476" customFormat="1" x14ac:dyDescent="0.2"/>
    <row r="109" spans="1:7" s="476" customFormat="1" x14ac:dyDescent="0.2">
      <c r="A109" s="474" t="s">
        <v>106</v>
      </c>
    </row>
    <row r="110" spans="1:7" s="476" customFormat="1" x14ac:dyDescent="0.2">
      <c r="A110" s="476" t="s">
        <v>107</v>
      </c>
      <c r="B110" s="502">
        <v>2001</v>
      </c>
    </row>
    <row r="111" spans="1:7" s="476" customFormat="1" x14ac:dyDescent="0.2">
      <c r="B111" s="476" t="s">
        <v>109</v>
      </c>
      <c r="C111" s="476" t="s">
        <v>110</v>
      </c>
      <c r="D111" s="477" t="s">
        <v>111</v>
      </c>
      <c r="E111" s="477"/>
    </row>
    <row r="112" spans="1:7" s="476" customFormat="1" hidden="1" x14ac:dyDescent="0.2">
      <c r="A112" s="595" t="s">
        <v>108</v>
      </c>
      <c r="B112" s="595">
        <v>1947</v>
      </c>
      <c r="C112" s="596">
        <v>0.1232</v>
      </c>
      <c r="D112" s="597">
        <v>1611</v>
      </c>
      <c r="E112" s="477"/>
    </row>
    <row r="113" spans="1:10" s="476" customFormat="1" hidden="1" x14ac:dyDescent="0.2">
      <c r="A113" s="595"/>
      <c r="B113" s="595">
        <v>1949</v>
      </c>
      <c r="C113" s="596">
        <v>0.1232</v>
      </c>
      <c r="D113" s="597">
        <v>1611</v>
      </c>
      <c r="E113" s="477"/>
    </row>
    <row r="114" spans="1:10" s="476" customFormat="1" hidden="1" x14ac:dyDescent="0.2">
      <c r="A114" s="595"/>
      <c r="B114" s="595">
        <v>1951</v>
      </c>
      <c r="C114" s="596">
        <v>0.1232</v>
      </c>
      <c r="D114" s="597">
        <v>1611</v>
      </c>
      <c r="E114" s="477"/>
    </row>
    <row r="115" spans="1:10" s="476" customFormat="1" hidden="1" x14ac:dyDescent="0.2">
      <c r="A115" s="595"/>
      <c r="B115" s="595">
        <v>1954</v>
      </c>
      <c r="C115" s="596">
        <v>0.1232</v>
      </c>
      <c r="D115" s="597">
        <v>1611</v>
      </c>
      <c r="E115" s="477"/>
    </row>
    <row r="116" spans="1:10" s="476" customFormat="1" x14ac:dyDescent="0.2">
      <c r="C116" s="503"/>
    </row>
    <row r="117" spans="1:10" s="476" customFormat="1" x14ac:dyDescent="0.2"/>
    <row r="118" spans="1:10" s="476" customFormat="1" x14ac:dyDescent="0.2">
      <c r="A118" s="598" t="s">
        <v>429</v>
      </c>
      <c r="B118" s="598" t="s">
        <v>413</v>
      </c>
      <c r="C118" s="508">
        <v>19541</v>
      </c>
    </row>
    <row r="119" spans="1:10" s="476" customFormat="1" x14ac:dyDescent="0.2">
      <c r="A119" s="504"/>
      <c r="B119" s="507"/>
    </row>
    <row r="120" spans="1:10" s="476" customFormat="1" x14ac:dyDescent="0.2">
      <c r="C120" s="517"/>
    </row>
    <row r="121" spans="1:10" s="517" customFormat="1" x14ac:dyDescent="0.2">
      <c r="A121" s="532" t="s">
        <v>382</v>
      </c>
      <c r="C121" s="506"/>
    </row>
    <row r="122" spans="1:10" x14ac:dyDescent="0.2">
      <c r="A122" s="506" t="s">
        <v>315</v>
      </c>
      <c r="B122" s="506"/>
      <c r="C122" s="506"/>
      <c r="D122" s="520">
        <f>+wgl!S22</f>
        <v>3045.2034500000004</v>
      </c>
      <c r="E122" s="504"/>
      <c r="F122" s="504" t="s">
        <v>290</v>
      </c>
      <c r="G122" s="504"/>
      <c r="H122" s="504"/>
      <c r="I122" s="524">
        <f>+tabellen!G57</f>
        <v>50853</v>
      </c>
      <c r="J122" s="504"/>
    </row>
    <row r="123" spans="1:10" x14ac:dyDescent="0.2">
      <c r="A123" s="506"/>
      <c r="B123" s="506"/>
      <c r="C123" s="506"/>
      <c r="D123" s="521"/>
      <c r="E123" s="504"/>
      <c r="F123" s="504" t="s">
        <v>291</v>
      </c>
      <c r="G123" s="504"/>
      <c r="H123" s="504"/>
      <c r="I123" s="525">
        <f>+tabellen!C57</f>
        <v>4.65E-2</v>
      </c>
      <c r="J123" s="504"/>
    </row>
    <row r="124" spans="1:10" x14ac:dyDescent="0.2">
      <c r="A124" s="506" t="s">
        <v>292</v>
      </c>
      <c r="B124" s="506"/>
      <c r="C124" s="513"/>
      <c r="D124" s="521">
        <f>+wgl!I11</f>
        <v>19511</v>
      </c>
      <c r="E124" s="605">
        <f>YEAR(D124)</f>
        <v>1953</v>
      </c>
      <c r="F124" s="504" t="s">
        <v>294</v>
      </c>
      <c r="G124" s="504"/>
      <c r="H124" s="504"/>
      <c r="I124" s="525">
        <f>+tabellen!C58</f>
        <v>5.4000000000000003E-3</v>
      </c>
      <c r="J124" s="504"/>
    </row>
    <row r="125" spans="1:10" x14ac:dyDescent="0.2">
      <c r="A125" s="506" t="s">
        <v>293</v>
      </c>
      <c r="B125" s="506"/>
      <c r="C125" s="506"/>
      <c r="D125" s="522" t="str">
        <f>+wgl!G48</f>
        <v>j</v>
      </c>
      <c r="E125" s="606">
        <f>MONTH(D124)</f>
        <v>6</v>
      </c>
      <c r="F125" s="504" t="s">
        <v>296</v>
      </c>
      <c r="G125" s="504"/>
      <c r="H125" s="504"/>
      <c r="I125" s="526">
        <f>+tabellen!C59</f>
        <v>0</v>
      </c>
      <c r="J125" s="504" t="s">
        <v>297</v>
      </c>
    </row>
    <row r="126" spans="1:10" x14ac:dyDescent="0.2">
      <c r="A126" s="506"/>
      <c r="B126" s="506"/>
      <c r="C126" s="506"/>
      <c r="D126" s="523"/>
      <c r="E126" s="605">
        <f>DAY(D124)</f>
        <v>1</v>
      </c>
      <c r="F126" s="504"/>
      <c r="G126" s="504"/>
      <c r="H126" s="504"/>
      <c r="I126" s="504"/>
      <c r="J126" s="504"/>
    </row>
    <row r="127" spans="1:10" x14ac:dyDescent="0.2">
      <c r="A127" s="514"/>
      <c r="B127" s="512"/>
      <c r="C127" s="506"/>
      <c r="D127" s="504"/>
      <c r="E127" s="605"/>
      <c r="F127" s="504" t="s">
        <v>298</v>
      </c>
      <c r="G127" s="504"/>
      <c r="H127" s="504"/>
      <c r="I127" s="525">
        <f>IF(AND(D125="j",D128=1),I123,0%)</f>
        <v>4.65E-2</v>
      </c>
      <c r="J127" s="504"/>
    </row>
    <row r="128" spans="1:10" x14ac:dyDescent="0.2">
      <c r="A128" s="599" t="s">
        <v>414</v>
      </c>
      <c r="B128" s="512"/>
      <c r="C128" s="506"/>
      <c r="D128" s="504">
        <f>IF(AND(D125="j",D131&gt;=D124),1,0)</f>
        <v>1</v>
      </c>
      <c r="E128" s="605"/>
      <c r="F128" s="504"/>
      <c r="G128" s="504"/>
      <c r="H128" s="504"/>
      <c r="I128" s="504"/>
      <c r="J128" s="504"/>
    </row>
    <row r="129" spans="1:10" x14ac:dyDescent="0.2">
      <c r="A129" s="604" t="s">
        <v>430</v>
      </c>
      <c r="B129" s="512"/>
      <c r="C129" s="512"/>
      <c r="D129" s="504">
        <f ca="1">IF(D132&gt;E129,1,0)</f>
        <v>0</v>
      </c>
      <c r="E129" s="607">
        <f>DATE(E124+62,E125,E126)</f>
        <v>42156</v>
      </c>
      <c r="F129" s="504"/>
      <c r="G129" s="504"/>
      <c r="H129" s="504"/>
      <c r="I129" s="504"/>
      <c r="J129" s="504"/>
    </row>
    <row r="130" spans="1:10" x14ac:dyDescent="0.2">
      <c r="A130" s="514"/>
      <c r="B130" s="512"/>
      <c r="C130" s="512"/>
      <c r="D130" s="512"/>
      <c r="E130" s="504"/>
      <c r="F130" s="504"/>
      <c r="G130" s="504"/>
      <c r="H130" s="504"/>
      <c r="I130" s="504"/>
      <c r="J130" s="504"/>
    </row>
    <row r="131" spans="1:10" x14ac:dyDescent="0.2">
      <c r="A131" s="505" t="s">
        <v>300</v>
      </c>
      <c r="B131" s="515"/>
      <c r="C131" s="603" t="s">
        <v>413</v>
      </c>
      <c r="D131" s="533">
        <f>C118</f>
        <v>19541</v>
      </c>
      <c r="E131" s="513"/>
      <c r="F131" s="528" t="s">
        <v>222</v>
      </c>
      <c r="G131" s="527" t="s">
        <v>299</v>
      </c>
      <c r="H131" s="529"/>
      <c r="I131" s="504"/>
    </row>
    <row r="132" spans="1:10" x14ac:dyDescent="0.2">
      <c r="A132" s="506"/>
      <c r="B132" s="506"/>
      <c r="C132" s="608" t="s">
        <v>433</v>
      </c>
      <c r="D132" s="533">
        <f ca="1">NOW()</f>
        <v>41609.617900347221</v>
      </c>
      <c r="E132" s="529"/>
      <c r="F132" s="518">
        <f>+I123-I127</f>
        <v>0</v>
      </c>
      <c r="G132" s="519">
        <f>+I124+I125</f>
        <v>5.4000000000000003E-3</v>
      </c>
      <c r="H132" s="516"/>
      <c r="I132" s="504"/>
    </row>
    <row r="133" spans="1:10" x14ac:dyDescent="0.2">
      <c r="A133" s="504"/>
      <c r="B133" s="504"/>
      <c r="E133" s="513"/>
      <c r="F133" s="530">
        <f>ROUND(IF(D122&lt;I122,(I123-I127)*D122,(I123-I127)*I122),2)</f>
        <v>0</v>
      </c>
      <c r="G133" s="530">
        <f>ROUND(IF(D122&lt;I122,(I124+I125)*D122,(I124+I125)*I122),2)</f>
        <v>16.440000000000001</v>
      </c>
      <c r="H133" s="531">
        <f>SUM(F133:G133)</f>
        <v>16.440000000000001</v>
      </c>
      <c r="I133" s="504"/>
    </row>
    <row r="134" spans="1:10" x14ac:dyDescent="0.2">
      <c r="E134" s="513"/>
      <c r="J134" s="504"/>
    </row>
  </sheetData>
  <sheetProtection password="DFB1" sheet="1" objects="1" scenarios="1"/>
  <phoneticPr fontId="0" type="noConversion"/>
  <dataValidations count="1">
    <dataValidation type="list" allowBlank="1" showInputMessage="1" showErrorMessage="1" sqref="D125">
      <formula1>"j,n"</formula1>
    </dataValidation>
  </dataValidations>
  <printOptions gridLines="1"/>
  <pageMargins left="0.75" right="0.75" top="1" bottom="1" header="0.5" footer="0.5"/>
  <pageSetup paperSize="9" scale="51" orientation="landscape" r:id="rId1"/>
  <headerFooter alignWithMargins="0">
    <oddHeader>&amp;L&amp;"Arial,Vet"&amp;A&amp;C&amp;"Arial,Vet"&amp;D&amp;R&amp;"Arial,Vet"&amp;F</oddHeader>
    <oddFooter>&amp;L&amp;"Arial,Vet"&amp;8gemaakt door keizer, vos/abb&amp;R&amp;"Arial,Vet"&amp;P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7</vt:i4>
      </vt:variant>
      <vt:variant>
        <vt:lpstr>Benoemde bereiken</vt:lpstr>
      </vt:variant>
      <vt:variant>
        <vt:i4>13</vt:i4>
      </vt:variant>
    </vt:vector>
  </HeadingPairs>
  <TitlesOfParts>
    <vt:vector size="20" baseType="lpstr">
      <vt:lpstr>Toelichting</vt:lpstr>
      <vt:lpstr>wgl</vt:lpstr>
      <vt:lpstr>Ouderschapsverlof</vt:lpstr>
      <vt:lpstr>Functiedifferentiatie</vt:lpstr>
      <vt:lpstr>Extra periodieken</vt:lpstr>
      <vt:lpstr>wgl tot</vt:lpstr>
      <vt:lpstr>tabellen</vt:lpstr>
      <vt:lpstr>'Extra periodieken'!Afdrukbereik</vt:lpstr>
      <vt:lpstr>Functiedifferentiatie!Afdrukbereik</vt:lpstr>
      <vt:lpstr>Ouderschapsverlof!Afdrukbereik</vt:lpstr>
      <vt:lpstr>tabellen!Afdrukbereik</vt:lpstr>
      <vt:lpstr>Toelichting!Afdrukbereik</vt:lpstr>
      <vt:lpstr>wgl!Afdrukbereik</vt:lpstr>
      <vt:lpstr>'wgl tot'!Afdrukbereik</vt:lpstr>
      <vt:lpstr>arbeidskorting</vt:lpstr>
      <vt:lpstr>bindingstoelage</vt:lpstr>
      <vt:lpstr>eindejaarsuitkering_OOP</vt:lpstr>
      <vt:lpstr>premies</vt:lpstr>
      <vt:lpstr>salaristabellen</vt:lpstr>
      <vt:lpstr>uitlooptoeslag</vt:lpstr>
    </vt:vector>
  </TitlesOfParts>
  <Company>VOS/ABB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Personele kosten onder LS PO</dc:title>
  <dc:creator>Keizer</dc:creator>
  <cp:lastModifiedBy>Keizer</cp:lastModifiedBy>
  <cp:lastPrinted>2013-11-29T13:06:47Z</cp:lastPrinted>
  <dcterms:created xsi:type="dcterms:W3CDTF">2002-04-23T20:54:25Z</dcterms:created>
  <dcterms:modified xsi:type="dcterms:W3CDTF">2013-12-01T13:50:37Z</dcterms:modified>
</cp:coreProperties>
</file>